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80" windowHeight="1170"/>
  </bookViews>
  <sheets>
    <sheet name="ПНЦ" sheetId="11" r:id="rId1"/>
    <sheet name="Смета по ТСН-2001" sheetId="5" r:id="rId2"/>
    <sheet name="Ведомость объемов работ" sheetId="6" state="hidden" r:id="rId3"/>
    <sheet name="Дефектная ведомость" sheetId="7" state="hidden" r:id="rId4"/>
    <sheet name="Локальная ресурсная ведом.1" sheetId="8" state="hidden" r:id="rId5"/>
    <sheet name="Локальная ресурсная ведом.2" sheetId="9" state="hidden" r:id="rId6"/>
    <sheet name="Локальная ресурсная ведом.3" sheetId="10" state="hidden" r:id="rId7"/>
    <sheet name="Source" sheetId="1" state="hidden" r:id="rId8"/>
    <sheet name="SourceObSm" sheetId="2" state="hidden" r:id="rId9"/>
    <sheet name="SmtRes" sheetId="3" state="hidden" r:id="rId10"/>
    <sheet name="EtalonRes" sheetId="4" state="hidden" r:id="rId11"/>
    <sheet name="ВОР" sheetId="12" r:id="rId12"/>
    <sheet name="Конъюнктурный анализ" sheetId="13" r:id="rId13"/>
    <sheet name="Породный состав" sheetId="14" r:id="rId14"/>
  </sheets>
  <externalReferences>
    <externalReference r:id="rId15"/>
  </externalReferences>
  <definedNames>
    <definedName name="_xlnm.Print_Titles" localSheetId="2">'Ведомость объемов работ'!$15:$15</definedName>
    <definedName name="_xlnm.Print_Titles" localSheetId="3">'Дефектная ведомость'!$18:$18</definedName>
    <definedName name="_xlnm.Print_Titles" localSheetId="4">'Локальная ресурсная ведом.1'!$16:$16</definedName>
    <definedName name="_xlnm.Print_Titles" localSheetId="5">'Локальная ресурсная ведом.2'!$16:$16</definedName>
    <definedName name="_xlnm.Print_Titles" localSheetId="6">'Локальная ресурсная ведом.3'!$16:$16</definedName>
    <definedName name="_xlnm.Print_Titles" localSheetId="1">'Смета по ТСН-2001'!$34:$34</definedName>
    <definedName name="_xlnm.Print_Area" localSheetId="2">'Ведомость объемов работ'!$A$1:$E$73</definedName>
    <definedName name="_xlnm.Print_Area" localSheetId="11">ВОР!$A$1:$E$67</definedName>
    <definedName name="_xlnm.Print_Area" localSheetId="3">'Дефектная ведомость'!$A$1:$E$76</definedName>
    <definedName name="_xlnm.Print_Area" localSheetId="4">'Локальная ресурсная ведом.1'!$A$1:$G$119</definedName>
    <definedName name="_xlnm.Print_Area" localSheetId="5">'Локальная ресурсная ведом.2'!$A$1:$G$25</definedName>
    <definedName name="_xlnm.Print_Area" localSheetId="6">'Локальная ресурсная ведом.3'!$A$1:$G$33</definedName>
    <definedName name="_xlnm.Print_Area" localSheetId="0">ПНЦ!$A$1:$F$38</definedName>
    <definedName name="_xlnm.Print_Area" localSheetId="13">'Породный состав'!$A$1:$D$207</definedName>
    <definedName name="_xlnm.Print_Area" localSheetId="1">'Смета по ТСН-2001'!$A$1:$K$467</definedName>
  </definedNames>
  <calcPr calcId="145621"/>
</workbook>
</file>

<file path=xl/calcChain.xml><?xml version="1.0" encoding="utf-8"?>
<calcChain xmlns="http://schemas.openxmlformats.org/spreadsheetml/2006/main">
  <c r="D207" i="14" l="1"/>
  <c r="D197" i="14"/>
  <c r="D198" i="14" s="1"/>
  <c r="D196" i="14"/>
  <c r="D190" i="14"/>
  <c r="D189" i="14"/>
  <c r="D188" i="14"/>
  <c r="D187" i="14"/>
  <c r="D186" i="14"/>
  <c r="D185" i="14"/>
  <c r="D184" i="14"/>
  <c r="D166" i="14"/>
  <c r="D165" i="14"/>
  <c r="D164" i="14"/>
  <c r="D163" i="14"/>
  <c r="D141" i="14"/>
  <c r="D140" i="14"/>
  <c r="D142" i="14" s="1"/>
  <c r="D139" i="14"/>
  <c r="D109" i="14"/>
  <c r="D108" i="14"/>
  <c r="D107" i="14"/>
  <c r="D106" i="14"/>
  <c r="D105" i="14"/>
  <c r="D104" i="14"/>
  <c r="D70" i="14"/>
  <c r="D71" i="14" s="1"/>
  <c r="D69" i="14"/>
  <c r="D59" i="14"/>
  <c r="D58" i="14"/>
  <c r="D57" i="14"/>
  <c r="D50" i="14"/>
  <c r="D49" i="14"/>
  <c r="D51" i="14" s="1"/>
  <c r="D48" i="14"/>
  <c r="D37" i="14"/>
  <c r="D36" i="14"/>
  <c r="D35" i="14"/>
  <c r="D34" i="14"/>
  <c r="D23" i="14"/>
  <c r="D22" i="14"/>
  <c r="D21" i="14"/>
  <c r="D20" i="14"/>
  <c r="D199" i="14" l="1"/>
  <c r="D60" i="14"/>
  <c r="D38" i="14"/>
  <c r="D110" i="14"/>
  <c r="D24" i="14"/>
  <c r="D167" i="14"/>
  <c r="D191" i="14"/>
  <c r="F67" i="13"/>
  <c r="E67" i="13"/>
  <c r="D67" i="13"/>
  <c r="C67" i="13"/>
  <c r="G66" i="13"/>
  <c r="G67" i="13" s="1"/>
  <c r="F60" i="13"/>
  <c r="E60" i="13"/>
  <c r="D60" i="13"/>
  <c r="C60" i="13"/>
  <c r="G59" i="13"/>
  <c r="G60" i="13" s="1"/>
  <c r="F53" i="13"/>
  <c r="E53" i="13"/>
  <c r="D53" i="13"/>
  <c r="C53" i="13"/>
  <c r="G52" i="13"/>
  <c r="G53" i="13" s="1"/>
  <c r="F46" i="13"/>
  <c r="E46" i="13"/>
  <c r="D46" i="13"/>
  <c r="C46" i="13"/>
  <c r="G45" i="13"/>
  <c r="G46" i="13" s="1"/>
  <c r="F39" i="13"/>
  <c r="E39" i="13"/>
  <c r="D39" i="13"/>
  <c r="C39" i="13"/>
  <c r="G38" i="13"/>
  <c r="G39" i="13" s="1"/>
  <c r="F32" i="13"/>
  <c r="E32" i="13"/>
  <c r="D32" i="13"/>
  <c r="C32" i="13"/>
  <c r="G31" i="13"/>
  <c r="G32" i="13" s="1"/>
  <c r="F25" i="13"/>
  <c r="E25" i="13"/>
  <c r="D25" i="13"/>
  <c r="C25" i="13"/>
  <c r="G24" i="13"/>
  <c r="G25" i="13" s="1"/>
  <c r="G68" i="13" l="1"/>
  <c r="D67" i="12" l="1"/>
  <c r="C67" i="12"/>
  <c r="B67" i="12"/>
  <c r="A67" i="12"/>
  <c r="A66" i="12"/>
  <c r="D65" i="12"/>
  <c r="C65" i="12"/>
  <c r="B65" i="12"/>
  <c r="A65" i="12"/>
  <c r="A64" i="12"/>
  <c r="AE63" i="12"/>
  <c r="A63" i="12"/>
  <c r="D62" i="12"/>
  <c r="C62" i="12"/>
  <c r="B62" i="12"/>
  <c r="A62" i="12"/>
  <c r="D61" i="12"/>
  <c r="C61" i="12"/>
  <c r="B61" i="12"/>
  <c r="A61" i="12"/>
  <c r="A60" i="12"/>
  <c r="D59" i="12"/>
  <c r="C59" i="12"/>
  <c r="B59" i="12"/>
  <c r="A59" i="12"/>
  <c r="D58" i="12"/>
  <c r="C58" i="12"/>
  <c r="B58" i="12"/>
  <c r="A58" i="12"/>
  <c r="D57" i="12"/>
  <c r="C57" i="12"/>
  <c r="B57" i="12"/>
  <c r="A57" i="12"/>
  <c r="D56" i="12"/>
  <c r="C56" i="12"/>
  <c r="B56" i="12"/>
  <c r="A56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A45" i="12"/>
  <c r="D44" i="12"/>
  <c r="C44" i="12"/>
  <c r="B44" i="12"/>
  <c r="A44" i="12"/>
  <c r="D43" i="12"/>
  <c r="C43" i="12"/>
  <c r="B43" i="12"/>
  <c r="A43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A17" i="12"/>
  <c r="AE16" i="12"/>
  <c r="A16" i="12"/>
  <c r="AD12" i="12"/>
  <c r="A1" i="12"/>
  <c r="B24" i="11" l="1"/>
  <c r="D24" i="11"/>
  <c r="J439" i="5"/>
  <c r="J443" i="5"/>
  <c r="J449" i="5"/>
  <c r="F22" i="11" l="1"/>
  <c r="F21" i="11"/>
  <c r="G23" i="11" s="1"/>
  <c r="E23" i="11"/>
  <c r="E24" i="11" s="1"/>
  <c r="C23" i="11"/>
  <c r="D23" i="11"/>
  <c r="C21" i="11"/>
  <c r="C22" i="11"/>
  <c r="B23" i="11"/>
  <c r="E26" i="11" l="1"/>
  <c r="C20" i="11"/>
  <c r="F23" i="11" l="1"/>
  <c r="E16" i="11" s="1"/>
  <c r="F24" i="11"/>
  <c r="C24" i="11"/>
  <c r="F20" i="11"/>
  <c r="D26" i="11" l="1"/>
  <c r="F26" i="11" s="1"/>
  <c r="F25" i="11"/>
  <c r="B26" i="11"/>
  <c r="C26" i="11" s="1"/>
  <c r="A52" i="6" l="1"/>
  <c r="A55" i="7"/>
  <c r="A50" i="7"/>
  <c r="A19" i="7"/>
  <c r="A6" i="8"/>
  <c r="A6" i="9"/>
  <c r="A6" i="10"/>
  <c r="A361" i="5" l="1"/>
  <c r="A354" i="5"/>
  <c r="A13" i="5"/>
  <c r="A309" i="5"/>
  <c r="A282" i="5"/>
  <c r="G32" i="10" l="1"/>
  <c r="D32" i="10"/>
  <c r="C32" i="10"/>
  <c r="B32" i="10"/>
  <c r="A32" i="10"/>
  <c r="G31" i="10"/>
  <c r="D31" i="10"/>
  <c r="C31" i="10"/>
  <c r="B31" i="10"/>
  <c r="A31" i="10"/>
  <c r="G30" i="10"/>
  <c r="D30" i="10"/>
  <c r="C30" i="10"/>
  <c r="B30" i="10"/>
  <c r="A30" i="10"/>
  <c r="G29" i="10"/>
  <c r="D29" i="10"/>
  <c r="C29" i="10"/>
  <c r="B29" i="10"/>
  <c r="A29" i="10"/>
  <c r="G28" i="10"/>
  <c r="D28" i="10"/>
  <c r="C28" i="10"/>
  <c r="B28" i="10"/>
  <c r="A28" i="10"/>
  <c r="G27" i="10"/>
  <c r="D27" i="10"/>
  <c r="C27" i="10"/>
  <c r="B27" i="10"/>
  <c r="A27" i="10"/>
  <c r="G26" i="10"/>
  <c r="D26" i="10"/>
  <c r="C26" i="10"/>
  <c r="B26" i="10"/>
  <c r="A26" i="10"/>
  <c r="A25" i="10"/>
  <c r="G24" i="10"/>
  <c r="D24" i="10"/>
  <c r="C24" i="10"/>
  <c r="B24" i="10"/>
  <c r="A24" i="10"/>
  <c r="G23" i="10"/>
  <c r="D23" i="10"/>
  <c r="C23" i="10"/>
  <c r="B23" i="10"/>
  <c r="A23" i="10"/>
  <c r="G22" i="10"/>
  <c r="D22" i="10"/>
  <c r="C22" i="10"/>
  <c r="B22" i="10"/>
  <c r="A22" i="10"/>
  <c r="G21" i="10"/>
  <c r="D21" i="10"/>
  <c r="C21" i="10"/>
  <c r="B21" i="10"/>
  <c r="A21" i="10"/>
  <c r="G20" i="10"/>
  <c r="D20" i="10"/>
  <c r="C20" i="10"/>
  <c r="B20" i="10"/>
  <c r="A20" i="10"/>
  <c r="G19" i="10"/>
  <c r="D19" i="10"/>
  <c r="C19" i="10"/>
  <c r="B19" i="10"/>
  <c r="A19" i="10"/>
  <c r="G18" i="10"/>
  <c r="D18" i="10"/>
  <c r="C18" i="10"/>
  <c r="B18" i="10"/>
  <c r="A18" i="10"/>
  <c r="A17" i="10"/>
  <c r="C11" i="10"/>
  <c r="AA8" i="10"/>
  <c r="A8" i="10"/>
  <c r="AA3" i="10"/>
  <c r="A3" i="10"/>
  <c r="A1" i="10"/>
  <c r="G24" i="9"/>
  <c r="F24" i="9"/>
  <c r="E24" i="9"/>
  <c r="D24" i="9"/>
  <c r="C24" i="9"/>
  <c r="B24" i="9"/>
  <c r="C23" i="9"/>
  <c r="G22" i="9"/>
  <c r="D22" i="9"/>
  <c r="C22" i="9"/>
  <c r="B22" i="9"/>
  <c r="A22" i="9"/>
  <c r="A21" i="9"/>
  <c r="G20" i="9"/>
  <c r="F20" i="9"/>
  <c r="E20" i="9"/>
  <c r="D20" i="9"/>
  <c r="C20" i="9"/>
  <c r="B20" i="9"/>
  <c r="C19" i="9"/>
  <c r="G18" i="9"/>
  <c r="D18" i="9"/>
  <c r="C18" i="9"/>
  <c r="B18" i="9"/>
  <c r="A18" i="9"/>
  <c r="A17" i="9"/>
  <c r="C11" i="9"/>
  <c r="AA8" i="9"/>
  <c r="A8" i="9"/>
  <c r="AA3" i="9"/>
  <c r="A3" i="9"/>
  <c r="A1" i="9"/>
  <c r="G118" i="8"/>
  <c r="F118" i="8"/>
  <c r="E118" i="8"/>
  <c r="D118" i="8"/>
  <c r="C118" i="8"/>
  <c r="B118" i="8"/>
  <c r="C117" i="8"/>
  <c r="G116" i="8"/>
  <c r="D116" i="8"/>
  <c r="B116" i="8"/>
  <c r="A116" i="8"/>
  <c r="G115" i="8"/>
  <c r="F115" i="8"/>
  <c r="E115" i="8"/>
  <c r="D115" i="8"/>
  <c r="C115" i="8"/>
  <c r="B115" i="8"/>
  <c r="G114" i="8"/>
  <c r="F114" i="8"/>
  <c r="E114" i="8"/>
  <c r="D114" i="8"/>
  <c r="C114" i="8"/>
  <c r="B114" i="8"/>
  <c r="G113" i="8"/>
  <c r="F113" i="8"/>
  <c r="E113" i="8"/>
  <c r="D113" i="8"/>
  <c r="C113" i="8"/>
  <c r="B113" i="8"/>
  <c r="C112" i="8"/>
  <c r="G111" i="8"/>
  <c r="D111" i="8"/>
  <c r="B111" i="8"/>
  <c r="A111" i="8"/>
  <c r="A110" i="8"/>
  <c r="G109" i="8"/>
  <c r="F109" i="8"/>
  <c r="E109" i="8"/>
  <c r="D109" i="8"/>
  <c r="C109" i="8"/>
  <c r="B109" i="8"/>
  <c r="G108" i="8"/>
  <c r="F108" i="8"/>
  <c r="E108" i="8"/>
  <c r="D108" i="8"/>
  <c r="C108" i="8"/>
  <c r="B108" i="8"/>
  <c r="G107" i="8"/>
  <c r="F107" i="8"/>
  <c r="E107" i="8"/>
  <c r="D107" i="8"/>
  <c r="C107" i="8"/>
  <c r="B107" i="8"/>
  <c r="G106" i="8"/>
  <c r="F106" i="8"/>
  <c r="E106" i="8"/>
  <c r="D106" i="8"/>
  <c r="C106" i="8"/>
  <c r="B106" i="8"/>
  <c r="G105" i="8"/>
  <c r="F105" i="8"/>
  <c r="E105" i="8"/>
  <c r="D105" i="8"/>
  <c r="C105" i="8"/>
  <c r="B105" i="8"/>
  <c r="C104" i="8"/>
  <c r="G103" i="8"/>
  <c r="D103" i="8"/>
  <c r="C103" i="8"/>
  <c r="B103" i="8"/>
  <c r="A103" i="8"/>
  <c r="G102" i="8"/>
  <c r="F102" i="8"/>
  <c r="E102" i="8"/>
  <c r="D102" i="8"/>
  <c r="C102" i="8"/>
  <c r="B102" i="8"/>
  <c r="C101" i="8"/>
  <c r="G100" i="8"/>
  <c r="D100" i="8"/>
  <c r="C100" i="8"/>
  <c r="B100" i="8"/>
  <c r="A100" i="8"/>
  <c r="G99" i="8"/>
  <c r="F99" i="8"/>
  <c r="E99" i="8"/>
  <c r="D99" i="8"/>
  <c r="C99" i="8"/>
  <c r="B99" i="8"/>
  <c r="G98" i="8"/>
  <c r="F98" i="8"/>
  <c r="E98" i="8"/>
  <c r="D98" i="8"/>
  <c r="C98" i="8"/>
  <c r="B98" i="8"/>
  <c r="C97" i="8"/>
  <c r="G96" i="8"/>
  <c r="D96" i="8"/>
  <c r="C96" i="8"/>
  <c r="B96" i="8"/>
  <c r="A96" i="8"/>
  <c r="A95" i="8"/>
  <c r="G94" i="8"/>
  <c r="F94" i="8"/>
  <c r="E94" i="8"/>
  <c r="D94" i="8"/>
  <c r="C94" i="8"/>
  <c r="B94" i="8"/>
  <c r="C93" i="8"/>
  <c r="G92" i="8"/>
  <c r="D92" i="8"/>
  <c r="C92" i="8"/>
  <c r="B92" i="8"/>
  <c r="A92" i="8"/>
  <c r="G91" i="8"/>
  <c r="F91" i="8"/>
  <c r="E91" i="8"/>
  <c r="D91" i="8"/>
  <c r="C91" i="8"/>
  <c r="B91" i="8"/>
  <c r="G90" i="8"/>
  <c r="F90" i="8"/>
  <c r="E90" i="8"/>
  <c r="D90" i="8"/>
  <c r="C90" i="8"/>
  <c r="B90" i="8"/>
  <c r="G89" i="8"/>
  <c r="F89" i="8"/>
  <c r="E89" i="8"/>
  <c r="D89" i="8"/>
  <c r="C89" i="8"/>
  <c r="B89" i="8"/>
  <c r="C88" i="8"/>
  <c r="G87" i="8"/>
  <c r="D87" i="8"/>
  <c r="C87" i="8"/>
  <c r="B87" i="8"/>
  <c r="A87" i="8"/>
  <c r="G86" i="8"/>
  <c r="F86" i="8"/>
  <c r="E86" i="8"/>
  <c r="D86" i="8"/>
  <c r="C86" i="8"/>
  <c r="B86" i="8"/>
  <c r="G85" i="8"/>
  <c r="F85" i="8"/>
  <c r="E85" i="8"/>
  <c r="D85" i="8"/>
  <c r="C85" i="8"/>
  <c r="B85" i="8"/>
  <c r="G84" i="8"/>
  <c r="F84" i="8"/>
  <c r="E84" i="8"/>
  <c r="D84" i="8"/>
  <c r="C84" i="8"/>
  <c r="B84" i="8"/>
  <c r="G83" i="8"/>
  <c r="F83" i="8"/>
  <c r="E83" i="8"/>
  <c r="D83" i="8"/>
  <c r="C83" i="8"/>
  <c r="B83" i="8"/>
  <c r="G82" i="8"/>
  <c r="F82" i="8"/>
  <c r="E82" i="8"/>
  <c r="D82" i="8"/>
  <c r="C82" i="8"/>
  <c r="B82" i="8"/>
  <c r="C81" i="8"/>
  <c r="G80" i="8"/>
  <c r="D80" i="8"/>
  <c r="C80" i="8"/>
  <c r="B80" i="8"/>
  <c r="A80" i="8"/>
  <c r="G79" i="8"/>
  <c r="F79" i="8"/>
  <c r="E79" i="8"/>
  <c r="D79" i="8"/>
  <c r="C79" i="8"/>
  <c r="B79" i="8"/>
  <c r="G78" i="8"/>
  <c r="F78" i="8"/>
  <c r="E78" i="8"/>
  <c r="D78" i="8"/>
  <c r="C78" i="8"/>
  <c r="B78" i="8"/>
  <c r="G77" i="8"/>
  <c r="F77" i="8"/>
  <c r="E77" i="8"/>
  <c r="D77" i="8"/>
  <c r="C77" i="8"/>
  <c r="B77" i="8"/>
  <c r="C76" i="8"/>
  <c r="G75" i="8"/>
  <c r="D75" i="8"/>
  <c r="C75" i="8"/>
  <c r="B75" i="8"/>
  <c r="A75" i="8"/>
  <c r="G74" i="8"/>
  <c r="F74" i="8"/>
  <c r="E74" i="8"/>
  <c r="D74" i="8"/>
  <c r="C74" i="8"/>
  <c r="B74" i="8"/>
  <c r="G73" i="8"/>
  <c r="F73" i="8"/>
  <c r="E73" i="8"/>
  <c r="D73" i="8"/>
  <c r="C73" i="8"/>
  <c r="B73" i="8"/>
  <c r="G72" i="8"/>
  <c r="F72" i="8"/>
  <c r="E72" i="8"/>
  <c r="D72" i="8"/>
  <c r="C72" i="8"/>
  <c r="B72" i="8"/>
  <c r="G71" i="8"/>
  <c r="F71" i="8"/>
  <c r="E71" i="8"/>
  <c r="D71" i="8"/>
  <c r="C71" i="8"/>
  <c r="B71" i="8"/>
  <c r="C70" i="8"/>
  <c r="G69" i="8"/>
  <c r="D69" i="8"/>
  <c r="C69" i="8"/>
  <c r="B69" i="8"/>
  <c r="A69" i="8"/>
  <c r="A68" i="8"/>
  <c r="G67" i="8"/>
  <c r="F67" i="8"/>
  <c r="E67" i="8"/>
  <c r="D67" i="8"/>
  <c r="C67" i="8"/>
  <c r="B67" i="8"/>
  <c r="C66" i="8"/>
  <c r="G65" i="8"/>
  <c r="D65" i="8"/>
  <c r="B65" i="8"/>
  <c r="A65" i="8"/>
  <c r="G64" i="8"/>
  <c r="F64" i="8"/>
  <c r="E64" i="8"/>
  <c r="D64" i="8"/>
  <c r="C64" i="8"/>
  <c r="B64" i="8"/>
  <c r="G63" i="8"/>
  <c r="F63" i="8"/>
  <c r="E63" i="8"/>
  <c r="D63" i="8"/>
  <c r="C63" i="8"/>
  <c r="B63" i="8"/>
  <c r="G62" i="8"/>
  <c r="F62" i="8"/>
  <c r="E62" i="8"/>
  <c r="D62" i="8"/>
  <c r="C62" i="8"/>
  <c r="B62" i="8"/>
  <c r="C61" i="8"/>
  <c r="G60" i="8"/>
  <c r="D60" i="8"/>
  <c r="B60" i="8"/>
  <c r="A60" i="8"/>
  <c r="A59" i="8"/>
  <c r="G58" i="8"/>
  <c r="F58" i="8"/>
  <c r="E58" i="8"/>
  <c r="D58" i="8"/>
  <c r="C58" i="8"/>
  <c r="B58" i="8"/>
  <c r="G57" i="8"/>
  <c r="F57" i="8"/>
  <c r="E57" i="8"/>
  <c r="D57" i="8"/>
  <c r="C57" i="8"/>
  <c r="B57" i="8"/>
  <c r="G56" i="8"/>
  <c r="F56" i="8"/>
  <c r="E56" i="8"/>
  <c r="D56" i="8"/>
  <c r="C56" i="8"/>
  <c r="B56" i="8"/>
  <c r="G55" i="8"/>
  <c r="F55" i="8"/>
  <c r="E55" i="8"/>
  <c r="D55" i="8"/>
  <c r="C55" i="8"/>
  <c r="B55" i="8"/>
  <c r="G54" i="8"/>
  <c r="F54" i="8"/>
  <c r="E54" i="8"/>
  <c r="D54" i="8"/>
  <c r="C54" i="8"/>
  <c r="B54" i="8"/>
  <c r="C53" i="8"/>
  <c r="G52" i="8"/>
  <c r="D52" i="8"/>
  <c r="C52" i="8"/>
  <c r="B52" i="8"/>
  <c r="A52" i="8"/>
  <c r="G51" i="8"/>
  <c r="F51" i="8"/>
  <c r="E51" i="8"/>
  <c r="D51" i="8"/>
  <c r="C51" i="8"/>
  <c r="B51" i="8"/>
  <c r="C50" i="8"/>
  <c r="G49" i="8"/>
  <c r="D49" i="8"/>
  <c r="C49" i="8"/>
  <c r="B49" i="8"/>
  <c r="A49" i="8"/>
  <c r="G48" i="8"/>
  <c r="F48" i="8"/>
  <c r="E48" i="8"/>
  <c r="D48" i="8"/>
  <c r="C48" i="8"/>
  <c r="B48" i="8"/>
  <c r="G47" i="8"/>
  <c r="F47" i="8"/>
  <c r="E47" i="8"/>
  <c r="D47" i="8"/>
  <c r="C47" i="8"/>
  <c r="B47" i="8"/>
  <c r="C46" i="8"/>
  <c r="G45" i="8"/>
  <c r="D45" i="8"/>
  <c r="C45" i="8"/>
  <c r="B45" i="8"/>
  <c r="A45" i="8"/>
  <c r="A44" i="8"/>
  <c r="G43" i="8"/>
  <c r="F43" i="8"/>
  <c r="E43" i="8"/>
  <c r="D43" i="8"/>
  <c r="C43" i="8"/>
  <c r="B43" i="8"/>
  <c r="C42" i="8"/>
  <c r="G41" i="8"/>
  <c r="D41" i="8"/>
  <c r="C41" i="8"/>
  <c r="B41" i="8"/>
  <c r="A41" i="8"/>
  <c r="G40" i="8"/>
  <c r="F40" i="8"/>
  <c r="E40" i="8"/>
  <c r="D40" i="8"/>
  <c r="C40" i="8"/>
  <c r="B40" i="8"/>
  <c r="G39" i="8"/>
  <c r="F39" i="8"/>
  <c r="E39" i="8"/>
  <c r="D39" i="8"/>
  <c r="C39" i="8"/>
  <c r="B39" i="8"/>
  <c r="G38" i="8"/>
  <c r="F38" i="8"/>
  <c r="E38" i="8"/>
  <c r="D38" i="8"/>
  <c r="C38" i="8"/>
  <c r="B38" i="8"/>
  <c r="C37" i="8"/>
  <c r="G36" i="8"/>
  <c r="D36" i="8"/>
  <c r="C36" i="8"/>
  <c r="B36" i="8"/>
  <c r="A36" i="8"/>
  <c r="G35" i="8"/>
  <c r="F35" i="8"/>
  <c r="E35" i="8"/>
  <c r="D35" i="8"/>
  <c r="C35" i="8"/>
  <c r="B35" i="8"/>
  <c r="G34" i="8"/>
  <c r="F34" i="8"/>
  <c r="E34" i="8"/>
  <c r="D34" i="8"/>
  <c r="C34" i="8"/>
  <c r="B34" i="8"/>
  <c r="G33" i="8"/>
  <c r="F33" i="8"/>
  <c r="E33" i="8"/>
  <c r="D33" i="8"/>
  <c r="C33" i="8"/>
  <c r="B33" i="8"/>
  <c r="G32" i="8"/>
  <c r="F32" i="8"/>
  <c r="E32" i="8"/>
  <c r="D32" i="8"/>
  <c r="C32" i="8"/>
  <c r="B32" i="8"/>
  <c r="G31" i="8"/>
  <c r="F31" i="8"/>
  <c r="E31" i="8"/>
  <c r="D31" i="8"/>
  <c r="C31" i="8"/>
  <c r="B31" i="8"/>
  <c r="C30" i="8"/>
  <c r="G29" i="8"/>
  <c r="D29" i="8"/>
  <c r="C29" i="8"/>
  <c r="B29" i="8"/>
  <c r="A29" i="8"/>
  <c r="G28" i="8"/>
  <c r="F28" i="8"/>
  <c r="E28" i="8"/>
  <c r="D28" i="8"/>
  <c r="C28" i="8"/>
  <c r="B28" i="8"/>
  <c r="G27" i="8"/>
  <c r="F27" i="8"/>
  <c r="E27" i="8"/>
  <c r="D27" i="8"/>
  <c r="C27" i="8"/>
  <c r="B27" i="8"/>
  <c r="G26" i="8"/>
  <c r="F26" i="8"/>
  <c r="E26" i="8"/>
  <c r="D26" i="8"/>
  <c r="C26" i="8"/>
  <c r="B26" i="8"/>
  <c r="C25" i="8"/>
  <c r="G24" i="8"/>
  <c r="D24" i="8"/>
  <c r="C24" i="8"/>
  <c r="B24" i="8"/>
  <c r="A24" i="8"/>
  <c r="G23" i="8"/>
  <c r="F23" i="8"/>
  <c r="E23" i="8"/>
  <c r="D23" i="8"/>
  <c r="C23" i="8"/>
  <c r="B23" i="8"/>
  <c r="G22" i="8"/>
  <c r="F22" i="8"/>
  <c r="E22" i="8"/>
  <c r="D22" i="8"/>
  <c r="C22" i="8"/>
  <c r="B22" i="8"/>
  <c r="G21" i="8"/>
  <c r="F21" i="8"/>
  <c r="E21" i="8"/>
  <c r="D21" i="8"/>
  <c r="C21" i="8"/>
  <c r="B21" i="8"/>
  <c r="G20" i="8"/>
  <c r="F20" i="8"/>
  <c r="E20" i="8"/>
  <c r="D20" i="8"/>
  <c r="C20" i="8"/>
  <c r="B20" i="8"/>
  <c r="C19" i="8"/>
  <c r="G18" i="8"/>
  <c r="D18" i="8"/>
  <c r="C18" i="8"/>
  <c r="B18" i="8"/>
  <c r="A18" i="8"/>
  <c r="A17" i="8"/>
  <c r="C11" i="8"/>
  <c r="AA8" i="8"/>
  <c r="A8" i="8"/>
  <c r="AA3" i="8"/>
  <c r="A3" i="8"/>
  <c r="A1" i="8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A56" i="7"/>
  <c r="AE55" i="7"/>
  <c r="D54" i="7"/>
  <c r="C54" i="7"/>
  <c r="B54" i="7"/>
  <c r="A54" i="7"/>
  <c r="A53" i="7"/>
  <c r="D52" i="7"/>
  <c r="C52" i="7"/>
  <c r="B52" i="7"/>
  <c r="A52" i="7"/>
  <c r="A51" i="7"/>
  <c r="AE50" i="7"/>
  <c r="D49" i="7"/>
  <c r="C49" i="7"/>
  <c r="B49" i="7"/>
  <c r="A49" i="7"/>
  <c r="D48" i="7"/>
  <c r="C48" i="7"/>
  <c r="B48" i="7"/>
  <c r="A48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A35" i="7"/>
  <c r="D34" i="7"/>
  <c r="C34" i="7"/>
  <c r="B34" i="7"/>
  <c r="A34" i="7"/>
  <c r="D33" i="7"/>
  <c r="C33" i="7"/>
  <c r="B33" i="7"/>
  <c r="A33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A20" i="7"/>
  <c r="AE19" i="7"/>
  <c r="AD12" i="7"/>
  <c r="A11" i="7"/>
  <c r="A1" i="7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A53" i="6"/>
  <c r="AE52" i="6"/>
  <c r="D51" i="6"/>
  <c r="C51" i="6"/>
  <c r="B51" i="6"/>
  <c r="A51" i="6"/>
  <c r="A50" i="6"/>
  <c r="D49" i="6"/>
  <c r="C49" i="6"/>
  <c r="B49" i="6"/>
  <c r="A49" i="6"/>
  <c r="A48" i="6"/>
  <c r="AE47" i="6"/>
  <c r="A47" i="6"/>
  <c r="D46" i="6"/>
  <c r="C46" i="6"/>
  <c r="B46" i="6"/>
  <c r="A46" i="6"/>
  <c r="D45" i="6"/>
  <c r="C45" i="6"/>
  <c r="B45" i="6"/>
  <c r="A45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A32" i="6"/>
  <c r="D31" i="6"/>
  <c r="C31" i="6"/>
  <c r="B31" i="6"/>
  <c r="A31" i="6"/>
  <c r="D30" i="6"/>
  <c r="C30" i="6"/>
  <c r="B30" i="6"/>
  <c r="A30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A17" i="6"/>
  <c r="AE16" i="6"/>
  <c r="A16" i="6"/>
  <c r="AD12" i="6"/>
  <c r="A12" i="6"/>
  <c r="A11" i="6"/>
  <c r="A1" i="6"/>
  <c r="J377" i="5"/>
  <c r="J374" i="5"/>
  <c r="J373" i="5"/>
  <c r="J372" i="5"/>
  <c r="J371" i="5"/>
  <c r="J370" i="5"/>
  <c r="J369" i="5"/>
  <c r="I377" i="5"/>
  <c r="I375" i="5"/>
  <c r="I374" i="5"/>
  <c r="CA438" i="5"/>
  <c r="A434" i="5"/>
  <c r="BP431" i="5"/>
  <c r="BO431" i="5"/>
  <c r="BN431" i="5"/>
  <c r="K430" i="5"/>
  <c r="BE431" i="5" s="1"/>
  <c r="J430" i="5"/>
  <c r="I430" i="5"/>
  <c r="BD431" i="5" s="1"/>
  <c r="H430" i="5"/>
  <c r="G430" i="5"/>
  <c r="F430" i="5"/>
  <c r="BK430" i="5"/>
  <c r="BI430" i="5"/>
  <c r="BG430" i="5"/>
  <c r="BJ430" i="5"/>
  <c r="BH430" i="5"/>
  <c r="BF430" i="5"/>
  <c r="E430" i="5"/>
  <c r="D430" i="5"/>
  <c r="B430" i="5"/>
  <c r="A430" i="5"/>
  <c r="BP428" i="5"/>
  <c r="BO428" i="5"/>
  <c r="BN428" i="5"/>
  <c r="K427" i="5"/>
  <c r="BE428" i="5" s="1"/>
  <c r="J427" i="5"/>
  <c r="I427" i="5"/>
  <c r="BD428" i="5" s="1"/>
  <c r="H427" i="5"/>
  <c r="G427" i="5"/>
  <c r="F427" i="5"/>
  <c r="BK427" i="5"/>
  <c r="BI427" i="5"/>
  <c r="BG427" i="5"/>
  <c r="BJ427" i="5"/>
  <c r="BH427" i="5"/>
  <c r="BF427" i="5"/>
  <c r="E427" i="5"/>
  <c r="D427" i="5"/>
  <c r="B427" i="5"/>
  <c r="A427" i="5"/>
  <c r="BP425" i="5"/>
  <c r="BO425" i="5"/>
  <c r="BN425" i="5"/>
  <c r="K424" i="5"/>
  <c r="BE425" i="5" s="1"/>
  <c r="J424" i="5"/>
  <c r="I424" i="5"/>
  <c r="BD425" i="5" s="1"/>
  <c r="H424" i="5"/>
  <c r="G424" i="5"/>
  <c r="F424" i="5"/>
  <c r="BK424" i="5"/>
  <c r="BI424" i="5"/>
  <c r="BG424" i="5"/>
  <c r="BJ424" i="5"/>
  <c r="BH424" i="5"/>
  <c r="BF424" i="5"/>
  <c r="E424" i="5"/>
  <c r="D424" i="5"/>
  <c r="B424" i="5"/>
  <c r="A424" i="5"/>
  <c r="BP422" i="5"/>
  <c r="BO422" i="5"/>
  <c r="BN422" i="5"/>
  <c r="K421" i="5"/>
  <c r="BE422" i="5" s="1"/>
  <c r="J421" i="5"/>
  <c r="I421" i="5"/>
  <c r="BD422" i="5" s="1"/>
  <c r="H421" i="5"/>
  <c r="G421" i="5"/>
  <c r="F421" i="5"/>
  <c r="BK421" i="5"/>
  <c r="BI421" i="5"/>
  <c r="BG421" i="5"/>
  <c r="BJ421" i="5"/>
  <c r="BH421" i="5"/>
  <c r="BF421" i="5"/>
  <c r="E421" i="5"/>
  <c r="D421" i="5"/>
  <c r="B421" i="5"/>
  <c r="A421" i="5"/>
  <c r="BP419" i="5"/>
  <c r="BO419" i="5"/>
  <c r="BN419" i="5"/>
  <c r="K418" i="5"/>
  <c r="BE419" i="5" s="1"/>
  <c r="J418" i="5"/>
  <c r="I418" i="5"/>
  <c r="BD419" i="5" s="1"/>
  <c r="H418" i="5"/>
  <c r="G418" i="5"/>
  <c r="F418" i="5"/>
  <c r="BK418" i="5"/>
  <c r="BI418" i="5"/>
  <c r="BG418" i="5"/>
  <c r="BJ418" i="5"/>
  <c r="BH418" i="5"/>
  <c r="BF418" i="5"/>
  <c r="E418" i="5"/>
  <c r="D418" i="5"/>
  <c r="B418" i="5"/>
  <c r="A418" i="5"/>
  <c r="BP416" i="5"/>
  <c r="BO416" i="5"/>
  <c r="BN416" i="5"/>
  <c r="K415" i="5"/>
  <c r="BE416" i="5" s="1"/>
  <c r="J415" i="5"/>
  <c r="I415" i="5"/>
  <c r="BD416" i="5" s="1"/>
  <c r="H415" i="5"/>
  <c r="G415" i="5"/>
  <c r="F415" i="5"/>
  <c r="BK415" i="5"/>
  <c r="BI415" i="5"/>
  <c r="BG415" i="5"/>
  <c r="BJ415" i="5"/>
  <c r="BH415" i="5"/>
  <c r="BF415" i="5"/>
  <c r="E415" i="5"/>
  <c r="D415" i="5"/>
  <c r="B415" i="5"/>
  <c r="A415" i="5"/>
  <c r="BP413" i="5"/>
  <c r="BO413" i="5"/>
  <c r="BN413" i="5"/>
  <c r="K412" i="5"/>
  <c r="BE413" i="5" s="1"/>
  <c r="J412" i="5"/>
  <c r="I412" i="5"/>
  <c r="BD413" i="5" s="1"/>
  <c r="H412" i="5"/>
  <c r="G412" i="5"/>
  <c r="F412" i="5"/>
  <c r="BK412" i="5"/>
  <c r="BI412" i="5"/>
  <c r="BG412" i="5"/>
  <c r="BJ412" i="5"/>
  <c r="BH412" i="5"/>
  <c r="BF412" i="5"/>
  <c r="E412" i="5"/>
  <c r="D412" i="5"/>
  <c r="B412" i="5"/>
  <c r="A412" i="5"/>
  <c r="A411" i="5"/>
  <c r="A407" i="5"/>
  <c r="BP404" i="5"/>
  <c r="BO404" i="5"/>
  <c r="BN404" i="5"/>
  <c r="K403" i="5"/>
  <c r="BE404" i="5" s="1"/>
  <c r="J403" i="5"/>
  <c r="I403" i="5"/>
  <c r="BD404" i="5" s="1"/>
  <c r="H403" i="5"/>
  <c r="G403" i="5"/>
  <c r="F403" i="5"/>
  <c r="BK403" i="5"/>
  <c r="BI403" i="5"/>
  <c r="BG403" i="5"/>
  <c r="BJ403" i="5"/>
  <c r="BH403" i="5"/>
  <c r="BF403" i="5"/>
  <c r="E403" i="5"/>
  <c r="D403" i="5"/>
  <c r="B403" i="5"/>
  <c r="A403" i="5"/>
  <c r="BP401" i="5"/>
  <c r="BO401" i="5"/>
  <c r="BN401" i="5"/>
  <c r="K400" i="5"/>
  <c r="BE401" i="5" s="1"/>
  <c r="J400" i="5"/>
  <c r="I400" i="5"/>
  <c r="BD401" i="5" s="1"/>
  <c r="H400" i="5"/>
  <c r="G400" i="5"/>
  <c r="F400" i="5"/>
  <c r="BK400" i="5"/>
  <c r="BI400" i="5"/>
  <c r="BG400" i="5"/>
  <c r="BJ400" i="5"/>
  <c r="BH400" i="5"/>
  <c r="BF400" i="5"/>
  <c r="E400" i="5"/>
  <c r="D400" i="5"/>
  <c r="B400" i="5"/>
  <c r="A400" i="5"/>
  <c r="BP398" i="5"/>
  <c r="BO398" i="5"/>
  <c r="BN398" i="5"/>
  <c r="K397" i="5"/>
  <c r="BE398" i="5" s="1"/>
  <c r="J397" i="5"/>
  <c r="I397" i="5"/>
  <c r="BD398" i="5" s="1"/>
  <c r="H397" i="5"/>
  <c r="G397" i="5"/>
  <c r="F397" i="5"/>
  <c r="BK397" i="5"/>
  <c r="BI397" i="5"/>
  <c r="BG397" i="5"/>
  <c r="BJ397" i="5"/>
  <c r="BH397" i="5"/>
  <c r="BF397" i="5"/>
  <c r="E397" i="5"/>
  <c r="D397" i="5"/>
  <c r="B397" i="5"/>
  <c r="A397" i="5"/>
  <c r="BP395" i="5"/>
  <c r="BO395" i="5"/>
  <c r="BN395" i="5"/>
  <c r="K394" i="5"/>
  <c r="BE395" i="5" s="1"/>
  <c r="J394" i="5"/>
  <c r="I394" i="5"/>
  <c r="BD395" i="5" s="1"/>
  <c r="H394" i="5"/>
  <c r="G394" i="5"/>
  <c r="F394" i="5"/>
  <c r="BK394" i="5"/>
  <c r="BI394" i="5"/>
  <c r="BG394" i="5"/>
  <c r="BJ394" i="5"/>
  <c r="BH394" i="5"/>
  <c r="BF394" i="5"/>
  <c r="E394" i="5"/>
  <c r="D394" i="5"/>
  <c r="B394" i="5"/>
  <c r="A394" i="5"/>
  <c r="BP392" i="5"/>
  <c r="BO392" i="5"/>
  <c r="BN392" i="5"/>
  <c r="K391" i="5"/>
  <c r="BE392" i="5" s="1"/>
  <c r="J391" i="5"/>
  <c r="I391" i="5"/>
  <c r="BD392" i="5" s="1"/>
  <c r="H391" i="5"/>
  <c r="G391" i="5"/>
  <c r="F391" i="5"/>
  <c r="BK391" i="5"/>
  <c r="BI391" i="5"/>
  <c r="BG391" i="5"/>
  <c r="BJ391" i="5"/>
  <c r="BH391" i="5"/>
  <c r="BF391" i="5"/>
  <c r="E391" i="5"/>
  <c r="D391" i="5"/>
  <c r="B391" i="5"/>
  <c r="A391" i="5"/>
  <c r="BP389" i="5"/>
  <c r="BO389" i="5"/>
  <c r="BN389" i="5"/>
  <c r="K388" i="5"/>
  <c r="BE389" i="5" s="1"/>
  <c r="J388" i="5"/>
  <c r="I388" i="5"/>
  <c r="BD389" i="5" s="1"/>
  <c r="H388" i="5"/>
  <c r="G388" i="5"/>
  <c r="F388" i="5"/>
  <c r="BK388" i="5"/>
  <c r="BI388" i="5"/>
  <c r="BG388" i="5"/>
  <c r="BJ388" i="5"/>
  <c r="BH388" i="5"/>
  <c r="BF388" i="5"/>
  <c r="E388" i="5"/>
  <c r="D388" i="5"/>
  <c r="B388" i="5"/>
  <c r="A388" i="5"/>
  <c r="BP386" i="5"/>
  <c r="I373" i="5" s="1"/>
  <c r="BO386" i="5"/>
  <c r="I372" i="5" s="1"/>
  <c r="BN386" i="5"/>
  <c r="I371" i="5" s="1"/>
  <c r="K385" i="5"/>
  <c r="BE386" i="5" s="1"/>
  <c r="J385" i="5"/>
  <c r="I385" i="5"/>
  <c r="BD386" i="5" s="1"/>
  <c r="H385" i="5"/>
  <c r="G385" i="5"/>
  <c r="F385" i="5"/>
  <c r="BK385" i="5"/>
  <c r="BI385" i="5"/>
  <c r="BG385" i="5"/>
  <c r="BJ385" i="5"/>
  <c r="BH385" i="5"/>
  <c r="BF385" i="5"/>
  <c r="E385" i="5"/>
  <c r="D385" i="5"/>
  <c r="B385" i="5"/>
  <c r="A385" i="5"/>
  <c r="A384" i="5"/>
  <c r="A366" i="5"/>
  <c r="BZ363" i="5"/>
  <c r="A359" i="5"/>
  <c r="J325" i="5"/>
  <c r="J322" i="5"/>
  <c r="J321" i="5"/>
  <c r="J320" i="5"/>
  <c r="J319" i="5"/>
  <c r="J318" i="5"/>
  <c r="J317" i="5"/>
  <c r="I325" i="5"/>
  <c r="I323" i="5"/>
  <c r="I322" i="5"/>
  <c r="CA354" i="5"/>
  <c r="CA350" i="5"/>
  <c r="A350" i="5"/>
  <c r="BO347" i="5"/>
  <c r="BN347" i="5"/>
  <c r="BM347" i="5"/>
  <c r="K346" i="5"/>
  <c r="BE347" i="5" s="1"/>
  <c r="J350" i="5" s="1"/>
  <c r="J346" i="5"/>
  <c r="I346" i="5"/>
  <c r="BP347" i="5" s="1"/>
  <c r="H346" i="5"/>
  <c r="G346" i="5"/>
  <c r="F346" i="5"/>
  <c r="C345" i="5"/>
  <c r="BK344" i="5"/>
  <c r="BI344" i="5"/>
  <c r="BG344" i="5"/>
  <c r="BJ344" i="5"/>
  <c r="BH344" i="5"/>
  <c r="BF344" i="5"/>
  <c r="E344" i="5"/>
  <c r="D344" i="5"/>
  <c r="B344" i="5"/>
  <c r="A344" i="5"/>
  <c r="A343" i="5"/>
  <c r="CA339" i="5"/>
  <c r="A339" i="5"/>
  <c r="BO336" i="5"/>
  <c r="I320" i="5" s="1"/>
  <c r="BN336" i="5"/>
  <c r="I319" i="5" s="1"/>
  <c r="BM336" i="5"/>
  <c r="I318" i="5" s="1"/>
  <c r="K335" i="5"/>
  <c r="BE336" i="5" s="1"/>
  <c r="J335" i="5"/>
  <c r="I335" i="5"/>
  <c r="BP336" i="5" s="1"/>
  <c r="I321" i="5" s="1"/>
  <c r="H335" i="5"/>
  <c r="G335" i="5"/>
  <c r="F335" i="5"/>
  <c r="C334" i="5"/>
  <c r="BK333" i="5"/>
  <c r="BI333" i="5"/>
  <c r="BG333" i="5"/>
  <c r="BJ333" i="5"/>
  <c r="BH333" i="5"/>
  <c r="BF333" i="5"/>
  <c r="E333" i="5"/>
  <c r="D333" i="5"/>
  <c r="B333" i="5"/>
  <c r="A333" i="5"/>
  <c r="A332" i="5"/>
  <c r="A314" i="5"/>
  <c r="A311" i="5"/>
  <c r="A307" i="5"/>
  <c r="J29" i="5"/>
  <c r="J26" i="5"/>
  <c r="J25" i="5"/>
  <c r="J24" i="5"/>
  <c r="J23" i="5"/>
  <c r="J22" i="5"/>
  <c r="J21" i="5"/>
  <c r="I29" i="5"/>
  <c r="CA282" i="5"/>
  <c r="CA278" i="5"/>
  <c r="A278" i="5"/>
  <c r="BP275" i="5"/>
  <c r="BO275" i="5"/>
  <c r="BN275" i="5"/>
  <c r="I274" i="5"/>
  <c r="BQ274" i="5" s="1"/>
  <c r="H274" i="5"/>
  <c r="G274" i="5"/>
  <c r="E274" i="5"/>
  <c r="J273" i="5"/>
  <c r="E273" i="5"/>
  <c r="J272" i="5"/>
  <c r="E272" i="5"/>
  <c r="K271" i="5"/>
  <c r="J271" i="5"/>
  <c r="I271" i="5"/>
  <c r="H271" i="5"/>
  <c r="G271" i="5"/>
  <c r="F271" i="5"/>
  <c r="C270" i="5"/>
  <c r="BK269" i="5"/>
  <c r="BI269" i="5"/>
  <c r="K273" i="5" s="1"/>
  <c r="BG269" i="5"/>
  <c r="K272" i="5" s="1"/>
  <c r="BJ269" i="5"/>
  <c r="BH269" i="5"/>
  <c r="I273" i="5" s="1"/>
  <c r="BF269" i="5"/>
  <c r="I272" i="5" s="1"/>
  <c r="E269" i="5"/>
  <c r="D269" i="5"/>
  <c r="B269" i="5"/>
  <c r="A269" i="5"/>
  <c r="BP267" i="5"/>
  <c r="BO267" i="5"/>
  <c r="BN267" i="5"/>
  <c r="I266" i="5"/>
  <c r="BQ266" i="5" s="1"/>
  <c r="H266" i="5"/>
  <c r="G266" i="5"/>
  <c r="E266" i="5"/>
  <c r="J265" i="5"/>
  <c r="E265" i="5"/>
  <c r="J264" i="5"/>
  <c r="E264" i="5"/>
  <c r="J263" i="5"/>
  <c r="E263" i="5"/>
  <c r="K262" i="5"/>
  <c r="J262" i="5"/>
  <c r="I262" i="5"/>
  <c r="H262" i="5"/>
  <c r="G262" i="5"/>
  <c r="F262" i="5"/>
  <c r="K261" i="5"/>
  <c r="J261" i="5"/>
  <c r="BL261" i="5"/>
  <c r="I261" i="5"/>
  <c r="H261" i="5"/>
  <c r="G261" i="5"/>
  <c r="F261" i="5"/>
  <c r="K260" i="5"/>
  <c r="J260" i="5"/>
  <c r="I260" i="5"/>
  <c r="H260" i="5"/>
  <c r="G260" i="5"/>
  <c r="F260" i="5"/>
  <c r="K259" i="5"/>
  <c r="J259" i="5"/>
  <c r="I259" i="5"/>
  <c r="H259" i="5"/>
  <c r="G259" i="5"/>
  <c r="F259" i="5"/>
  <c r="C258" i="5"/>
  <c r="BK257" i="5"/>
  <c r="K265" i="5" s="1"/>
  <c r="BI257" i="5"/>
  <c r="K264" i="5" s="1"/>
  <c r="BG257" i="5"/>
  <c r="K263" i="5" s="1"/>
  <c r="BJ257" i="5"/>
  <c r="I265" i="5" s="1"/>
  <c r="BH257" i="5"/>
  <c r="I264" i="5" s="1"/>
  <c r="BF257" i="5"/>
  <c r="I263" i="5" s="1"/>
  <c r="E257" i="5"/>
  <c r="D257" i="5"/>
  <c r="B257" i="5"/>
  <c r="A257" i="5"/>
  <c r="A256" i="5"/>
  <c r="CA252" i="5"/>
  <c r="A252" i="5"/>
  <c r="BP249" i="5"/>
  <c r="BO249" i="5"/>
  <c r="BN249" i="5"/>
  <c r="I248" i="5"/>
  <c r="BQ248" i="5" s="1"/>
  <c r="H248" i="5"/>
  <c r="G248" i="5"/>
  <c r="E248" i="5"/>
  <c r="J247" i="5"/>
  <c r="E247" i="5"/>
  <c r="J246" i="5"/>
  <c r="E246" i="5"/>
  <c r="J245" i="5"/>
  <c r="E245" i="5"/>
  <c r="K244" i="5"/>
  <c r="J244" i="5"/>
  <c r="I244" i="5"/>
  <c r="H244" i="5"/>
  <c r="G244" i="5"/>
  <c r="F244" i="5"/>
  <c r="K243" i="5"/>
  <c r="J243" i="5"/>
  <c r="I243" i="5"/>
  <c r="BL243" i="5" s="1"/>
  <c r="H243" i="5"/>
  <c r="G243" i="5"/>
  <c r="F243" i="5"/>
  <c r="K242" i="5"/>
  <c r="J242" i="5"/>
  <c r="I242" i="5"/>
  <c r="H242" i="5"/>
  <c r="G242" i="5"/>
  <c r="F242" i="5"/>
  <c r="K241" i="5"/>
  <c r="J241" i="5"/>
  <c r="BL241" i="5"/>
  <c r="I241" i="5"/>
  <c r="H241" i="5"/>
  <c r="G241" i="5"/>
  <c r="F241" i="5"/>
  <c r="C240" i="5"/>
  <c r="BK239" i="5"/>
  <c r="K247" i="5" s="1"/>
  <c r="BI239" i="5"/>
  <c r="K246" i="5" s="1"/>
  <c r="BG239" i="5"/>
  <c r="K245" i="5" s="1"/>
  <c r="BJ239" i="5"/>
  <c r="I247" i="5" s="1"/>
  <c r="BH239" i="5"/>
  <c r="I246" i="5" s="1"/>
  <c r="BF239" i="5"/>
  <c r="I245" i="5" s="1"/>
  <c r="E239" i="5"/>
  <c r="D239" i="5"/>
  <c r="B239" i="5"/>
  <c r="A239" i="5"/>
  <c r="BP237" i="5"/>
  <c r="BO237" i="5"/>
  <c r="BN237" i="5"/>
  <c r="I236" i="5"/>
  <c r="BQ236" i="5" s="1"/>
  <c r="H236" i="5"/>
  <c r="G236" i="5"/>
  <c r="E236" i="5"/>
  <c r="J235" i="5"/>
  <c r="E235" i="5"/>
  <c r="J234" i="5"/>
  <c r="E234" i="5"/>
  <c r="K233" i="5"/>
  <c r="J233" i="5"/>
  <c r="I233" i="5"/>
  <c r="BL233" i="5" s="1"/>
  <c r="H233" i="5"/>
  <c r="G233" i="5"/>
  <c r="F233" i="5"/>
  <c r="C232" i="5"/>
  <c r="BK231" i="5"/>
  <c r="BI231" i="5"/>
  <c r="K235" i="5" s="1"/>
  <c r="BG231" i="5"/>
  <c r="K234" i="5" s="1"/>
  <c r="BJ231" i="5"/>
  <c r="BH231" i="5"/>
  <c r="I235" i="5" s="1"/>
  <c r="BF231" i="5"/>
  <c r="I234" i="5" s="1"/>
  <c r="E231" i="5"/>
  <c r="D231" i="5"/>
  <c r="B231" i="5"/>
  <c r="A231" i="5"/>
  <c r="BP229" i="5"/>
  <c r="BO229" i="5"/>
  <c r="BN229" i="5"/>
  <c r="I228" i="5"/>
  <c r="BQ228" i="5" s="1"/>
  <c r="H228" i="5"/>
  <c r="G228" i="5"/>
  <c r="E228" i="5"/>
  <c r="J227" i="5"/>
  <c r="E227" i="5"/>
  <c r="J226" i="5"/>
  <c r="E226" i="5"/>
  <c r="J225" i="5"/>
  <c r="E225" i="5"/>
  <c r="K224" i="5"/>
  <c r="J224" i="5"/>
  <c r="I224" i="5"/>
  <c r="BL224" i="5" s="1"/>
  <c r="H224" i="5"/>
  <c r="G224" i="5"/>
  <c r="F224" i="5"/>
  <c r="K223" i="5"/>
  <c r="J223" i="5"/>
  <c r="I223" i="5"/>
  <c r="H223" i="5"/>
  <c r="G223" i="5"/>
  <c r="F223" i="5"/>
  <c r="K222" i="5"/>
  <c r="J222" i="5"/>
  <c r="BL222" i="5"/>
  <c r="I222" i="5"/>
  <c r="H222" i="5"/>
  <c r="G222" i="5"/>
  <c r="F222" i="5"/>
  <c r="C221" i="5"/>
  <c r="BK220" i="5"/>
  <c r="K227" i="5" s="1"/>
  <c r="BI220" i="5"/>
  <c r="K226" i="5" s="1"/>
  <c r="BG220" i="5"/>
  <c r="K225" i="5" s="1"/>
  <c r="BJ220" i="5"/>
  <c r="I227" i="5" s="1"/>
  <c r="BH220" i="5"/>
  <c r="I226" i="5" s="1"/>
  <c r="BF220" i="5"/>
  <c r="I225" i="5" s="1"/>
  <c r="E220" i="5"/>
  <c r="D220" i="5"/>
  <c r="B220" i="5"/>
  <c r="A220" i="5"/>
  <c r="A219" i="5"/>
  <c r="CA215" i="5"/>
  <c r="A215" i="5"/>
  <c r="BP212" i="5"/>
  <c r="BO212" i="5"/>
  <c r="BN212" i="5"/>
  <c r="I211" i="5"/>
  <c r="BQ211" i="5" s="1"/>
  <c r="H211" i="5"/>
  <c r="G211" i="5"/>
  <c r="E211" i="5"/>
  <c r="J210" i="5"/>
  <c r="E210" i="5"/>
  <c r="J209" i="5"/>
  <c r="E209" i="5"/>
  <c r="K208" i="5"/>
  <c r="J208" i="5"/>
  <c r="I208" i="5"/>
  <c r="BL208" i="5" s="1"/>
  <c r="H208" i="5"/>
  <c r="G208" i="5"/>
  <c r="F208" i="5"/>
  <c r="C207" i="5"/>
  <c r="BK206" i="5"/>
  <c r="BI206" i="5"/>
  <c r="K210" i="5" s="1"/>
  <c r="BG206" i="5"/>
  <c r="K209" i="5" s="1"/>
  <c r="BJ206" i="5"/>
  <c r="BH206" i="5"/>
  <c r="I210" i="5" s="1"/>
  <c r="BF206" i="5"/>
  <c r="I209" i="5" s="1"/>
  <c r="E206" i="5"/>
  <c r="D206" i="5"/>
  <c r="B206" i="5"/>
  <c r="A206" i="5"/>
  <c r="BP204" i="5"/>
  <c r="BO204" i="5"/>
  <c r="BN204" i="5"/>
  <c r="I203" i="5"/>
  <c r="BQ203" i="5" s="1"/>
  <c r="H203" i="5"/>
  <c r="G203" i="5"/>
  <c r="E203" i="5"/>
  <c r="J202" i="5"/>
  <c r="E202" i="5"/>
  <c r="J201" i="5"/>
  <c r="E201" i="5"/>
  <c r="J200" i="5"/>
  <c r="E200" i="5"/>
  <c r="K199" i="5"/>
  <c r="J199" i="5"/>
  <c r="I199" i="5"/>
  <c r="BL199" i="5" s="1"/>
  <c r="H199" i="5"/>
  <c r="G199" i="5"/>
  <c r="F199" i="5"/>
  <c r="K198" i="5"/>
  <c r="J198" i="5"/>
  <c r="I198" i="5"/>
  <c r="H198" i="5"/>
  <c r="G198" i="5"/>
  <c r="F198" i="5"/>
  <c r="K197" i="5"/>
  <c r="J197" i="5"/>
  <c r="BL197" i="5"/>
  <c r="I197" i="5"/>
  <c r="H197" i="5"/>
  <c r="G197" i="5"/>
  <c r="F197" i="5"/>
  <c r="C196" i="5"/>
  <c r="BK195" i="5"/>
  <c r="K202" i="5" s="1"/>
  <c r="BI195" i="5"/>
  <c r="K201" i="5" s="1"/>
  <c r="BG195" i="5"/>
  <c r="K200" i="5" s="1"/>
  <c r="BJ195" i="5"/>
  <c r="I202" i="5" s="1"/>
  <c r="BH195" i="5"/>
  <c r="I201" i="5" s="1"/>
  <c r="BF195" i="5"/>
  <c r="I200" i="5" s="1"/>
  <c r="E195" i="5"/>
  <c r="D195" i="5"/>
  <c r="B195" i="5"/>
  <c r="A195" i="5"/>
  <c r="BP193" i="5"/>
  <c r="BO193" i="5"/>
  <c r="BN193" i="5"/>
  <c r="I192" i="5"/>
  <c r="BQ192" i="5" s="1"/>
  <c r="H192" i="5"/>
  <c r="G192" i="5"/>
  <c r="E192" i="5"/>
  <c r="J191" i="5"/>
  <c r="E191" i="5"/>
  <c r="J190" i="5"/>
  <c r="E190" i="5"/>
  <c r="J189" i="5"/>
  <c r="E189" i="5"/>
  <c r="K188" i="5"/>
  <c r="J188" i="5"/>
  <c r="I188" i="5"/>
  <c r="H188" i="5"/>
  <c r="G188" i="5"/>
  <c r="F188" i="5"/>
  <c r="K187" i="5"/>
  <c r="J187" i="5"/>
  <c r="I187" i="5"/>
  <c r="BL187" i="5" s="1"/>
  <c r="H187" i="5"/>
  <c r="G187" i="5"/>
  <c r="F187" i="5"/>
  <c r="K186" i="5"/>
  <c r="J186" i="5"/>
  <c r="I186" i="5"/>
  <c r="H186" i="5"/>
  <c r="G186" i="5"/>
  <c r="F186" i="5"/>
  <c r="K185" i="5"/>
  <c r="J185" i="5"/>
  <c r="I185" i="5"/>
  <c r="H185" i="5"/>
  <c r="G185" i="5"/>
  <c r="F185" i="5"/>
  <c r="C184" i="5"/>
  <c r="BK183" i="5"/>
  <c r="K191" i="5" s="1"/>
  <c r="BI183" i="5"/>
  <c r="K190" i="5" s="1"/>
  <c r="BG183" i="5"/>
  <c r="K189" i="5" s="1"/>
  <c r="BJ183" i="5"/>
  <c r="I191" i="5" s="1"/>
  <c r="BH183" i="5"/>
  <c r="I190" i="5" s="1"/>
  <c r="BF183" i="5"/>
  <c r="I189" i="5" s="1"/>
  <c r="E183" i="5"/>
  <c r="D183" i="5"/>
  <c r="B183" i="5"/>
  <c r="A183" i="5"/>
  <c r="BP181" i="5"/>
  <c r="BO181" i="5"/>
  <c r="BN181" i="5"/>
  <c r="I180" i="5"/>
  <c r="BQ180" i="5" s="1"/>
  <c r="H180" i="5"/>
  <c r="G180" i="5"/>
  <c r="E180" i="5"/>
  <c r="J179" i="5"/>
  <c r="E179" i="5"/>
  <c r="J178" i="5"/>
  <c r="E178" i="5"/>
  <c r="K177" i="5"/>
  <c r="J177" i="5"/>
  <c r="H177" i="5"/>
  <c r="BP177" i="5"/>
  <c r="BO177" i="5"/>
  <c r="BN177" i="5"/>
  <c r="I177" i="5"/>
  <c r="BM177" i="5" s="1"/>
  <c r="F177" i="5"/>
  <c r="BK177" i="5"/>
  <c r="BI177" i="5"/>
  <c r="BG177" i="5"/>
  <c r="BJ177" i="5"/>
  <c r="BH177" i="5"/>
  <c r="BF177" i="5"/>
  <c r="E177" i="5"/>
  <c r="D177" i="5"/>
  <c r="B177" i="5"/>
  <c r="A177" i="5"/>
  <c r="K176" i="5"/>
  <c r="J176" i="5"/>
  <c r="I176" i="5"/>
  <c r="H176" i="5"/>
  <c r="G176" i="5"/>
  <c r="F176" i="5"/>
  <c r="K175" i="5"/>
  <c r="J175" i="5"/>
  <c r="BL175" i="5"/>
  <c r="I175" i="5"/>
  <c r="H175" i="5"/>
  <c r="G175" i="5"/>
  <c r="F175" i="5"/>
  <c r="C174" i="5"/>
  <c r="BK173" i="5"/>
  <c r="BI173" i="5"/>
  <c r="K179" i="5" s="1"/>
  <c r="BG173" i="5"/>
  <c r="K178" i="5" s="1"/>
  <c r="BJ173" i="5"/>
  <c r="BH173" i="5"/>
  <c r="I179" i="5" s="1"/>
  <c r="BF173" i="5"/>
  <c r="I178" i="5" s="1"/>
  <c r="E173" i="5"/>
  <c r="D173" i="5"/>
  <c r="B173" i="5"/>
  <c r="A173" i="5"/>
  <c r="BP171" i="5"/>
  <c r="BO171" i="5"/>
  <c r="BN171" i="5"/>
  <c r="I170" i="5"/>
  <c r="BQ170" i="5" s="1"/>
  <c r="H170" i="5"/>
  <c r="G170" i="5"/>
  <c r="E170" i="5"/>
  <c r="J169" i="5"/>
  <c r="E169" i="5"/>
  <c r="J168" i="5"/>
  <c r="E168" i="5"/>
  <c r="J167" i="5"/>
  <c r="E167" i="5"/>
  <c r="K166" i="5"/>
  <c r="J166" i="5"/>
  <c r="H166" i="5"/>
  <c r="BP166" i="5"/>
  <c r="BO166" i="5"/>
  <c r="BN166" i="5"/>
  <c r="I166" i="5"/>
  <c r="BM166" i="5" s="1"/>
  <c r="F166" i="5"/>
  <c r="BK166" i="5"/>
  <c r="BI166" i="5"/>
  <c r="BG166" i="5"/>
  <c r="BJ166" i="5"/>
  <c r="BH166" i="5"/>
  <c r="BF166" i="5"/>
  <c r="E166" i="5"/>
  <c r="D166" i="5"/>
  <c r="B166" i="5"/>
  <c r="A166" i="5"/>
  <c r="K165" i="5"/>
  <c r="J165" i="5"/>
  <c r="I165" i="5"/>
  <c r="H165" i="5"/>
  <c r="G165" i="5"/>
  <c r="F165" i="5"/>
  <c r="K164" i="5"/>
  <c r="J164" i="5"/>
  <c r="I164" i="5"/>
  <c r="BL164" i="5" s="1"/>
  <c r="H164" i="5"/>
  <c r="G164" i="5"/>
  <c r="F164" i="5"/>
  <c r="K163" i="5"/>
  <c r="J163" i="5"/>
  <c r="I163" i="5"/>
  <c r="H163" i="5"/>
  <c r="G163" i="5"/>
  <c r="F163" i="5"/>
  <c r="K162" i="5"/>
  <c r="J162" i="5"/>
  <c r="I162" i="5"/>
  <c r="H162" i="5"/>
  <c r="G162" i="5"/>
  <c r="F162" i="5"/>
  <c r="C161" i="5"/>
  <c r="BK160" i="5"/>
  <c r="K169" i="5" s="1"/>
  <c r="BI160" i="5"/>
  <c r="K168" i="5" s="1"/>
  <c r="BG160" i="5"/>
  <c r="K167" i="5" s="1"/>
  <c r="BJ160" i="5"/>
  <c r="I169" i="5" s="1"/>
  <c r="BH160" i="5"/>
  <c r="I168" i="5" s="1"/>
  <c r="BF160" i="5"/>
  <c r="I167" i="5" s="1"/>
  <c r="E160" i="5"/>
  <c r="D160" i="5"/>
  <c r="B160" i="5"/>
  <c r="A160" i="5"/>
  <c r="A159" i="5"/>
  <c r="CA155" i="5"/>
  <c r="A155" i="5"/>
  <c r="BP152" i="5"/>
  <c r="BO152" i="5"/>
  <c r="BN152" i="5"/>
  <c r="I151" i="5"/>
  <c r="BQ151" i="5" s="1"/>
  <c r="H151" i="5"/>
  <c r="G151" i="5"/>
  <c r="E151" i="5"/>
  <c r="J150" i="5"/>
  <c r="E150" i="5"/>
  <c r="J149" i="5"/>
  <c r="E149" i="5"/>
  <c r="K148" i="5"/>
  <c r="J148" i="5"/>
  <c r="I148" i="5"/>
  <c r="H148" i="5"/>
  <c r="G148" i="5"/>
  <c r="F148" i="5"/>
  <c r="C147" i="5"/>
  <c r="BK146" i="5"/>
  <c r="BI146" i="5"/>
  <c r="K150" i="5" s="1"/>
  <c r="BG146" i="5"/>
  <c r="K149" i="5" s="1"/>
  <c r="BJ146" i="5"/>
  <c r="BH146" i="5"/>
  <c r="I150" i="5" s="1"/>
  <c r="BF146" i="5"/>
  <c r="I149" i="5" s="1"/>
  <c r="E146" i="5"/>
  <c r="D146" i="5"/>
  <c r="B146" i="5"/>
  <c r="A146" i="5"/>
  <c r="BP144" i="5"/>
  <c r="BO144" i="5"/>
  <c r="BN144" i="5"/>
  <c r="I143" i="5"/>
  <c r="BQ143" i="5" s="1"/>
  <c r="H143" i="5"/>
  <c r="G143" i="5"/>
  <c r="E143" i="5"/>
  <c r="J142" i="5"/>
  <c r="E142" i="5"/>
  <c r="J141" i="5"/>
  <c r="E141" i="5"/>
  <c r="J140" i="5"/>
  <c r="E140" i="5"/>
  <c r="K139" i="5"/>
  <c r="J139" i="5"/>
  <c r="I139" i="5"/>
  <c r="H139" i="5"/>
  <c r="G139" i="5"/>
  <c r="F139" i="5"/>
  <c r="K138" i="5"/>
  <c r="J138" i="5"/>
  <c r="I138" i="5"/>
  <c r="BL138" i="5" s="1"/>
  <c r="H138" i="5"/>
  <c r="G138" i="5"/>
  <c r="F138" i="5"/>
  <c r="K137" i="5"/>
  <c r="J137" i="5"/>
  <c r="I137" i="5"/>
  <c r="H137" i="5"/>
  <c r="G137" i="5"/>
  <c r="F137" i="5"/>
  <c r="K136" i="5"/>
  <c r="J136" i="5"/>
  <c r="I136" i="5"/>
  <c r="H136" i="5"/>
  <c r="G136" i="5"/>
  <c r="F136" i="5"/>
  <c r="C135" i="5"/>
  <c r="BK134" i="5"/>
  <c r="K142" i="5" s="1"/>
  <c r="BI134" i="5"/>
  <c r="K141" i="5" s="1"/>
  <c r="BG134" i="5"/>
  <c r="K140" i="5" s="1"/>
  <c r="BJ134" i="5"/>
  <c r="I142" i="5" s="1"/>
  <c r="BH134" i="5"/>
  <c r="I141" i="5" s="1"/>
  <c r="BF134" i="5"/>
  <c r="I140" i="5" s="1"/>
  <c r="E134" i="5"/>
  <c r="D134" i="5"/>
  <c r="B134" i="5"/>
  <c r="A134" i="5"/>
  <c r="A133" i="5"/>
  <c r="CA129" i="5"/>
  <c r="A129" i="5"/>
  <c r="BP126" i="5"/>
  <c r="BO126" i="5"/>
  <c r="BN126" i="5"/>
  <c r="I125" i="5"/>
  <c r="BQ125" i="5" s="1"/>
  <c r="H125" i="5"/>
  <c r="G125" i="5"/>
  <c r="E125" i="5"/>
  <c r="J124" i="5"/>
  <c r="E124" i="5"/>
  <c r="J123" i="5"/>
  <c r="E123" i="5"/>
  <c r="J122" i="5"/>
  <c r="E122" i="5"/>
  <c r="K121" i="5"/>
  <c r="J121" i="5"/>
  <c r="I121" i="5"/>
  <c r="H121" i="5"/>
  <c r="G121" i="5"/>
  <c r="F121" i="5"/>
  <c r="K120" i="5"/>
  <c r="J120" i="5"/>
  <c r="I120" i="5"/>
  <c r="BL120" i="5" s="1"/>
  <c r="H120" i="5"/>
  <c r="G120" i="5"/>
  <c r="F120" i="5"/>
  <c r="K119" i="5"/>
  <c r="J119" i="5"/>
  <c r="I119" i="5"/>
  <c r="H119" i="5"/>
  <c r="G119" i="5"/>
  <c r="F119" i="5"/>
  <c r="K118" i="5"/>
  <c r="J118" i="5"/>
  <c r="I118" i="5"/>
  <c r="BL118" i="5" s="1"/>
  <c r="H118" i="5"/>
  <c r="G118" i="5"/>
  <c r="F118" i="5"/>
  <c r="C117" i="5"/>
  <c r="BK116" i="5"/>
  <c r="K124" i="5" s="1"/>
  <c r="BI116" i="5"/>
  <c r="K123" i="5" s="1"/>
  <c r="BG116" i="5"/>
  <c r="K122" i="5" s="1"/>
  <c r="BJ116" i="5"/>
  <c r="I124" i="5" s="1"/>
  <c r="BH116" i="5"/>
  <c r="I123" i="5" s="1"/>
  <c r="BF116" i="5"/>
  <c r="I122" i="5" s="1"/>
  <c r="E116" i="5"/>
  <c r="D116" i="5"/>
  <c r="B116" i="5"/>
  <c r="A116" i="5"/>
  <c r="BP114" i="5"/>
  <c r="BO114" i="5"/>
  <c r="BN114" i="5"/>
  <c r="I113" i="5"/>
  <c r="BQ113" i="5" s="1"/>
  <c r="H113" i="5"/>
  <c r="G113" i="5"/>
  <c r="E113" i="5"/>
  <c r="J112" i="5"/>
  <c r="E112" i="5"/>
  <c r="J111" i="5"/>
  <c r="E111" i="5"/>
  <c r="K110" i="5"/>
  <c r="J110" i="5"/>
  <c r="I110" i="5"/>
  <c r="H110" i="5"/>
  <c r="G110" i="5"/>
  <c r="F110" i="5"/>
  <c r="C109" i="5"/>
  <c r="BK108" i="5"/>
  <c r="BI108" i="5"/>
  <c r="K112" i="5" s="1"/>
  <c r="BG108" i="5"/>
  <c r="K111" i="5" s="1"/>
  <c r="BJ108" i="5"/>
  <c r="BH108" i="5"/>
  <c r="I112" i="5" s="1"/>
  <c r="BF108" i="5"/>
  <c r="I111" i="5" s="1"/>
  <c r="E108" i="5"/>
  <c r="D108" i="5"/>
  <c r="B108" i="5"/>
  <c r="A108" i="5"/>
  <c r="BP106" i="5"/>
  <c r="BO106" i="5"/>
  <c r="BN106" i="5"/>
  <c r="I105" i="5"/>
  <c r="BQ105" i="5" s="1"/>
  <c r="H105" i="5"/>
  <c r="G105" i="5"/>
  <c r="E105" i="5"/>
  <c r="J104" i="5"/>
  <c r="E104" i="5"/>
  <c r="J103" i="5"/>
  <c r="E103" i="5"/>
  <c r="J102" i="5"/>
  <c r="E102" i="5"/>
  <c r="K101" i="5"/>
  <c r="J101" i="5"/>
  <c r="I101" i="5"/>
  <c r="BL101" i="5" s="1"/>
  <c r="H101" i="5"/>
  <c r="G101" i="5"/>
  <c r="F101" i="5"/>
  <c r="K100" i="5"/>
  <c r="J100" i="5"/>
  <c r="I100" i="5"/>
  <c r="H100" i="5"/>
  <c r="G100" i="5"/>
  <c r="F100" i="5"/>
  <c r="K99" i="5"/>
  <c r="J99" i="5"/>
  <c r="I99" i="5"/>
  <c r="H99" i="5"/>
  <c r="G99" i="5"/>
  <c r="F99" i="5"/>
  <c r="C98" i="5"/>
  <c r="BK97" i="5"/>
  <c r="K104" i="5" s="1"/>
  <c r="BI97" i="5"/>
  <c r="K103" i="5" s="1"/>
  <c r="BG97" i="5"/>
  <c r="K102" i="5" s="1"/>
  <c r="BJ97" i="5"/>
  <c r="I104" i="5" s="1"/>
  <c r="BH97" i="5"/>
  <c r="I103" i="5" s="1"/>
  <c r="BF97" i="5"/>
  <c r="I102" i="5" s="1"/>
  <c r="E97" i="5"/>
  <c r="D97" i="5"/>
  <c r="B97" i="5"/>
  <c r="A97" i="5"/>
  <c r="A96" i="5"/>
  <c r="CA92" i="5"/>
  <c r="A92" i="5"/>
  <c r="BP89" i="5"/>
  <c r="BO89" i="5"/>
  <c r="BN89" i="5"/>
  <c r="I88" i="5"/>
  <c r="BQ88" i="5" s="1"/>
  <c r="H88" i="5"/>
  <c r="G88" i="5"/>
  <c r="E88" i="5"/>
  <c r="J87" i="5"/>
  <c r="E87" i="5"/>
  <c r="J86" i="5"/>
  <c r="E86" i="5"/>
  <c r="K85" i="5"/>
  <c r="J85" i="5"/>
  <c r="I85" i="5"/>
  <c r="H85" i="5"/>
  <c r="G85" i="5"/>
  <c r="F85" i="5"/>
  <c r="C84" i="5"/>
  <c r="BK83" i="5"/>
  <c r="BI83" i="5"/>
  <c r="K87" i="5" s="1"/>
  <c r="BG83" i="5"/>
  <c r="K86" i="5" s="1"/>
  <c r="BJ83" i="5"/>
  <c r="BH83" i="5"/>
  <c r="I87" i="5" s="1"/>
  <c r="BF83" i="5"/>
  <c r="I86" i="5" s="1"/>
  <c r="E83" i="5"/>
  <c r="D83" i="5"/>
  <c r="B83" i="5"/>
  <c r="A83" i="5"/>
  <c r="BP81" i="5"/>
  <c r="BO81" i="5"/>
  <c r="BN81" i="5"/>
  <c r="I80" i="5"/>
  <c r="BQ80" i="5" s="1"/>
  <c r="H80" i="5"/>
  <c r="G80" i="5"/>
  <c r="E80" i="5"/>
  <c r="J79" i="5"/>
  <c r="E79" i="5"/>
  <c r="J78" i="5"/>
  <c r="E78" i="5"/>
  <c r="J77" i="5"/>
  <c r="E77" i="5"/>
  <c r="K76" i="5"/>
  <c r="J76" i="5"/>
  <c r="I76" i="5"/>
  <c r="BL76" i="5" s="1"/>
  <c r="H76" i="5"/>
  <c r="G76" i="5"/>
  <c r="F76" i="5"/>
  <c r="K75" i="5"/>
  <c r="J75" i="5"/>
  <c r="I75" i="5"/>
  <c r="H75" i="5"/>
  <c r="G75" i="5"/>
  <c r="F75" i="5"/>
  <c r="K74" i="5"/>
  <c r="J74" i="5"/>
  <c r="I74" i="5"/>
  <c r="H74" i="5"/>
  <c r="G74" i="5"/>
  <c r="F74" i="5"/>
  <c r="C73" i="5"/>
  <c r="BK72" i="5"/>
  <c r="K79" i="5" s="1"/>
  <c r="BI72" i="5"/>
  <c r="K78" i="5" s="1"/>
  <c r="BG72" i="5"/>
  <c r="K77" i="5" s="1"/>
  <c r="BJ72" i="5"/>
  <c r="I79" i="5" s="1"/>
  <c r="BH72" i="5"/>
  <c r="I78" i="5" s="1"/>
  <c r="BF72" i="5"/>
  <c r="I77" i="5" s="1"/>
  <c r="E72" i="5"/>
  <c r="D72" i="5"/>
  <c r="B72" i="5"/>
  <c r="A72" i="5"/>
  <c r="BP70" i="5"/>
  <c r="BO70" i="5"/>
  <c r="BN70" i="5"/>
  <c r="I69" i="5"/>
  <c r="BQ69" i="5" s="1"/>
  <c r="H69" i="5"/>
  <c r="G69" i="5"/>
  <c r="E69" i="5"/>
  <c r="J68" i="5"/>
  <c r="E68" i="5"/>
  <c r="J67" i="5"/>
  <c r="E67" i="5"/>
  <c r="J66" i="5"/>
  <c r="E66" i="5"/>
  <c r="K65" i="5"/>
  <c r="J65" i="5"/>
  <c r="I65" i="5"/>
  <c r="H65" i="5"/>
  <c r="G65" i="5"/>
  <c r="F65" i="5"/>
  <c r="K64" i="5"/>
  <c r="J64" i="5"/>
  <c r="BL64" i="5"/>
  <c r="I64" i="5"/>
  <c r="H64" i="5"/>
  <c r="G64" i="5"/>
  <c r="F64" i="5"/>
  <c r="K63" i="5"/>
  <c r="J63" i="5"/>
  <c r="I63" i="5"/>
  <c r="H63" i="5"/>
  <c r="G63" i="5"/>
  <c r="F63" i="5"/>
  <c r="K62" i="5"/>
  <c r="J62" i="5"/>
  <c r="I62" i="5"/>
  <c r="H62" i="5"/>
  <c r="G62" i="5"/>
  <c r="F62" i="5"/>
  <c r="C61" i="5"/>
  <c r="BK60" i="5"/>
  <c r="K68" i="5" s="1"/>
  <c r="BI60" i="5"/>
  <c r="K67" i="5" s="1"/>
  <c r="BG60" i="5"/>
  <c r="K66" i="5" s="1"/>
  <c r="BJ60" i="5"/>
  <c r="I68" i="5" s="1"/>
  <c r="BH60" i="5"/>
  <c r="I67" i="5" s="1"/>
  <c r="BF60" i="5"/>
  <c r="I66" i="5" s="1"/>
  <c r="E60" i="5"/>
  <c r="D60" i="5"/>
  <c r="B60" i="5"/>
  <c r="A60" i="5"/>
  <c r="BP58" i="5"/>
  <c r="BO58" i="5"/>
  <c r="BN58" i="5"/>
  <c r="I57" i="5"/>
  <c r="BQ57" i="5" s="1"/>
  <c r="H57" i="5"/>
  <c r="G57" i="5"/>
  <c r="E57" i="5"/>
  <c r="J56" i="5"/>
  <c r="E56" i="5"/>
  <c r="J55" i="5"/>
  <c r="E55" i="5"/>
  <c r="K54" i="5"/>
  <c r="J54" i="5"/>
  <c r="H54" i="5"/>
  <c r="BP54" i="5"/>
  <c r="BO54" i="5"/>
  <c r="BN54" i="5"/>
  <c r="I54" i="5"/>
  <c r="BM54" i="5" s="1"/>
  <c r="F54" i="5"/>
  <c r="BK54" i="5"/>
  <c r="BI54" i="5"/>
  <c r="BG54" i="5"/>
  <c r="BJ54" i="5"/>
  <c r="BH54" i="5"/>
  <c r="BF54" i="5"/>
  <c r="E54" i="5"/>
  <c r="D54" i="5"/>
  <c r="B54" i="5"/>
  <c r="A54" i="5"/>
  <c r="K53" i="5"/>
  <c r="J53" i="5"/>
  <c r="I53" i="5"/>
  <c r="H53" i="5"/>
  <c r="G53" i="5"/>
  <c r="F53" i="5"/>
  <c r="K52" i="5"/>
  <c r="J52" i="5"/>
  <c r="BL52" i="5"/>
  <c r="I52" i="5"/>
  <c r="H52" i="5"/>
  <c r="G52" i="5"/>
  <c r="F52" i="5"/>
  <c r="C51" i="5"/>
  <c r="BK50" i="5"/>
  <c r="BI50" i="5"/>
  <c r="K56" i="5" s="1"/>
  <c r="BG50" i="5"/>
  <c r="K55" i="5" s="1"/>
  <c r="BJ50" i="5"/>
  <c r="BH50" i="5"/>
  <c r="I56" i="5" s="1"/>
  <c r="BF50" i="5"/>
  <c r="I55" i="5" s="1"/>
  <c r="E50" i="5"/>
  <c r="D50" i="5"/>
  <c r="B50" i="5"/>
  <c r="A50" i="5"/>
  <c r="BP48" i="5"/>
  <c r="BO48" i="5"/>
  <c r="BN48" i="5"/>
  <c r="I47" i="5"/>
  <c r="BQ47" i="5" s="1"/>
  <c r="H47" i="5"/>
  <c r="G47" i="5"/>
  <c r="E47" i="5"/>
  <c r="J46" i="5"/>
  <c r="E46" i="5"/>
  <c r="J45" i="5"/>
  <c r="E45" i="5"/>
  <c r="J44" i="5"/>
  <c r="E44" i="5"/>
  <c r="K43" i="5"/>
  <c r="J43" i="5"/>
  <c r="H43" i="5"/>
  <c r="BP43" i="5"/>
  <c r="BO43" i="5"/>
  <c r="I24" i="5" s="1"/>
  <c r="BN43" i="5"/>
  <c r="I23" i="5" s="1"/>
  <c r="I43" i="5"/>
  <c r="BM43" i="5" s="1"/>
  <c r="F43" i="5"/>
  <c r="BK43" i="5"/>
  <c r="BI43" i="5"/>
  <c r="BG43" i="5"/>
  <c r="BJ43" i="5"/>
  <c r="BH43" i="5"/>
  <c r="BF43" i="5"/>
  <c r="E43" i="5"/>
  <c r="D43" i="5"/>
  <c r="B43" i="5"/>
  <c r="A43" i="5"/>
  <c r="K42" i="5"/>
  <c r="J42" i="5"/>
  <c r="I42" i="5"/>
  <c r="H42" i="5"/>
  <c r="G42" i="5"/>
  <c r="F42" i="5"/>
  <c r="K41" i="5"/>
  <c r="J41" i="5"/>
  <c r="I41" i="5"/>
  <c r="BL41" i="5" s="1"/>
  <c r="H41" i="5"/>
  <c r="G41" i="5"/>
  <c r="F41" i="5"/>
  <c r="K40" i="5"/>
  <c r="J40" i="5"/>
  <c r="I40" i="5"/>
  <c r="H40" i="5"/>
  <c r="G40" i="5"/>
  <c r="F40" i="5"/>
  <c r="K39" i="5"/>
  <c r="J39" i="5"/>
  <c r="I39" i="5"/>
  <c r="H39" i="5"/>
  <c r="G39" i="5"/>
  <c r="F39" i="5"/>
  <c r="C38" i="5"/>
  <c r="BK37" i="5"/>
  <c r="K46" i="5" s="1"/>
  <c r="BI37" i="5"/>
  <c r="BG37" i="5"/>
  <c r="K44" i="5" s="1"/>
  <c r="BJ37" i="5"/>
  <c r="BH37" i="5"/>
  <c r="I45" i="5" s="1"/>
  <c r="BF37" i="5"/>
  <c r="E37" i="5"/>
  <c r="D37" i="5"/>
  <c r="B37" i="5"/>
  <c r="A37" i="5"/>
  <c r="A36" i="5"/>
  <c r="A18" i="5"/>
  <c r="BZ15" i="5"/>
  <c r="A15" i="5"/>
  <c r="BZ10" i="5"/>
  <c r="A1" i="5"/>
  <c r="I25" i="5" l="1"/>
  <c r="I44" i="5"/>
  <c r="I46" i="5"/>
  <c r="BD48" i="5" s="1"/>
  <c r="K45" i="5"/>
  <c r="J431" i="5"/>
  <c r="J336" i="5"/>
  <c r="J347" i="5"/>
  <c r="I27" i="5"/>
  <c r="H347" i="5"/>
  <c r="J422" i="5"/>
  <c r="J425" i="5"/>
  <c r="J428" i="5"/>
  <c r="BM428" i="5"/>
  <c r="BM431" i="5"/>
  <c r="H336" i="5"/>
  <c r="H428" i="5"/>
  <c r="H431" i="5"/>
  <c r="BE48" i="5"/>
  <c r="BL39" i="5"/>
  <c r="J48" i="5"/>
  <c r="BM48" i="5"/>
  <c r="BM58" i="5"/>
  <c r="H58" i="5"/>
  <c r="BD58" i="5"/>
  <c r="BM81" i="5"/>
  <c r="J81" i="5"/>
  <c r="BD114" i="5"/>
  <c r="BE114" i="5"/>
  <c r="BE126" i="5"/>
  <c r="BM144" i="5"/>
  <c r="J144" i="5"/>
  <c r="BD181" i="5"/>
  <c r="BD204" i="5"/>
  <c r="J212" i="5"/>
  <c r="BE229" i="5"/>
  <c r="J58" i="5"/>
  <c r="BE58" i="5"/>
  <c r="BM70" i="5"/>
  <c r="J70" i="5"/>
  <c r="BD89" i="5"/>
  <c r="BE89" i="5"/>
  <c r="BM106" i="5"/>
  <c r="J106" i="5"/>
  <c r="BD126" i="5"/>
  <c r="BD152" i="5"/>
  <c r="BE152" i="5"/>
  <c r="BD171" i="5"/>
  <c r="BE171" i="5"/>
  <c r="BE181" i="5"/>
  <c r="BD193" i="5"/>
  <c r="BE193" i="5"/>
  <c r="BE204" i="5"/>
  <c r="BM212" i="5"/>
  <c r="BD229" i="5"/>
  <c r="BL62" i="5"/>
  <c r="BE70" i="5"/>
  <c r="BD70" i="5"/>
  <c r="BL74" i="5"/>
  <c r="BE81" i="5"/>
  <c r="BD81" i="5"/>
  <c r="BL85" i="5"/>
  <c r="J89" i="5"/>
  <c r="H89" i="5"/>
  <c r="BM89" i="5"/>
  <c r="BL99" i="5"/>
  <c r="BE106" i="5"/>
  <c r="BD106" i="5"/>
  <c r="H129" i="5" s="1"/>
  <c r="BL110" i="5"/>
  <c r="J114" i="5"/>
  <c r="H114" i="5"/>
  <c r="BM114" i="5"/>
  <c r="J126" i="5"/>
  <c r="H126" i="5"/>
  <c r="BM126" i="5"/>
  <c r="BL136" i="5"/>
  <c r="BE144" i="5"/>
  <c r="J155" i="5" s="1"/>
  <c r="BD144" i="5"/>
  <c r="H155" i="5" s="1"/>
  <c r="BL148" i="5"/>
  <c r="J152" i="5"/>
  <c r="H152" i="5"/>
  <c r="BM152" i="5"/>
  <c r="BL162" i="5"/>
  <c r="J171" i="5"/>
  <c r="H171" i="5"/>
  <c r="BM171" i="5"/>
  <c r="J181" i="5"/>
  <c r="H181" i="5"/>
  <c r="BM181" i="5"/>
  <c r="J193" i="5"/>
  <c r="H193" i="5"/>
  <c r="BM193" i="5"/>
  <c r="J204" i="5"/>
  <c r="H204" i="5"/>
  <c r="BM204" i="5"/>
  <c r="BE212" i="5"/>
  <c r="BD212" i="5"/>
  <c r="J229" i="5"/>
  <c r="H229" i="5"/>
  <c r="BM229" i="5"/>
  <c r="BM237" i="5"/>
  <c r="H237" i="5"/>
  <c r="BD237" i="5"/>
  <c r="BD249" i="5"/>
  <c r="BD275" i="5"/>
  <c r="J275" i="5"/>
  <c r="J354" i="5"/>
  <c r="J339" i="5"/>
  <c r="I369" i="5"/>
  <c r="H438" i="5"/>
  <c r="H407" i="5"/>
  <c r="J407" i="5"/>
  <c r="J438" i="5"/>
  <c r="H70" i="5"/>
  <c r="H81" i="5"/>
  <c r="H106" i="5"/>
  <c r="H144" i="5"/>
  <c r="BL185" i="5"/>
  <c r="H212" i="5"/>
  <c r="J237" i="5"/>
  <c r="BE237" i="5"/>
  <c r="BE249" i="5"/>
  <c r="BM267" i="5"/>
  <c r="J267" i="5"/>
  <c r="BE275" i="5"/>
  <c r="H434" i="5"/>
  <c r="J434" i="5"/>
  <c r="J249" i="5"/>
  <c r="H249" i="5"/>
  <c r="BM249" i="5"/>
  <c r="BL259" i="5"/>
  <c r="BE267" i="5"/>
  <c r="BD267" i="5"/>
  <c r="H278" i="5" s="1"/>
  <c r="BL271" i="5"/>
  <c r="H275" i="5"/>
  <c r="BM275" i="5"/>
  <c r="BD336" i="5"/>
  <c r="BD347" i="5"/>
  <c r="H350" i="5" s="1"/>
  <c r="J386" i="5"/>
  <c r="H386" i="5"/>
  <c r="BM386" i="5"/>
  <c r="J389" i="5"/>
  <c r="H389" i="5"/>
  <c r="BM389" i="5"/>
  <c r="J392" i="5"/>
  <c r="H392" i="5"/>
  <c r="BM392" i="5"/>
  <c r="J395" i="5"/>
  <c r="H395" i="5"/>
  <c r="BM395" i="5"/>
  <c r="J398" i="5"/>
  <c r="H398" i="5"/>
  <c r="BM398" i="5"/>
  <c r="J401" i="5"/>
  <c r="H401" i="5"/>
  <c r="BM401" i="5"/>
  <c r="J404" i="5"/>
  <c r="H404" i="5"/>
  <c r="BM404" i="5"/>
  <c r="J413" i="5"/>
  <c r="H413" i="5"/>
  <c r="BM413" i="5"/>
  <c r="J416" i="5"/>
  <c r="H416" i="5"/>
  <c r="BM416" i="5"/>
  <c r="J419" i="5"/>
  <c r="H419" i="5"/>
  <c r="BM419" i="5"/>
  <c r="H422" i="5"/>
  <c r="BM422" i="5"/>
  <c r="H425" i="5"/>
  <c r="BM425" i="5"/>
  <c r="H267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1" i="3"/>
  <c r="CY1" i="3"/>
  <c r="CZ1" i="3"/>
  <c r="DA1" i="3"/>
  <c r="DB1" i="3"/>
  <c r="DC1" i="3"/>
  <c r="A2" i="3"/>
  <c r="CY2" i="3"/>
  <c r="CZ2" i="3"/>
  <c r="DA2" i="3"/>
  <c r="DB2" i="3"/>
  <c r="DC2" i="3"/>
  <c r="A3" i="3"/>
  <c r="CY3" i="3"/>
  <c r="CZ3" i="3"/>
  <c r="DA3" i="3"/>
  <c r="DB3" i="3"/>
  <c r="DC3" i="3"/>
  <c r="A4" i="3"/>
  <c r="CY4" i="3"/>
  <c r="CZ4" i="3"/>
  <c r="DA4" i="3"/>
  <c r="DB4" i="3"/>
  <c r="DC4" i="3"/>
  <c r="A5" i="3"/>
  <c r="CY5" i="3"/>
  <c r="CZ5" i="3"/>
  <c r="DA5" i="3"/>
  <c r="DB5" i="3"/>
  <c r="DC5" i="3"/>
  <c r="A6" i="3"/>
  <c r="CY6" i="3"/>
  <c r="CZ6" i="3"/>
  <c r="DA6" i="3"/>
  <c r="DB6" i="3"/>
  <c r="DC6" i="3"/>
  <c r="A7" i="3"/>
  <c r="CY7" i="3"/>
  <c r="CZ7" i="3"/>
  <c r="DA7" i="3"/>
  <c r="DB7" i="3"/>
  <c r="DC7" i="3"/>
  <c r="A8" i="3"/>
  <c r="CY8" i="3"/>
  <c r="CZ8" i="3"/>
  <c r="DA8" i="3"/>
  <c r="DB8" i="3"/>
  <c r="DC8" i="3"/>
  <c r="A9" i="3"/>
  <c r="CY9" i="3"/>
  <c r="CZ9" i="3"/>
  <c r="DA9" i="3"/>
  <c r="DB9" i="3"/>
  <c r="DC9" i="3"/>
  <c r="A10" i="3"/>
  <c r="CY10" i="3"/>
  <c r="CZ10" i="3"/>
  <c r="DA10" i="3"/>
  <c r="DB10" i="3"/>
  <c r="DC10" i="3"/>
  <c r="A11" i="3"/>
  <c r="CY11" i="3"/>
  <c r="CZ11" i="3"/>
  <c r="DA11" i="3"/>
  <c r="DB11" i="3"/>
  <c r="DC11" i="3"/>
  <c r="A12" i="3"/>
  <c r="CY12" i="3"/>
  <c r="CZ12" i="3"/>
  <c r="DA12" i="3"/>
  <c r="DB12" i="3"/>
  <c r="DC12" i="3"/>
  <c r="A13" i="3"/>
  <c r="CY13" i="3"/>
  <c r="CZ13" i="3"/>
  <c r="DA13" i="3"/>
  <c r="DB13" i="3"/>
  <c r="DC13" i="3"/>
  <c r="A14" i="3"/>
  <c r="CY14" i="3"/>
  <c r="CZ14" i="3"/>
  <c r="DA14" i="3"/>
  <c r="DB14" i="3"/>
  <c r="DC14" i="3"/>
  <c r="A15" i="3"/>
  <c r="CY15" i="3"/>
  <c r="CZ15" i="3"/>
  <c r="DA15" i="3"/>
  <c r="DB15" i="3"/>
  <c r="DC15" i="3"/>
  <c r="A16" i="3"/>
  <c r="CY16" i="3"/>
  <c r="CZ16" i="3"/>
  <c r="DA16" i="3"/>
  <c r="DB16" i="3"/>
  <c r="DC16" i="3"/>
  <c r="A17" i="3"/>
  <c r="CY17" i="3"/>
  <c r="CZ17" i="3"/>
  <c r="DA17" i="3"/>
  <c r="DB17" i="3"/>
  <c r="DC17" i="3"/>
  <c r="A18" i="3"/>
  <c r="CY18" i="3"/>
  <c r="CZ18" i="3"/>
  <c r="DA18" i="3"/>
  <c r="DB18" i="3"/>
  <c r="DC18" i="3"/>
  <c r="A19" i="3"/>
  <c r="CY19" i="3"/>
  <c r="CZ19" i="3"/>
  <c r="DA19" i="3"/>
  <c r="DB19" i="3"/>
  <c r="DC19" i="3"/>
  <c r="A20" i="3"/>
  <c r="CY20" i="3"/>
  <c r="CZ20" i="3"/>
  <c r="DA20" i="3"/>
  <c r="DB20" i="3"/>
  <c r="DC20" i="3"/>
  <c r="A21" i="3"/>
  <c r="CY21" i="3"/>
  <c r="CZ21" i="3"/>
  <c r="DA21" i="3"/>
  <c r="DB21" i="3"/>
  <c r="DC21" i="3"/>
  <c r="A22" i="3"/>
  <c r="CY22" i="3"/>
  <c r="CZ22" i="3"/>
  <c r="DA22" i="3"/>
  <c r="DB22" i="3"/>
  <c r="DC22" i="3"/>
  <c r="A23" i="3"/>
  <c r="CY23" i="3"/>
  <c r="CZ23" i="3"/>
  <c r="DA23" i="3"/>
  <c r="DB23" i="3"/>
  <c r="DC23" i="3"/>
  <c r="A24" i="3"/>
  <c r="CY24" i="3"/>
  <c r="CZ24" i="3"/>
  <c r="DA24" i="3"/>
  <c r="DB24" i="3"/>
  <c r="DC24" i="3"/>
  <c r="A25" i="3"/>
  <c r="CY25" i="3"/>
  <c r="CZ25" i="3"/>
  <c r="DA25" i="3"/>
  <c r="DB25" i="3"/>
  <c r="DC25" i="3"/>
  <c r="A26" i="3"/>
  <c r="CY26" i="3"/>
  <c r="CZ26" i="3"/>
  <c r="DA26" i="3"/>
  <c r="DB26" i="3"/>
  <c r="DC26" i="3"/>
  <c r="A27" i="3"/>
  <c r="CY27" i="3"/>
  <c r="CZ27" i="3"/>
  <c r="DA27" i="3"/>
  <c r="DB27" i="3"/>
  <c r="DC27" i="3"/>
  <c r="A28" i="3"/>
  <c r="CY28" i="3"/>
  <c r="CZ28" i="3"/>
  <c r="DA28" i="3"/>
  <c r="DB28" i="3"/>
  <c r="DC28" i="3"/>
  <c r="A29" i="3"/>
  <c r="CY29" i="3"/>
  <c r="CZ29" i="3"/>
  <c r="DA29" i="3"/>
  <c r="DB29" i="3"/>
  <c r="DC29" i="3"/>
  <c r="A30" i="3"/>
  <c r="CY30" i="3"/>
  <c r="CZ30" i="3"/>
  <c r="DA30" i="3"/>
  <c r="DB30" i="3"/>
  <c r="DC30" i="3"/>
  <c r="A31" i="3"/>
  <c r="CY31" i="3"/>
  <c r="CZ31" i="3"/>
  <c r="DA31" i="3"/>
  <c r="DB31" i="3"/>
  <c r="DC31" i="3"/>
  <c r="A32" i="3"/>
  <c r="CY32" i="3"/>
  <c r="CZ32" i="3"/>
  <c r="DA32" i="3"/>
  <c r="DB32" i="3"/>
  <c r="DC32" i="3"/>
  <c r="A33" i="3"/>
  <c r="CY33" i="3"/>
  <c r="CZ33" i="3"/>
  <c r="DA33" i="3"/>
  <c r="DB33" i="3"/>
  <c r="DC33" i="3"/>
  <c r="A34" i="3"/>
  <c r="CY34" i="3"/>
  <c r="CZ34" i="3"/>
  <c r="DA34" i="3"/>
  <c r="DB34" i="3"/>
  <c r="DC34" i="3"/>
  <c r="A35" i="3"/>
  <c r="CY35" i="3"/>
  <c r="CZ35" i="3"/>
  <c r="DA35" i="3"/>
  <c r="DB35" i="3"/>
  <c r="DC35" i="3"/>
  <c r="A36" i="3"/>
  <c r="CY36" i="3"/>
  <c r="CZ36" i="3"/>
  <c r="DA36" i="3"/>
  <c r="DB36" i="3"/>
  <c r="DC36" i="3"/>
  <c r="A37" i="3"/>
  <c r="CY37" i="3"/>
  <c r="CZ37" i="3"/>
  <c r="DA37" i="3"/>
  <c r="DB37" i="3"/>
  <c r="DC37" i="3"/>
  <c r="A38" i="3"/>
  <c r="CY38" i="3"/>
  <c r="CZ38" i="3"/>
  <c r="DA38" i="3"/>
  <c r="DB38" i="3"/>
  <c r="DC38" i="3"/>
  <c r="A39" i="3"/>
  <c r="CY39" i="3"/>
  <c r="CZ39" i="3"/>
  <c r="DA39" i="3"/>
  <c r="DB39" i="3"/>
  <c r="DC39" i="3"/>
  <c r="A40" i="3"/>
  <c r="CY40" i="3"/>
  <c r="CZ40" i="3"/>
  <c r="DA40" i="3"/>
  <c r="DB40" i="3"/>
  <c r="DC40" i="3"/>
  <c r="A41" i="3"/>
  <c r="CY41" i="3"/>
  <c r="CZ41" i="3"/>
  <c r="DA41" i="3"/>
  <c r="DB41" i="3"/>
  <c r="DC41" i="3"/>
  <c r="A42" i="3"/>
  <c r="CY42" i="3"/>
  <c r="CZ42" i="3"/>
  <c r="DA42" i="3"/>
  <c r="DB42" i="3"/>
  <c r="DC42" i="3"/>
  <c r="A43" i="3"/>
  <c r="CY43" i="3"/>
  <c r="CZ43" i="3"/>
  <c r="DA43" i="3"/>
  <c r="DB43" i="3"/>
  <c r="DC43" i="3"/>
  <c r="A44" i="3"/>
  <c r="CY44" i="3"/>
  <c r="CZ44" i="3"/>
  <c r="DA44" i="3"/>
  <c r="DB44" i="3"/>
  <c r="DC44" i="3"/>
  <c r="A45" i="3"/>
  <c r="CY45" i="3"/>
  <c r="CZ45" i="3"/>
  <c r="DA45" i="3"/>
  <c r="DB45" i="3"/>
  <c r="DC45" i="3"/>
  <c r="A46" i="3"/>
  <c r="CY46" i="3"/>
  <c r="CZ46" i="3"/>
  <c r="DA46" i="3"/>
  <c r="DB46" i="3"/>
  <c r="DC46" i="3"/>
  <c r="A47" i="3"/>
  <c r="CY47" i="3"/>
  <c r="CZ47" i="3"/>
  <c r="DA47" i="3"/>
  <c r="DB47" i="3"/>
  <c r="DC47" i="3"/>
  <c r="A48" i="3"/>
  <c r="CY48" i="3"/>
  <c r="CZ48" i="3"/>
  <c r="DA48" i="3"/>
  <c r="DB48" i="3"/>
  <c r="DC48" i="3"/>
  <c r="A49" i="3"/>
  <c r="CY49" i="3"/>
  <c r="CZ49" i="3"/>
  <c r="DA49" i="3"/>
  <c r="DB49" i="3"/>
  <c r="DC49" i="3"/>
  <c r="A50" i="3"/>
  <c r="CY50" i="3"/>
  <c r="CZ50" i="3"/>
  <c r="DA50" i="3"/>
  <c r="DB50" i="3"/>
  <c r="DC50" i="3"/>
  <c r="A51" i="3"/>
  <c r="CY51" i="3"/>
  <c r="CZ51" i="3"/>
  <c r="DA51" i="3"/>
  <c r="DB51" i="3"/>
  <c r="DC51" i="3"/>
  <c r="A52" i="3"/>
  <c r="CY52" i="3"/>
  <c r="CZ52" i="3"/>
  <c r="DA52" i="3"/>
  <c r="DB52" i="3"/>
  <c r="DC52" i="3"/>
  <c r="A53" i="3"/>
  <c r="CY53" i="3"/>
  <c r="CZ53" i="3"/>
  <c r="DA53" i="3"/>
  <c r="DB53" i="3"/>
  <c r="DC53" i="3"/>
  <c r="A54" i="3"/>
  <c r="CY54" i="3"/>
  <c r="CZ54" i="3"/>
  <c r="DA54" i="3"/>
  <c r="DB54" i="3"/>
  <c r="DC54" i="3"/>
  <c r="A55" i="3"/>
  <c r="CY55" i="3"/>
  <c r="CZ55" i="3"/>
  <c r="DA55" i="3"/>
  <c r="DB55" i="3"/>
  <c r="DC55" i="3"/>
  <c r="A56" i="3"/>
  <c r="CY56" i="3"/>
  <c r="CZ56" i="3"/>
  <c r="DA56" i="3"/>
  <c r="DB56" i="3"/>
  <c r="DC56" i="3"/>
  <c r="A57" i="3"/>
  <c r="CY57" i="3"/>
  <c r="CZ57" i="3"/>
  <c r="DA57" i="3"/>
  <c r="DB57" i="3"/>
  <c r="DC57" i="3"/>
  <c r="A58" i="3"/>
  <c r="CY58" i="3"/>
  <c r="CZ58" i="3"/>
  <c r="DA58" i="3"/>
  <c r="DB58" i="3"/>
  <c r="DC58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I28" i="1"/>
  <c r="P28" i="1"/>
  <c r="R28" i="1"/>
  <c r="GK28" i="1" s="1"/>
  <c r="AC28" i="1"/>
  <c r="AD28" i="1"/>
  <c r="AB28" i="1" s="1"/>
  <c r="AE28" i="1"/>
  <c r="AF28" i="1"/>
  <c r="S28" i="1" s="1"/>
  <c r="AG28" i="1"/>
  <c r="AH28" i="1"/>
  <c r="CV28" i="1" s="1"/>
  <c r="U28" i="1" s="1"/>
  <c r="AI28" i="1"/>
  <c r="AJ28" i="1"/>
  <c r="CX28" i="1" s="1"/>
  <c r="W28" i="1" s="1"/>
  <c r="CQ28" i="1"/>
  <c r="CR28" i="1"/>
  <c r="CS28" i="1"/>
  <c r="CU28" i="1"/>
  <c r="T28" i="1" s="1"/>
  <c r="CW28" i="1"/>
  <c r="V28" i="1" s="1"/>
  <c r="FR28" i="1"/>
  <c r="GL28" i="1"/>
  <c r="GO28" i="1"/>
  <c r="GP28" i="1"/>
  <c r="GV28" i="1"/>
  <c r="GX28" i="1"/>
  <c r="HC28" i="1"/>
  <c r="I29" i="1"/>
  <c r="Q29" i="1" s="1"/>
  <c r="P29" i="1"/>
  <c r="R29" i="1"/>
  <c r="GK29" i="1" s="1"/>
  <c r="AC29" i="1"/>
  <c r="AD29" i="1"/>
  <c r="AB29" i="1" s="1"/>
  <c r="AE29" i="1"/>
  <c r="AF29" i="1"/>
  <c r="S29" i="1" s="1"/>
  <c r="AG29" i="1"/>
  <c r="AH29" i="1"/>
  <c r="CV29" i="1" s="1"/>
  <c r="U29" i="1" s="1"/>
  <c r="AI29" i="1"/>
  <c r="AJ29" i="1"/>
  <c r="CX29" i="1" s="1"/>
  <c r="W29" i="1" s="1"/>
  <c r="CQ29" i="1"/>
  <c r="CR29" i="1"/>
  <c r="CS29" i="1"/>
  <c r="CU29" i="1"/>
  <c r="T29" i="1" s="1"/>
  <c r="CW29" i="1"/>
  <c r="V29" i="1" s="1"/>
  <c r="FR29" i="1"/>
  <c r="GL29" i="1"/>
  <c r="GO29" i="1"/>
  <c r="GP29" i="1"/>
  <c r="GV29" i="1"/>
  <c r="GX29" i="1"/>
  <c r="HC29" i="1"/>
  <c r="C30" i="1"/>
  <c r="D30" i="1"/>
  <c r="I30" i="1"/>
  <c r="P30" i="1"/>
  <c r="R30" i="1"/>
  <c r="GK30" i="1" s="1"/>
  <c r="AC30" i="1"/>
  <c r="AD30" i="1"/>
  <c r="AB30" i="1" s="1"/>
  <c r="AE30" i="1"/>
  <c r="AF30" i="1"/>
  <c r="S30" i="1" s="1"/>
  <c r="AG30" i="1"/>
  <c r="AH30" i="1"/>
  <c r="CV30" i="1" s="1"/>
  <c r="U30" i="1" s="1"/>
  <c r="AI30" i="1"/>
  <c r="AJ30" i="1"/>
  <c r="CX30" i="1" s="1"/>
  <c r="W30" i="1" s="1"/>
  <c r="CQ30" i="1"/>
  <c r="CR30" i="1"/>
  <c r="CS30" i="1"/>
  <c r="CU30" i="1"/>
  <c r="T30" i="1" s="1"/>
  <c r="CW30" i="1"/>
  <c r="V30" i="1" s="1"/>
  <c r="FR30" i="1"/>
  <c r="GL30" i="1"/>
  <c r="GO30" i="1"/>
  <c r="GP30" i="1"/>
  <c r="GV30" i="1"/>
  <c r="GX30" i="1"/>
  <c r="HC30" i="1"/>
  <c r="I31" i="1"/>
  <c r="Q31" i="1" s="1"/>
  <c r="P31" i="1"/>
  <c r="R31" i="1"/>
  <c r="GK31" i="1" s="1"/>
  <c r="AC31" i="1"/>
  <c r="AD31" i="1"/>
  <c r="AB31" i="1" s="1"/>
  <c r="AE31" i="1"/>
  <c r="AF31" i="1"/>
  <c r="S31" i="1" s="1"/>
  <c r="AG31" i="1"/>
  <c r="AH31" i="1"/>
  <c r="CV31" i="1" s="1"/>
  <c r="U31" i="1" s="1"/>
  <c r="AI31" i="1"/>
  <c r="AJ31" i="1"/>
  <c r="CX31" i="1" s="1"/>
  <c r="W31" i="1" s="1"/>
  <c r="CQ31" i="1"/>
  <c r="CR31" i="1"/>
  <c r="CS31" i="1"/>
  <c r="CU31" i="1"/>
  <c r="T31" i="1" s="1"/>
  <c r="CW31" i="1"/>
  <c r="V31" i="1" s="1"/>
  <c r="FR31" i="1"/>
  <c r="GL31" i="1"/>
  <c r="GO31" i="1"/>
  <c r="GP31" i="1"/>
  <c r="GV31" i="1"/>
  <c r="GX31" i="1"/>
  <c r="HC31" i="1"/>
  <c r="C32" i="1"/>
  <c r="D32" i="1"/>
  <c r="I32" i="1"/>
  <c r="P32" i="1"/>
  <c r="R32" i="1"/>
  <c r="GK32" i="1" s="1"/>
  <c r="AC32" i="1"/>
  <c r="AD32" i="1"/>
  <c r="AB32" i="1" s="1"/>
  <c r="AE32" i="1"/>
  <c r="AF32" i="1"/>
  <c r="S32" i="1" s="1"/>
  <c r="AG32" i="1"/>
  <c r="AH32" i="1"/>
  <c r="CV32" i="1" s="1"/>
  <c r="U32" i="1" s="1"/>
  <c r="AI32" i="1"/>
  <c r="AJ32" i="1"/>
  <c r="CX32" i="1" s="1"/>
  <c r="W32" i="1" s="1"/>
  <c r="CQ32" i="1"/>
  <c r="CR32" i="1"/>
  <c r="CS32" i="1"/>
  <c r="CU32" i="1"/>
  <c r="T32" i="1" s="1"/>
  <c r="CW32" i="1"/>
  <c r="V32" i="1" s="1"/>
  <c r="FR32" i="1"/>
  <c r="GL32" i="1"/>
  <c r="GO32" i="1"/>
  <c r="GP32" i="1"/>
  <c r="GV32" i="1"/>
  <c r="GX32" i="1"/>
  <c r="HC32" i="1"/>
  <c r="C33" i="1"/>
  <c r="D33" i="1"/>
  <c r="I33" i="1"/>
  <c r="P33" i="1"/>
  <c r="R33" i="1"/>
  <c r="GK33" i="1" s="1"/>
  <c r="AC33" i="1"/>
  <c r="AD33" i="1"/>
  <c r="AB33" i="1" s="1"/>
  <c r="AE33" i="1"/>
  <c r="AF33" i="1"/>
  <c r="S33" i="1" s="1"/>
  <c r="AG33" i="1"/>
  <c r="AH33" i="1"/>
  <c r="CV33" i="1" s="1"/>
  <c r="U33" i="1" s="1"/>
  <c r="AI33" i="1"/>
  <c r="AJ33" i="1"/>
  <c r="CX33" i="1" s="1"/>
  <c r="W33" i="1" s="1"/>
  <c r="CQ33" i="1"/>
  <c r="CR33" i="1"/>
  <c r="CS33" i="1"/>
  <c r="CU33" i="1"/>
  <c r="T33" i="1" s="1"/>
  <c r="CW33" i="1"/>
  <c r="V33" i="1" s="1"/>
  <c r="FR33" i="1"/>
  <c r="GL33" i="1"/>
  <c r="GO33" i="1"/>
  <c r="GP33" i="1"/>
  <c r="GV33" i="1"/>
  <c r="GX33" i="1"/>
  <c r="HC33" i="1"/>
  <c r="C34" i="1"/>
  <c r="D34" i="1"/>
  <c r="I34" i="1"/>
  <c r="CX16" i="3" s="1"/>
  <c r="P34" i="1"/>
  <c r="R34" i="1"/>
  <c r="GK34" i="1" s="1"/>
  <c r="AC34" i="1"/>
  <c r="AD34" i="1"/>
  <c r="AE34" i="1"/>
  <c r="AF34" i="1"/>
  <c r="AG34" i="1"/>
  <c r="AH34" i="1"/>
  <c r="CV34" i="1" s="1"/>
  <c r="U34" i="1" s="1"/>
  <c r="AI34" i="1"/>
  <c r="AJ34" i="1"/>
  <c r="CX34" i="1" s="1"/>
  <c r="W34" i="1" s="1"/>
  <c r="CQ34" i="1"/>
  <c r="CR34" i="1"/>
  <c r="CS34" i="1"/>
  <c r="CU34" i="1"/>
  <c r="T34" i="1" s="1"/>
  <c r="CW34" i="1"/>
  <c r="V34" i="1" s="1"/>
  <c r="FR34" i="1"/>
  <c r="GL34" i="1"/>
  <c r="GO34" i="1"/>
  <c r="GP34" i="1"/>
  <c r="GV34" i="1"/>
  <c r="GX34" i="1"/>
  <c r="HC34" i="1"/>
  <c r="B36" i="1"/>
  <c r="B26" i="1" s="1"/>
  <c r="C36" i="1"/>
  <c r="C26" i="1" s="1"/>
  <c r="D36" i="1"/>
  <c r="D26" i="1" s="1"/>
  <c r="F36" i="1"/>
  <c r="F26" i="1" s="1"/>
  <c r="G36" i="1"/>
  <c r="G26" i="1" s="1"/>
  <c r="P36" i="1"/>
  <c r="P26" i="1" s="1"/>
  <c r="R36" i="1"/>
  <c r="R26" i="1" s="1"/>
  <c r="V36" i="1"/>
  <c r="V26" i="1" s="1"/>
  <c r="AC36" i="1"/>
  <c r="AC26" i="1" s="1"/>
  <c r="AE36" i="1"/>
  <c r="AE26" i="1" s="1"/>
  <c r="AG36" i="1"/>
  <c r="AG26" i="1" s="1"/>
  <c r="AH36" i="1"/>
  <c r="AI36" i="1"/>
  <c r="AI26" i="1" s="1"/>
  <c r="AJ36" i="1"/>
  <c r="BX36" i="1"/>
  <c r="BX26" i="1" s="1"/>
  <c r="BY36" i="1"/>
  <c r="BY26" i="1" s="1"/>
  <c r="BZ36" i="1"/>
  <c r="BZ26" i="1" s="1"/>
  <c r="CC36" i="1"/>
  <c r="CC26" i="1" s="1"/>
  <c r="CD36" i="1"/>
  <c r="CD26" i="1" s="1"/>
  <c r="CE36" i="1"/>
  <c r="CE26" i="1" s="1"/>
  <c r="CG36" i="1"/>
  <c r="CG26" i="1" s="1"/>
  <c r="CI36" i="1"/>
  <c r="CI26" i="1" s="1"/>
  <c r="CJ36" i="1"/>
  <c r="CJ26" i="1" s="1"/>
  <c r="CK36" i="1"/>
  <c r="CK26" i="1" s="1"/>
  <c r="CL36" i="1"/>
  <c r="CL26" i="1" s="1"/>
  <c r="CM36" i="1"/>
  <c r="CM26" i="1" s="1"/>
  <c r="F39" i="1"/>
  <c r="F50" i="1"/>
  <c r="F59" i="1"/>
  <c r="D66" i="1"/>
  <c r="E68" i="1"/>
  <c r="Z68" i="1"/>
  <c r="AA68" i="1"/>
  <c r="AM68" i="1"/>
  <c r="AN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C70" i="1"/>
  <c r="D70" i="1"/>
  <c r="I70" i="1"/>
  <c r="S70" i="1"/>
  <c r="CY70" i="1" s="1"/>
  <c r="X70" i="1" s="1"/>
  <c r="AC70" i="1"/>
  <c r="P70" i="1" s="1"/>
  <c r="AE70" i="1"/>
  <c r="R70" i="1" s="1"/>
  <c r="AF70" i="1"/>
  <c r="AG70" i="1"/>
  <c r="CU70" i="1" s="1"/>
  <c r="T70" i="1" s="1"/>
  <c r="AH70" i="1"/>
  <c r="AI70" i="1"/>
  <c r="CW70" i="1" s="1"/>
  <c r="V70" i="1" s="1"/>
  <c r="AJ70" i="1"/>
  <c r="CR70" i="1"/>
  <c r="CT70" i="1"/>
  <c r="CV70" i="1"/>
  <c r="U70" i="1" s="1"/>
  <c r="CX70" i="1"/>
  <c r="W70" i="1" s="1"/>
  <c r="CZ70" i="1"/>
  <c r="Y70" i="1" s="1"/>
  <c r="FR70" i="1"/>
  <c r="GL70" i="1"/>
  <c r="GO70" i="1"/>
  <c r="GP70" i="1"/>
  <c r="GV70" i="1"/>
  <c r="HC70" i="1"/>
  <c r="GX70" i="1" s="1"/>
  <c r="C71" i="1"/>
  <c r="D71" i="1"/>
  <c r="I71" i="1"/>
  <c r="CX19" i="3" s="1"/>
  <c r="S71" i="1"/>
  <c r="CY71" i="1" s="1"/>
  <c r="X71" i="1" s="1"/>
  <c r="AC71" i="1"/>
  <c r="P71" i="1" s="1"/>
  <c r="AE71" i="1"/>
  <c r="R71" i="1" s="1"/>
  <c r="GK71" i="1" s="1"/>
  <c r="AF71" i="1"/>
  <c r="AG71" i="1"/>
  <c r="CU71" i="1" s="1"/>
  <c r="T71" i="1" s="1"/>
  <c r="AH71" i="1"/>
  <c r="AI71" i="1"/>
  <c r="CW71" i="1" s="1"/>
  <c r="V71" i="1" s="1"/>
  <c r="AJ71" i="1"/>
  <c r="CR71" i="1"/>
  <c r="CT71" i="1"/>
  <c r="CV71" i="1"/>
  <c r="U71" i="1" s="1"/>
  <c r="CX71" i="1"/>
  <c r="W71" i="1" s="1"/>
  <c r="CZ71" i="1"/>
  <c r="Y71" i="1" s="1"/>
  <c r="FR71" i="1"/>
  <c r="GL71" i="1"/>
  <c r="GO71" i="1"/>
  <c r="GP71" i="1"/>
  <c r="GV71" i="1"/>
  <c r="HC71" i="1"/>
  <c r="GX71" i="1" s="1"/>
  <c r="C72" i="1"/>
  <c r="D72" i="1"/>
  <c r="I72" i="1"/>
  <c r="S72" i="1"/>
  <c r="CY72" i="1" s="1"/>
  <c r="X72" i="1" s="1"/>
  <c r="AC72" i="1"/>
  <c r="P72" i="1" s="1"/>
  <c r="AE72" i="1"/>
  <c r="R72" i="1" s="1"/>
  <c r="GK72" i="1" s="1"/>
  <c r="AF72" i="1"/>
  <c r="AG72" i="1"/>
  <c r="CU72" i="1" s="1"/>
  <c r="T72" i="1" s="1"/>
  <c r="AH72" i="1"/>
  <c r="AI72" i="1"/>
  <c r="CW72" i="1" s="1"/>
  <c r="V72" i="1" s="1"/>
  <c r="AJ72" i="1"/>
  <c r="CR72" i="1"/>
  <c r="CT72" i="1"/>
  <c r="CV72" i="1"/>
  <c r="U72" i="1" s="1"/>
  <c r="CX72" i="1"/>
  <c r="W72" i="1" s="1"/>
  <c r="CZ72" i="1"/>
  <c r="Y72" i="1" s="1"/>
  <c r="FR72" i="1"/>
  <c r="GL72" i="1"/>
  <c r="GO72" i="1"/>
  <c r="CC74" i="1" s="1"/>
  <c r="GP72" i="1"/>
  <c r="GV72" i="1"/>
  <c r="HC72" i="1"/>
  <c r="GX72" i="1" s="1"/>
  <c r="B74" i="1"/>
  <c r="B68" i="1" s="1"/>
  <c r="C74" i="1"/>
  <c r="C68" i="1" s="1"/>
  <c r="D74" i="1"/>
  <c r="D68" i="1" s="1"/>
  <c r="F74" i="1"/>
  <c r="F68" i="1" s="1"/>
  <c r="G74" i="1"/>
  <c r="G68" i="1" s="1"/>
  <c r="AG74" i="1"/>
  <c r="AI74" i="1"/>
  <c r="AK74" i="1"/>
  <c r="BA74" i="1"/>
  <c r="BA68" i="1" s="1"/>
  <c r="BX74" i="1"/>
  <c r="BY74" i="1"/>
  <c r="BY68" i="1" s="1"/>
  <c r="BZ74" i="1"/>
  <c r="AQ74" i="1" s="1"/>
  <c r="CD74" i="1"/>
  <c r="CD68" i="1" s="1"/>
  <c r="CJ74" i="1"/>
  <c r="CJ68" i="1" s="1"/>
  <c r="CK74" i="1"/>
  <c r="CK68" i="1" s="1"/>
  <c r="CL74" i="1"/>
  <c r="CL68" i="1" s="1"/>
  <c r="CM74" i="1"/>
  <c r="CM68" i="1" s="1"/>
  <c r="F94" i="1"/>
  <c r="D104" i="1"/>
  <c r="E106" i="1"/>
  <c r="Z106" i="1"/>
  <c r="AA106" i="1"/>
  <c r="AM106" i="1"/>
  <c r="AN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C108" i="1"/>
  <c r="D108" i="1"/>
  <c r="I108" i="1"/>
  <c r="S108" i="1"/>
  <c r="CY108" i="1" s="1"/>
  <c r="X108" i="1" s="1"/>
  <c r="AC108" i="1"/>
  <c r="P108" i="1" s="1"/>
  <c r="AE108" i="1"/>
  <c r="Q108" i="1" s="1"/>
  <c r="AF108" i="1"/>
  <c r="AG108" i="1"/>
  <c r="CU108" i="1" s="1"/>
  <c r="T108" i="1" s="1"/>
  <c r="AH108" i="1"/>
  <c r="AI108" i="1"/>
  <c r="CW108" i="1" s="1"/>
  <c r="V108" i="1" s="1"/>
  <c r="AJ108" i="1"/>
  <c r="CR108" i="1"/>
  <c r="CT108" i="1"/>
  <c r="CV108" i="1"/>
  <c r="U108" i="1" s="1"/>
  <c r="CX108" i="1"/>
  <c r="W108" i="1" s="1"/>
  <c r="CZ108" i="1"/>
  <c r="Y108" i="1" s="1"/>
  <c r="FR108" i="1"/>
  <c r="GL108" i="1"/>
  <c r="GO108" i="1"/>
  <c r="GP108" i="1"/>
  <c r="GV108" i="1"/>
  <c r="HC108" i="1"/>
  <c r="GX108" i="1" s="1"/>
  <c r="C109" i="1"/>
  <c r="D109" i="1"/>
  <c r="I109" i="1"/>
  <c r="CX28" i="3" s="1"/>
  <c r="S109" i="1"/>
  <c r="CY109" i="1" s="1"/>
  <c r="X109" i="1" s="1"/>
  <c r="AC109" i="1"/>
  <c r="P109" i="1" s="1"/>
  <c r="CP109" i="1" s="1"/>
  <c r="O109" i="1" s="1"/>
  <c r="AE109" i="1"/>
  <c r="Q109" i="1" s="1"/>
  <c r="AF109" i="1"/>
  <c r="AG109" i="1"/>
  <c r="CU109" i="1" s="1"/>
  <c r="T109" i="1" s="1"/>
  <c r="AH109" i="1"/>
  <c r="AI109" i="1"/>
  <c r="CW109" i="1" s="1"/>
  <c r="V109" i="1" s="1"/>
  <c r="AJ109" i="1"/>
  <c r="CR109" i="1"/>
  <c r="CT109" i="1"/>
  <c r="CV109" i="1"/>
  <c r="U109" i="1" s="1"/>
  <c r="CX109" i="1"/>
  <c r="W109" i="1" s="1"/>
  <c r="CZ109" i="1"/>
  <c r="Y109" i="1" s="1"/>
  <c r="FR109" i="1"/>
  <c r="GL109" i="1"/>
  <c r="GO109" i="1"/>
  <c r="CC111" i="1" s="1"/>
  <c r="GP109" i="1"/>
  <c r="GV109" i="1"/>
  <c r="HC109" i="1"/>
  <c r="GX109" i="1" s="1"/>
  <c r="B111" i="1"/>
  <c r="B106" i="1" s="1"/>
  <c r="C111" i="1"/>
  <c r="C106" i="1" s="1"/>
  <c r="D111" i="1"/>
  <c r="D106" i="1" s="1"/>
  <c r="F111" i="1"/>
  <c r="F106" i="1" s="1"/>
  <c r="G111" i="1"/>
  <c r="G106" i="1" s="1"/>
  <c r="BX111" i="1"/>
  <c r="BX106" i="1" s="1"/>
  <c r="BY111" i="1"/>
  <c r="BY106" i="1" s="1"/>
  <c r="BZ111" i="1"/>
  <c r="BZ106" i="1" s="1"/>
  <c r="CD111" i="1"/>
  <c r="CD106" i="1" s="1"/>
  <c r="CK111" i="1"/>
  <c r="CK106" i="1" s="1"/>
  <c r="CL111" i="1"/>
  <c r="CL106" i="1" s="1"/>
  <c r="CM111" i="1"/>
  <c r="CM106" i="1" s="1"/>
  <c r="D141" i="1"/>
  <c r="E143" i="1"/>
  <c r="Z143" i="1"/>
  <c r="AA143" i="1"/>
  <c r="AM143" i="1"/>
  <c r="AN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C145" i="1"/>
  <c r="D145" i="1"/>
  <c r="I145" i="1"/>
  <c r="Q145" i="1" s="1"/>
  <c r="P145" i="1"/>
  <c r="R145" i="1"/>
  <c r="GK145" i="1" s="1"/>
  <c r="V145" i="1"/>
  <c r="AC145" i="1"/>
  <c r="AD145" i="1"/>
  <c r="AB145" i="1" s="1"/>
  <c r="AE145" i="1"/>
  <c r="AF145" i="1"/>
  <c r="AG145" i="1"/>
  <c r="AH145" i="1"/>
  <c r="CV145" i="1" s="1"/>
  <c r="U145" i="1" s="1"/>
  <c r="AI145" i="1"/>
  <c r="AJ145" i="1"/>
  <c r="CX145" i="1" s="1"/>
  <c r="W145" i="1" s="1"/>
  <c r="CQ145" i="1"/>
  <c r="CR145" i="1"/>
  <c r="CS145" i="1"/>
  <c r="CU145" i="1"/>
  <c r="T145" i="1" s="1"/>
  <c r="CW145" i="1"/>
  <c r="FR145" i="1"/>
  <c r="GL145" i="1"/>
  <c r="GO145" i="1"/>
  <c r="GP145" i="1"/>
  <c r="GV145" i="1"/>
  <c r="GX145" i="1"/>
  <c r="HC145" i="1"/>
  <c r="I146" i="1"/>
  <c r="Q146" i="1" s="1"/>
  <c r="P146" i="1"/>
  <c r="R146" i="1"/>
  <c r="GK146" i="1" s="1"/>
  <c r="T146" i="1"/>
  <c r="AC146" i="1"/>
  <c r="AD146" i="1"/>
  <c r="AB146" i="1" s="1"/>
  <c r="AE146" i="1"/>
  <c r="AF146" i="1"/>
  <c r="AG146" i="1"/>
  <c r="AH146" i="1"/>
  <c r="CV146" i="1" s="1"/>
  <c r="U146" i="1" s="1"/>
  <c r="AI146" i="1"/>
  <c r="AJ146" i="1"/>
  <c r="CX146" i="1" s="1"/>
  <c r="W146" i="1" s="1"/>
  <c r="CQ146" i="1"/>
  <c r="CR146" i="1"/>
  <c r="CS146" i="1"/>
  <c r="CU146" i="1"/>
  <c r="CW146" i="1"/>
  <c r="V146" i="1" s="1"/>
  <c r="FR146" i="1"/>
  <c r="GL146" i="1"/>
  <c r="GO146" i="1"/>
  <c r="GP146" i="1"/>
  <c r="GV146" i="1"/>
  <c r="GX146" i="1"/>
  <c r="HC146" i="1"/>
  <c r="C147" i="1"/>
  <c r="D147" i="1"/>
  <c r="I147" i="1"/>
  <c r="P147" i="1" s="1"/>
  <c r="R147" i="1"/>
  <c r="GK147" i="1" s="1"/>
  <c r="V147" i="1"/>
  <c r="AC147" i="1"/>
  <c r="AD147" i="1"/>
  <c r="AB147" i="1" s="1"/>
  <c r="AE147" i="1"/>
  <c r="AF147" i="1"/>
  <c r="AG147" i="1"/>
  <c r="AH147" i="1"/>
  <c r="CV147" i="1" s="1"/>
  <c r="U147" i="1" s="1"/>
  <c r="AI147" i="1"/>
  <c r="AJ147" i="1"/>
  <c r="CX147" i="1" s="1"/>
  <c r="W147" i="1" s="1"/>
  <c r="CQ147" i="1"/>
  <c r="CR147" i="1"/>
  <c r="CS147" i="1"/>
  <c r="CU147" i="1"/>
  <c r="T147" i="1" s="1"/>
  <c r="CW147" i="1"/>
  <c r="FR147" i="1"/>
  <c r="GL147" i="1"/>
  <c r="GO147" i="1"/>
  <c r="GP147" i="1"/>
  <c r="GV147" i="1"/>
  <c r="HC147" i="1"/>
  <c r="AC148" i="1"/>
  <c r="AD148" i="1"/>
  <c r="AB148" i="1" s="1"/>
  <c r="AE148" i="1"/>
  <c r="AF148" i="1"/>
  <c r="CT148" i="1" s="1"/>
  <c r="AG148" i="1"/>
  <c r="AH148" i="1"/>
  <c r="CV148" i="1" s="1"/>
  <c r="AI148" i="1"/>
  <c r="AJ148" i="1"/>
  <c r="CX148" i="1" s="1"/>
  <c r="CQ148" i="1"/>
  <c r="CR148" i="1"/>
  <c r="CS148" i="1"/>
  <c r="CU148" i="1"/>
  <c r="CW148" i="1"/>
  <c r="FR148" i="1"/>
  <c r="GL148" i="1"/>
  <c r="GO148" i="1"/>
  <c r="GP148" i="1"/>
  <c r="GV148" i="1"/>
  <c r="HC148" i="1"/>
  <c r="C149" i="1"/>
  <c r="D149" i="1"/>
  <c r="I149" i="1"/>
  <c r="Q149" i="1" s="1"/>
  <c r="P149" i="1"/>
  <c r="CP149" i="1" s="1"/>
  <c r="O149" i="1" s="1"/>
  <c r="R149" i="1"/>
  <c r="GK149" i="1" s="1"/>
  <c r="AC149" i="1"/>
  <c r="AD149" i="1"/>
  <c r="AB149" i="1" s="1"/>
  <c r="AE149" i="1"/>
  <c r="AF149" i="1"/>
  <c r="S149" i="1" s="1"/>
  <c r="AG149" i="1"/>
  <c r="AH149" i="1"/>
  <c r="CV149" i="1" s="1"/>
  <c r="U149" i="1" s="1"/>
  <c r="AI149" i="1"/>
  <c r="AJ149" i="1"/>
  <c r="CX149" i="1" s="1"/>
  <c r="W149" i="1" s="1"/>
  <c r="CQ149" i="1"/>
  <c r="CR149" i="1"/>
  <c r="CS149" i="1"/>
  <c r="CU149" i="1"/>
  <c r="T149" i="1" s="1"/>
  <c r="CW149" i="1"/>
  <c r="V149" i="1" s="1"/>
  <c r="FR149" i="1"/>
  <c r="GL149" i="1"/>
  <c r="GO149" i="1"/>
  <c r="GP149" i="1"/>
  <c r="GV149" i="1"/>
  <c r="GX149" i="1"/>
  <c r="HC149" i="1"/>
  <c r="C150" i="1"/>
  <c r="D150" i="1"/>
  <c r="I150" i="1"/>
  <c r="Q150" i="1" s="1"/>
  <c r="P150" i="1"/>
  <c r="R150" i="1"/>
  <c r="GK150" i="1" s="1"/>
  <c r="AC150" i="1"/>
  <c r="AD150" i="1"/>
  <c r="AB150" i="1" s="1"/>
  <c r="AE150" i="1"/>
  <c r="AF150" i="1"/>
  <c r="S150" i="1" s="1"/>
  <c r="AG150" i="1"/>
  <c r="AH150" i="1"/>
  <c r="CV150" i="1" s="1"/>
  <c r="U150" i="1" s="1"/>
  <c r="AI150" i="1"/>
  <c r="AJ150" i="1"/>
  <c r="CX150" i="1" s="1"/>
  <c r="W150" i="1" s="1"/>
  <c r="CQ150" i="1"/>
  <c r="CR150" i="1"/>
  <c r="CS150" i="1"/>
  <c r="CU150" i="1"/>
  <c r="T150" i="1" s="1"/>
  <c r="CW150" i="1"/>
  <c r="V150" i="1" s="1"/>
  <c r="FR150" i="1"/>
  <c r="GL150" i="1"/>
  <c r="BZ153" i="1" s="1"/>
  <c r="GO150" i="1"/>
  <c r="GP150" i="1"/>
  <c r="CD153" i="1" s="1"/>
  <c r="GV150" i="1"/>
  <c r="GX150" i="1"/>
  <c r="HC150" i="1"/>
  <c r="C151" i="1"/>
  <c r="D151" i="1"/>
  <c r="I151" i="1"/>
  <c r="CX44" i="3" s="1"/>
  <c r="P151" i="1"/>
  <c r="R151" i="1"/>
  <c r="GK151" i="1" s="1"/>
  <c r="AC151" i="1"/>
  <c r="AD151" i="1"/>
  <c r="AB151" i="1" s="1"/>
  <c r="AE151" i="1"/>
  <c r="AF151" i="1"/>
  <c r="S151" i="1" s="1"/>
  <c r="AG151" i="1"/>
  <c r="AH151" i="1"/>
  <c r="CV151" i="1" s="1"/>
  <c r="U151" i="1" s="1"/>
  <c r="AI151" i="1"/>
  <c r="AJ151" i="1"/>
  <c r="CX151" i="1" s="1"/>
  <c r="W151" i="1" s="1"/>
  <c r="CQ151" i="1"/>
  <c r="CR151" i="1"/>
  <c r="CS151" i="1"/>
  <c r="CU151" i="1"/>
  <c r="T151" i="1" s="1"/>
  <c r="CW151" i="1"/>
  <c r="V151" i="1" s="1"/>
  <c r="FR151" i="1"/>
  <c r="GL151" i="1"/>
  <c r="GO151" i="1"/>
  <c r="GP151" i="1"/>
  <c r="GV151" i="1"/>
  <c r="GX151" i="1"/>
  <c r="HC151" i="1"/>
  <c r="B153" i="1"/>
  <c r="B143" i="1" s="1"/>
  <c r="C153" i="1"/>
  <c r="C143" i="1" s="1"/>
  <c r="D153" i="1"/>
  <c r="D143" i="1" s="1"/>
  <c r="F153" i="1"/>
  <c r="F143" i="1" s="1"/>
  <c r="G153" i="1"/>
  <c r="G143" i="1" s="1"/>
  <c r="BX153" i="1"/>
  <c r="BX143" i="1" s="1"/>
  <c r="BY153" i="1"/>
  <c r="BY143" i="1" s="1"/>
  <c r="CC153" i="1"/>
  <c r="CC143" i="1" s="1"/>
  <c r="CK153" i="1"/>
  <c r="CK143" i="1" s="1"/>
  <c r="CL153" i="1"/>
  <c r="CL143" i="1" s="1"/>
  <c r="CM153" i="1"/>
  <c r="CM143" i="1" s="1"/>
  <c r="D183" i="1"/>
  <c r="E185" i="1"/>
  <c r="Z185" i="1"/>
  <c r="AA185" i="1"/>
  <c r="AM185" i="1"/>
  <c r="AN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C187" i="1"/>
  <c r="D187" i="1"/>
  <c r="I187" i="1"/>
  <c r="S187" i="1"/>
  <c r="CY187" i="1" s="1"/>
  <c r="X187" i="1" s="1"/>
  <c r="AC187" i="1"/>
  <c r="P187" i="1" s="1"/>
  <c r="AE187" i="1"/>
  <c r="Q187" i="1" s="1"/>
  <c r="AF187" i="1"/>
  <c r="AG187" i="1"/>
  <c r="CU187" i="1" s="1"/>
  <c r="T187" i="1" s="1"/>
  <c r="AH187" i="1"/>
  <c r="AI187" i="1"/>
  <c r="CW187" i="1" s="1"/>
  <c r="V187" i="1" s="1"/>
  <c r="AJ187" i="1"/>
  <c r="CR187" i="1"/>
  <c r="CT187" i="1"/>
  <c r="CV187" i="1"/>
  <c r="U187" i="1" s="1"/>
  <c r="CX187" i="1"/>
  <c r="W187" i="1" s="1"/>
  <c r="CZ187" i="1"/>
  <c r="Y187" i="1" s="1"/>
  <c r="FR187" i="1"/>
  <c r="GL187" i="1"/>
  <c r="GO187" i="1"/>
  <c r="CC191" i="1" s="1"/>
  <c r="GP187" i="1"/>
  <c r="GV187" i="1"/>
  <c r="HC187" i="1"/>
  <c r="GX187" i="1" s="1"/>
  <c r="C188" i="1"/>
  <c r="D188" i="1"/>
  <c r="I188" i="1"/>
  <c r="CX47" i="3" s="1"/>
  <c r="S188" i="1"/>
  <c r="CY188" i="1" s="1"/>
  <c r="X188" i="1" s="1"/>
  <c r="AC188" i="1"/>
  <c r="P188" i="1" s="1"/>
  <c r="AE188" i="1"/>
  <c r="Q188" i="1" s="1"/>
  <c r="AF188" i="1"/>
  <c r="AG188" i="1"/>
  <c r="CU188" i="1" s="1"/>
  <c r="T188" i="1" s="1"/>
  <c r="AH188" i="1"/>
  <c r="AI188" i="1"/>
  <c r="CW188" i="1" s="1"/>
  <c r="V188" i="1" s="1"/>
  <c r="AJ188" i="1"/>
  <c r="CR188" i="1"/>
  <c r="CT188" i="1"/>
  <c r="CV188" i="1"/>
  <c r="U188" i="1" s="1"/>
  <c r="CX188" i="1"/>
  <c r="W188" i="1" s="1"/>
  <c r="CZ188" i="1"/>
  <c r="Y188" i="1" s="1"/>
  <c r="FR188" i="1"/>
  <c r="GL188" i="1"/>
  <c r="GO188" i="1"/>
  <c r="GP188" i="1"/>
  <c r="GV188" i="1"/>
  <c r="HC188" i="1"/>
  <c r="GX188" i="1" s="1"/>
  <c r="C189" i="1"/>
  <c r="D189" i="1"/>
  <c r="I189" i="1"/>
  <c r="S189" i="1"/>
  <c r="CY189" i="1" s="1"/>
  <c r="X189" i="1" s="1"/>
  <c r="AC189" i="1"/>
  <c r="P189" i="1" s="1"/>
  <c r="AE189" i="1"/>
  <c r="Q189" i="1" s="1"/>
  <c r="AF189" i="1"/>
  <c r="AG189" i="1"/>
  <c r="CU189" i="1" s="1"/>
  <c r="T189" i="1" s="1"/>
  <c r="AH189" i="1"/>
  <c r="AI189" i="1"/>
  <c r="CW189" i="1" s="1"/>
  <c r="V189" i="1" s="1"/>
  <c r="AJ189" i="1"/>
  <c r="CR189" i="1"/>
  <c r="CT189" i="1"/>
  <c r="CV189" i="1"/>
  <c r="U189" i="1" s="1"/>
  <c r="CX189" i="1"/>
  <c r="W189" i="1" s="1"/>
  <c r="CZ189" i="1"/>
  <c r="Y189" i="1" s="1"/>
  <c r="FR189" i="1"/>
  <c r="GL189" i="1"/>
  <c r="GO189" i="1"/>
  <c r="GP189" i="1"/>
  <c r="GV189" i="1"/>
  <c r="HC189" i="1"/>
  <c r="GX189" i="1" s="1"/>
  <c r="B191" i="1"/>
  <c r="B185" i="1" s="1"/>
  <c r="C191" i="1"/>
  <c r="C185" i="1" s="1"/>
  <c r="D191" i="1"/>
  <c r="D185" i="1" s="1"/>
  <c r="F191" i="1"/>
  <c r="F185" i="1" s="1"/>
  <c r="G191" i="1"/>
  <c r="G185" i="1" s="1"/>
  <c r="BX191" i="1"/>
  <c r="BX185" i="1" s="1"/>
  <c r="BY191" i="1"/>
  <c r="BY185" i="1" s="1"/>
  <c r="BZ191" i="1"/>
  <c r="BZ185" i="1" s="1"/>
  <c r="CD191" i="1"/>
  <c r="CD185" i="1" s="1"/>
  <c r="CK191" i="1"/>
  <c r="CK185" i="1" s="1"/>
  <c r="CL191" i="1"/>
  <c r="CL185" i="1" s="1"/>
  <c r="CM191" i="1"/>
  <c r="CM185" i="1" s="1"/>
  <c r="D221" i="1"/>
  <c r="E223" i="1"/>
  <c r="F223" i="1"/>
  <c r="Z223" i="1"/>
  <c r="AA223" i="1"/>
  <c r="AM223" i="1"/>
  <c r="AN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C225" i="1"/>
  <c r="D225" i="1"/>
  <c r="I225" i="1"/>
  <c r="Q225" i="1" s="1"/>
  <c r="P225" i="1"/>
  <c r="R225" i="1"/>
  <c r="GK225" i="1" s="1"/>
  <c r="AC225" i="1"/>
  <c r="AD225" i="1"/>
  <c r="AE225" i="1"/>
  <c r="AF225" i="1"/>
  <c r="AG225" i="1"/>
  <c r="AH225" i="1"/>
  <c r="CV225" i="1" s="1"/>
  <c r="U225" i="1" s="1"/>
  <c r="AH228" i="1" s="1"/>
  <c r="AI225" i="1"/>
  <c r="AJ225" i="1"/>
  <c r="CX225" i="1" s="1"/>
  <c r="W225" i="1" s="1"/>
  <c r="CQ225" i="1"/>
  <c r="CR225" i="1"/>
  <c r="CS225" i="1"/>
  <c r="CU225" i="1"/>
  <c r="T225" i="1" s="1"/>
  <c r="CW225" i="1"/>
  <c r="V225" i="1" s="1"/>
  <c r="FR225" i="1"/>
  <c r="GL225" i="1"/>
  <c r="BZ228" i="1" s="1"/>
  <c r="CG228" i="1" s="1"/>
  <c r="GO225" i="1"/>
  <c r="GP225" i="1"/>
  <c r="GV225" i="1"/>
  <c r="GX225" i="1"/>
  <c r="HC225" i="1"/>
  <c r="C226" i="1"/>
  <c r="D226" i="1"/>
  <c r="I226" i="1"/>
  <c r="P226" i="1"/>
  <c r="R226" i="1"/>
  <c r="GK226" i="1" s="1"/>
  <c r="T226" i="1"/>
  <c r="AC226" i="1"/>
  <c r="AD226" i="1"/>
  <c r="AB226" i="1" s="1"/>
  <c r="AE226" i="1"/>
  <c r="AF226" i="1"/>
  <c r="AG226" i="1"/>
  <c r="AH226" i="1"/>
  <c r="CV226" i="1" s="1"/>
  <c r="U226" i="1" s="1"/>
  <c r="AI226" i="1"/>
  <c r="AJ226" i="1"/>
  <c r="CX226" i="1" s="1"/>
  <c r="W226" i="1" s="1"/>
  <c r="CQ226" i="1"/>
  <c r="CR226" i="1"/>
  <c r="CS226" i="1"/>
  <c r="CU226" i="1"/>
  <c r="CW226" i="1"/>
  <c r="V226" i="1" s="1"/>
  <c r="FR226" i="1"/>
  <c r="BY228" i="1" s="1"/>
  <c r="GL226" i="1"/>
  <c r="GO226" i="1"/>
  <c r="GP226" i="1"/>
  <c r="GV226" i="1"/>
  <c r="GX226" i="1"/>
  <c r="HC226" i="1"/>
  <c r="B228" i="1"/>
  <c r="B223" i="1" s="1"/>
  <c r="C228" i="1"/>
  <c r="C223" i="1" s="1"/>
  <c r="D228" i="1"/>
  <c r="D223" i="1" s="1"/>
  <c r="F228" i="1"/>
  <c r="G228" i="1"/>
  <c r="G223" i="1" s="1"/>
  <c r="AJ228" i="1"/>
  <c r="AT228" i="1"/>
  <c r="BB228" i="1"/>
  <c r="BB223" i="1" s="1"/>
  <c r="BX228" i="1"/>
  <c r="BX223" i="1" s="1"/>
  <c r="CC228" i="1"/>
  <c r="CC223" i="1" s="1"/>
  <c r="CK228" i="1"/>
  <c r="CK223" i="1" s="1"/>
  <c r="CL228" i="1"/>
  <c r="CL223" i="1" s="1"/>
  <c r="CM228" i="1"/>
  <c r="CM223" i="1" s="1"/>
  <c r="B258" i="1"/>
  <c r="B22" i="1" s="1"/>
  <c r="C258" i="1"/>
  <c r="C22" i="1" s="1"/>
  <c r="D258" i="1"/>
  <c r="D22" i="1" s="1"/>
  <c r="F258" i="1"/>
  <c r="F22" i="1" s="1"/>
  <c r="G258" i="1"/>
  <c r="G22" i="1" s="1"/>
  <c r="D290" i="1"/>
  <c r="E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FN292" i="1"/>
  <c r="FO292" i="1"/>
  <c r="FP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GI292" i="1"/>
  <c r="GJ292" i="1"/>
  <c r="GK292" i="1"/>
  <c r="GL292" i="1"/>
  <c r="GM292" i="1"/>
  <c r="GN292" i="1"/>
  <c r="GO292" i="1"/>
  <c r="GP292" i="1"/>
  <c r="GQ292" i="1"/>
  <c r="GR292" i="1"/>
  <c r="GS292" i="1"/>
  <c r="GT292" i="1"/>
  <c r="GU292" i="1"/>
  <c r="GV292" i="1"/>
  <c r="GW292" i="1"/>
  <c r="GX292" i="1"/>
  <c r="D294" i="1"/>
  <c r="E296" i="1"/>
  <c r="Z296" i="1"/>
  <c r="AA296" i="1"/>
  <c r="AM296" i="1"/>
  <c r="AN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GW296" i="1"/>
  <c r="GX296" i="1"/>
  <c r="C298" i="1"/>
  <c r="D298" i="1"/>
  <c r="I298" i="1"/>
  <c r="CX57" i="3" s="1"/>
  <c r="S298" i="1"/>
  <c r="CY298" i="1" s="1"/>
  <c r="X298" i="1" s="1"/>
  <c r="AK300" i="1" s="1"/>
  <c r="AC298" i="1"/>
  <c r="P298" i="1" s="1"/>
  <c r="AE298" i="1"/>
  <c r="Q298" i="1" s="1"/>
  <c r="AD300" i="1" s="1"/>
  <c r="AF298" i="1"/>
  <c r="AG298" i="1"/>
  <c r="CU298" i="1" s="1"/>
  <c r="T298" i="1" s="1"/>
  <c r="AG300" i="1" s="1"/>
  <c r="AH298" i="1"/>
  <c r="AI298" i="1"/>
  <c r="CW298" i="1" s="1"/>
  <c r="V298" i="1" s="1"/>
  <c r="AI300" i="1" s="1"/>
  <c r="AJ298" i="1"/>
  <c r="CR298" i="1"/>
  <c r="CT298" i="1"/>
  <c r="CV298" i="1"/>
  <c r="U298" i="1" s="1"/>
  <c r="AH300" i="1" s="1"/>
  <c r="CX298" i="1"/>
  <c r="W298" i="1" s="1"/>
  <c r="AJ300" i="1" s="1"/>
  <c r="CZ298" i="1"/>
  <c r="Y298" i="1" s="1"/>
  <c r="AL300" i="1" s="1"/>
  <c r="FR298" i="1"/>
  <c r="GL298" i="1"/>
  <c r="GN298" i="1"/>
  <c r="GO298" i="1"/>
  <c r="CC300" i="1" s="1"/>
  <c r="GV298" i="1"/>
  <c r="HC298" i="1"/>
  <c r="GX298" i="1" s="1"/>
  <c r="CJ300" i="1" s="1"/>
  <c r="B300" i="1"/>
  <c r="B296" i="1" s="1"/>
  <c r="C300" i="1"/>
  <c r="C296" i="1" s="1"/>
  <c r="D300" i="1"/>
  <c r="D296" i="1" s="1"/>
  <c r="F300" i="1"/>
  <c r="F296" i="1" s="1"/>
  <c r="G300" i="1"/>
  <c r="G296" i="1" s="1"/>
  <c r="BX300" i="1"/>
  <c r="BX296" i="1" s="1"/>
  <c r="BY300" i="1"/>
  <c r="BY296" i="1" s="1"/>
  <c r="BZ300" i="1"/>
  <c r="BZ296" i="1" s="1"/>
  <c r="CB300" i="1"/>
  <c r="CB296" i="1" s="1"/>
  <c r="CK300" i="1"/>
  <c r="CK296" i="1" s="1"/>
  <c r="CL300" i="1"/>
  <c r="CL296" i="1" s="1"/>
  <c r="CM300" i="1"/>
  <c r="CM296" i="1" s="1"/>
  <c r="D330" i="1"/>
  <c r="E332" i="1"/>
  <c r="Z332" i="1"/>
  <c r="AA332" i="1"/>
  <c r="AM332" i="1"/>
  <c r="AN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EA332" i="1"/>
  <c r="EB332" i="1"/>
  <c r="EC332" i="1"/>
  <c r="ED332" i="1"/>
  <c r="EE332" i="1"/>
  <c r="EF332" i="1"/>
  <c r="EG332" i="1"/>
  <c r="EH332" i="1"/>
  <c r="EI332" i="1"/>
  <c r="EJ332" i="1"/>
  <c r="EK332" i="1"/>
  <c r="EL332" i="1"/>
  <c r="EM332" i="1"/>
  <c r="EN332" i="1"/>
  <c r="EO332" i="1"/>
  <c r="EP332" i="1"/>
  <c r="EQ332" i="1"/>
  <c r="ER332" i="1"/>
  <c r="ES332" i="1"/>
  <c r="ET332" i="1"/>
  <c r="EU332" i="1"/>
  <c r="EV332" i="1"/>
  <c r="EW332" i="1"/>
  <c r="EX332" i="1"/>
  <c r="EY332" i="1"/>
  <c r="EZ332" i="1"/>
  <c r="FA332" i="1"/>
  <c r="FB332" i="1"/>
  <c r="FC332" i="1"/>
  <c r="FD332" i="1"/>
  <c r="FE332" i="1"/>
  <c r="FF332" i="1"/>
  <c r="FG332" i="1"/>
  <c r="FH332" i="1"/>
  <c r="FI332" i="1"/>
  <c r="FJ332" i="1"/>
  <c r="FK332" i="1"/>
  <c r="FL332" i="1"/>
  <c r="FM332" i="1"/>
  <c r="FN332" i="1"/>
  <c r="FO332" i="1"/>
  <c r="FP332" i="1"/>
  <c r="FQ332" i="1"/>
  <c r="FR332" i="1"/>
  <c r="FS332" i="1"/>
  <c r="FT332" i="1"/>
  <c r="FU332" i="1"/>
  <c r="FV332" i="1"/>
  <c r="FW332" i="1"/>
  <c r="FX332" i="1"/>
  <c r="FY332" i="1"/>
  <c r="FZ332" i="1"/>
  <c r="GA332" i="1"/>
  <c r="GB332" i="1"/>
  <c r="GC332" i="1"/>
  <c r="GD332" i="1"/>
  <c r="GE332" i="1"/>
  <c r="GF332" i="1"/>
  <c r="GG332" i="1"/>
  <c r="GH332" i="1"/>
  <c r="GI332" i="1"/>
  <c r="GJ332" i="1"/>
  <c r="GK332" i="1"/>
  <c r="GL332" i="1"/>
  <c r="GM332" i="1"/>
  <c r="GN332" i="1"/>
  <c r="GO332" i="1"/>
  <c r="GP332" i="1"/>
  <c r="GQ332" i="1"/>
  <c r="GR332" i="1"/>
  <c r="GS332" i="1"/>
  <c r="GT332" i="1"/>
  <c r="GU332" i="1"/>
  <c r="GV332" i="1"/>
  <c r="GW332" i="1"/>
  <c r="GX332" i="1"/>
  <c r="C334" i="1"/>
  <c r="D334" i="1"/>
  <c r="I334" i="1"/>
  <c r="CX58" i="3" s="1"/>
  <c r="P334" i="1"/>
  <c r="R334" i="1"/>
  <c r="GK334" i="1" s="1"/>
  <c r="AC334" i="1"/>
  <c r="AD334" i="1"/>
  <c r="AB334" i="1" s="1"/>
  <c r="AE334" i="1"/>
  <c r="AF334" i="1"/>
  <c r="S334" i="1" s="1"/>
  <c r="AG334" i="1"/>
  <c r="AH334" i="1"/>
  <c r="CV334" i="1" s="1"/>
  <c r="U334" i="1" s="1"/>
  <c r="AH336" i="1" s="1"/>
  <c r="AI334" i="1"/>
  <c r="AJ334" i="1"/>
  <c r="CX334" i="1" s="1"/>
  <c r="W334" i="1" s="1"/>
  <c r="AJ336" i="1" s="1"/>
  <c r="CQ334" i="1"/>
  <c r="CR334" i="1"/>
  <c r="CS334" i="1"/>
  <c r="CU334" i="1"/>
  <c r="T334" i="1" s="1"/>
  <c r="AG336" i="1" s="1"/>
  <c r="CW334" i="1"/>
  <c r="V334" i="1" s="1"/>
  <c r="AI336" i="1" s="1"/>
  <c r="FR334" i="1"/>
  <c r="GL334" i="1"/>
  <c r="BZ336" i="1" s="1"/>
  <c r="GN334" i="1"/>
  <c r="CB336" i="1" s="1"/>
  <c r="GO334" i="1"/>
  <c r="GV334" i="1"/>
  <c r="GX334" i="1"/>
  <c r="CJ336" i="1" s="1"/>
  <c r="HC334" i="1"/>
  <c r="B336" i="1"/>
  <c r="B332" i="1" s="1"/>
  <c r="C336" i="1"/>
  <c r="C332" i="1" s="1"/>
  <c r="D336" i="1"/>
  <c r="D332" i="1" s="1"/>
  <c r="F336" i="1"/>
  <c r="F332" i="1" s="1"/>
  <c r="G336" i="1"/>
  <c r="G332" i="1" s="1"/>
  <c r="BX336" i="1"/>
  <c r="BX332" i="1" s="1"/>
  <c r="BY336" i="1"/>
  <c r="BY332" i="1" s="1"/>
  <c r="CC336" i="1"/>
  <c r="CC332" i="1" s="1"/>
  <c r="CK336" i="1"/>
  <c r="CK332" i="1" s="1"/>
  <c r="CL336" i="1"/>
  <c r="CL332" i="1" s="1"/>
  <c r="CM336" i="1"/>
  <c r="CM332" i="1" s="1"/>
  <c r="B366" i="1"/>
  <c r="B292" i="1" s="1"/>
  <c r="C366" i="1"/>
  <c r="C292" i="1" s="1"/>
  <c r="D366" i="1"/>
  <c r="D292" i="1" s="1"/>
  <c r="F366" i="1"/>
  <c r="F292" i="1" s="1"/>
  <c r="G366" i="1"/>
  <c r="G292" i="1" s="1"/>
  <c r="D396" i="1"/>
  <c r="E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DD398" i="1"/>
  <c r="DE398" i="1"/>
  <c r="DF398" i="1"/>
  <c r="DG398" i="1"/>
  <c r="DH398" i="1"/>
  <c r="DI398" i="1"/>
  <c r="DJ398" i="1"/>
  <c r="DK398" i="1"/>
  <c r="DL398" i="1"/>
  <c r="DM398" i="1"/>
  <c r="DN398" i="1"/>
  <c r="DO398" i="1"/>
  <c r="DP398" i="1"/>
  <c r="DQ398" i="1"/>
  <c r="DR398" i="1"/>
  <c r="DS398" i="1"/>
  <c r="DT398" i="1"/>
  <c r="DU398" i="1"/>
  <c r="DV398" i="1"/>
  <c r="DW398" i="1"/>
  <c r="DX398" i="1"/>
  <c r="DY398" i="1"/>
  <c r="DZ398" i="1"/>
  <c r="EA398" i="1"/>
  <c r="EB398" i="1"/>
  <c r="EC398" i="1"/>
  <c r="ED398" i="1"/>
  <c r="EE398" i="1"/>
  <c r="EF398" i="1"/>
  <c r="EG398" i="1"/>
  <c r="EH398" i="1"/>
  <c r="EI398" i="1"/>
  <c r="EJ398" i="1"/>
  <c r="EK398" i="1"/>
  <c r="EL398" i="1"/>
  <c r="EM398" i="1"/>
  <c r="EN398" i="1"/>
  <c r="EO398" i="1"/>
  <c r="EP398" i="1"/>
  <c r="EQ398" i="1"/>
  <c r="ER398" i="1"/>
  <c r="ES398" i="1"/>
  <c r="ET398" i="1"/>
  <c r="EU398" i="1"/>
  <c r="EV398" i="1"/>
  <c r="EW398" i="1"/>
  <c r="EX398" i="1"/>
  <c r="EY398" i="1"/>
  <c r="EZ398" i="1"/>
  <c r="FA398" i="1"/>
  <c r="FB398" i="1"/>
  <c r="FC398" i="1"/>
  <c r="FD398" i="1"/>
  <c r="FE398" i="1"/>
  <c r="FF398" i="1"/>
  <c r="FG398" i="1"/>
  <c r="FH398" i="1"/>
  <c r="FI398" i="1"/>
  <c r="FJ398" i="1"/>
  <c r="FK398" i="1"/>
  <c r="FL398" i="1"/>
  <c r="FM398" i="1"/>
  <c r="FN398" i="1"/>
  <c r="FO398" i="1"/>
  <c r="FP398" i="1"/>
  <c r="FQ398" i="1"/>
  <c r="FR398" i="1"/>
  <c r="FS398" i="1"/>
  <c r="FT398" i="1"/>
  <c r="FU398" i="1"/>
  <c r="FV398" i="1"/>
  <c r="FW398" i="1"/>
  <c r="FX398" i="1"/>
  <c r="FY398" i="1"/>
  <c r="FZ398" i="1"/>
  <c r="GA398" i="1"/>
  <c r="GB398" i="1"/>
  <c r="GC398" i="1"/>
  <c r="GD398" i="1"/>
  <c r="GE398" i="1"/>
  <c r="GF398" i="1"/>
  <c r="GG398" i="1"/>
  <c r="GH398" i="1"/>
  <c r="GI398" i="1"/>
  <c r="GJ398" i="1"/>
  <c r="GK398" i="1"/>
  <c r="GL398" i="1"/>
  <c r="GM398" i="1"/>
  <c r="GN398" i="1"/>
  <c r="GO398" i="1"/>
  <c r="GP398" i="1"/>
  <c r="GQ398" i="1"/>
  <c r="GR398" i="1"/>
  <c r="GS398" i="1"/>
  <c r="GT398" i="1"/>
  <c r="GU398" i="1"/>
  <c r="GV398" i="1"/>
  <c r="GW398" i="1"/>
  <c r="GX398" i="1"/>
  <c r="D400" i="1"/>
  <c r="E402" i="1"/>
  <c r="Z402" i="1"/>
  <c r="AA402" i="1"/>
  <c r="AM402" i="1"/>
  <c r="AN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DD402" i="1"/>
  <c r="DE402" i="1"/>
  <c r="DF402" i="1"/>
  <c r="DG402" i="1"/>
  <c r="DH402" i="1"/>
  <c r="DI402" i="1"/>
  <c r="DJ402" i="1"/>
  <c r="DK402" i="1"/>
  <c r="DL402" i="1"/>
  <c r="DM402" i="1"/>
  <c r="DN402" i="1"/>
  <c r="DO402" i="1"/>
  <c r="DP402" i="1"/>
  <c r="DQ402" i="1"/>
  <c r="DR402" i="1"/>
  <c r="DS402" i="1"/>
  <c r="DT402" i="1"/>
  <c r="DU402" i="1"/>
  <c r="DV402" i="1"/>
  <c r="DW402" i="1"/>
  <c r="DX402" i="1"/>
  <c r="DY402" i="1"/>
  <c r="DZ402" i="1"/>
  <c r="EA402" i="1"/>
  <c r="EB402" i="1"/>
  <c r="EC402" i="1"/>
  <c r="ED402" i="1"/>
  <c r="EE402" i="1"/>
  <c r="EF402" i="1"/>
  <c r="EG402" i="1"/>
  <c r="EH402" i="1"/>
  <c r="EI402" i="1"/>
  <c r="EJ402" i="1"/>
  <c r="EK402" i="1"/>
  <c r="EL402" i="1"/>
  <c r="EM402" i="1"/>
  <c r="EN402" i="1"/>
  <c r="EO402" i="1"/>
  <c r="EP402" i="1"/>
  <c r="EQ402" i="1"/>
  <c r="ER402" i="1"/>
  <c r="ES402" i="1"/>
  <c r="ET402" i="1"/>
  <c r="EU402" i="1"/>
  <c r="EV402" i="1"/>
  <c r="EW402" i="1"/>
  <c r="EX402" i="1"/>
  <c r="EY402" i="1"/>
  <c r="EZ402" i="1"/>
  <c r="FA402" i="1"/>
  <c r="FB402" i="1"/>
  <c r="FC402" i="1"/>
  <c r="FD402" i="1"/>
  <c r="FE402" i="1"/>
  <c r="FF402" i="1"/>
  <c r="FG402" i="1"/>
  <c r="FH402" i="1"/>
  <c r="FI402" i="1"/>
  <c r="FJ402" i="1"/>
  <c r="FK402" i="1"/>
  <c r="FL402" i="1"/>
  <c r="FM402" i="1"/>
  <c r="FN402" i="1"/>
  <c r="FO402" i="1"/>
  <c r="FP402" i="1"/>
  <c r="FQ402" i="1"/>
  <c r="FR402" i="1"/>
  <c r="FS402" i="1"/>
  <c r="FT402" i="1"/>
  <c r="FU402" i="1"/>
  <c r="FV402" i="1"/>
  <c r="FW402" i="1"/>
  <c r="FX402" i="1"/>
  <c r="FY402" i="1"/>
  <c r="FZ402" i="1"/>
  <c r="GA402" i="1"/>
  <c r="GB402" i="1"/>
  <c r="GC402" i="1"/>
  <c r="GD402" i="1"/>
  <c r="GE402" i="1"/>
  <c r="GF402" i="1"/>
  <c r="GG402" i="1"/>
  <c r="GH402" i="1"/>
  <c r="GI402" i="1"/>
  <c r="GJ402" i="1"/>
  <c r="GK402" i="1"/>
  <c r="GL402" i="1"/>
  <c r="GM402" i="1"/>
  <c r="GN402" i="1"/>
  <c r="GO402" i="1"/>
  <c r="GP402" i="1"/>
  <c r="GQ402" i="1"/>
  <c r="GR402" i="1"/>
  <c r="GS402" i="1"/>
  <c r="GT402" i="1"/>
  <c r="GU402" i="1"/>
  <c r="GV402" i="1"/>
  <c r="GW402" i="1"/>
  <c r="GX402" i="1"/>
  <c r="P404" i="1"/>
  <c r="R404" i="1"/>
  <c r="GK404" i="1" s="1"/>
  <c r="AC404" i="1"/>
  <c r="AD404" i="1"/>
  <c r="AB404" i="1" s="1"/>
  <c r="AE404" i="1"/>
  <c r="Q404" i="1" s="1"/>
  <c r="AF404" i="1"/>
  <c r="S404" i="1" s="1"/>
  <c r="AG404" i="1"/>
  <c r="AH404" i="1"/>
  <c r="CV404" i="1" s="1"/>
  <c r="U404" i="1" s="1"/>
  <c r="AI404" i="1"/>
  <c r="AJ404" i="1"/>
  <c r="CX404" i="1" s="1"/>
  <c r="W404" i="1" s="1"/>
  <c r="CQ404" i="1"/>
  <c r="CR404" i="1"/>
  <c r="CS404" i="1"/>
  <c r="CU404" i="1"/>
  <c r="T404" i="1" s="1"/>
  <c r="CW404" i="1"/>
  <c r="V404" i="1" s="1"/>
  <c r="FR404" i="1"/>
  <c r="GL404" i="1"/>
  <c r="GO404" i="1"/>
  <c r="GP404" i="1"/>
  <c r="GV404" i="1"/>
  <c r="GX404" i="1"/>
  <c r="HC404" i="1"/>
  <c r="S405" i="1"/>
  <c r="CY405" i="1" s="1"/>
  <c r="X405" i="1" s="1"/>
  <c r="AC405" i="1"/>
  <c r="P405" i="1" s="1"/>
  <c r="CP405" i="1" s="1"/>
  <c r="O405" i="1" s="1"/>
  <c r="AE405" i="1"/>
  <c r="Q405" i="1" s="1"/>
  <c r="AF405" i="1"/>
  <c r="AG405" i="1"/>
  <c r="CU405" i="1" s="1"/>
  <c r="T405" i="1" s="1"/>
  <c r="AH405" i="1"/>
  <c r="AI405" i="1"/>
  <c r="CW405" i="1" s="1"/>
  <c r="V405" i="1" s="1"/>
  <c r="AJ405" i="1"/>
  <c r="CR405" i="1"/>
  <c r="CT405" i="1"/>
  <c r="CV405" i="1"/>
  <c r="U405" i="1" s="1"/>
  <c r="CX405" i="1"/>
  <c r="W405" i="1" s="1"/>
  <c r="CZ405" i="1"/>
  <c r="Y405" i="1" s="1"/>
  <c r="FR405" i="1"/>
  <c r="GL405" i="1"/>
  <c r="GO405" i="1"/>
  <c r="GP405" i="1"/>
  <c r="GV405" i="1"/>
  <c r="HC405" i="1"/>
  <c r="GX405" i="1" s="1"/>
  <c r="P406" i="1"/>
  <c r="R406" i="1"/>
  <c r="GK406" i="1" s="1"/>
  <c r="AC406" i="1"/>
  <c r="AD406" i="1"/>
  <c r="AB406" i="1" s="1"/>
  <c r="AE406" i="1"/>
  <c r="Q406" i="1" s="1"/>
  <c r="AF406" i="1"/>
  <c r="S406" i="1" s="1"/>
  <c r="AG406" i="1"/>
  <c r="AH406" i="1"/>
  <c r="CV406" i="1" s="1"/>
  <c r="U406" i="1" s="1"/>
  <c r="AI406" i="1"/>
  <c r="AJ406" i="1"/>
  <c r="CX406" i="1" s="1"/>
  <c r="W406" i="1" s="1"/>
  <c r="CQ406" i="1"/>
  <c r="CR406" i="1"/>
  <c r="CS406" i="1"/>
  <c r="CU406" i="1"/>
  <c r="T406" i="1" s="1"/>
  <c r="CW406" i="1"/>
  <c r="V406" i="1" s="1"/>
  <c r="FR406" i="1"/>
  <c r="GL406" i="1"/>
  <c r="GO406" i="1"/>
  <c r="GP406" i="1"/>
  <c r="GV406" i="1"/>
  <c r="GX406" i="1"/>
  <c r="HC406" i="1"/>
  <c r="S407" i="1"/>
  <c r="CY407" i="1" s="1"/>
  <c r="X407" i="1" s="1"/>
  <c r="AC407" i="1"/>
  <c r="P407" i="1" s="1"/>
  <c r="AE407" i="1"/>
  <c r="Q407" i="1" s="1"/>
  <c r="AF407" i="1"/>
  <c r="AG407" i="1"/>
  <c r="CU407" i="1" s="1"/>
  <c r="T407" i="1" s="1"/>
  <c r="AH407" i="1"/>
  <c r="AI407" i="1"/>
  <c r="CW407" i="1" s="1"/>
  <c r="V407" i="1" s="1"/>
  <c r="AJ407" i="1"/>
  <c r="CR407" i="1"/>
  <c r="CT407" i="1"/>
  <c r="CV407" i="1"/>
  <c r="U407" i="1" s="1"/>
  <c r="CX407" i="1"/>
  <c r="W407" i="1" s="1"/>
  <c r="CZ407" i="1"/>
  <c r="Y407" i="1" s="1"/>
  <c r="FR407" i="1"/>
  <c r="GL407" i="1"/>
  <c r="GO407" i="1"/>
  <c r="GP407" i="1"/>
  <c r="GV407" i="1"/>
  <c r="HC407" i="1"/>
  <c r="GX407" i="1" s="1"/>
  <c r="P408" i="1"/>
  <c r="R408" i="1"/>
  <c r="GK408" i="1" s="1"/>
  <c r="AC408" i="1"/>
  <c r="AD408" i="1"/>
  <c r="AB408" i="1" s="1"/>
  <c r="AE408" i="1"/>
  <c r="Q408" i="1" s="1"/>
  <c r="AF408" i="1"/>
  <c r="S408" i="1" s="1"/>
  <c r="AG408" i="1"/>
  <c r="AH408" i="1"/>
  <c r="CV408" i="1" s="1"/>
  <c r="U408" i="1" s="1"/>
  <c r="AI408" i="1"/>
  <c r="AJ408" i="1"/>
  <c r="CX408" i="1" s="1"/>
  <c r="W408" i="1" s="1"/>
  <c r="CQ408" i="1"/>
  <c r="CR408" i="1"/>
  <c r="CS408" i="1"/>
  <c r="CU408" i="1"/>
  <c r="T408" i="1" s="1"/>
  <c r="CW408" i="1"/>
  <c r="V408" i="1" s="1"/>
  <c r="FR408" i="1"/>
  <c r="GL408" i="1"/>
  <c r="GO408" i="1"/>
  <c r="GP408" i="1"/>
  <c r="GV408" i="1"/>
  <c r="GX408" i="1"/>
  <c r="HC408" i="1"/>
  <c r="S409" i="1"/>
  <c r="CY409" i="1" s="1"/>
  <c r="X409" i="1" s="1"/>
  <c r="AC409" i="1"/>
  <c r="P409" i="1" s="1"/>
  <c r="CP409" i="1" s="1"/>
  <c r="O409" i="1" s="1"/>
  <c r="AE409" i="1"/>
  <c r="Q409" i="1" s="1"/>
  <c r="AF409" i="1"/>
  <c r="AG409" i="1"/>
  <c r="CU409" i="1" s="1"/>
  <c r="T409" i="1" s="1"/>
  <c r="AH409" i="1"/>
  <c r="AI409" i="1"/>
  <c r="CW409" i="1" s="1"/>
  <c r="V409" i="1" s="1"/>
  <c r="AJ409" i="1"/>
  <c r="CR409" i="1"/>
  <c r="CT409" i="1"/>
  <c r="CV409" i="1"/>
  <c r="U409" i="1" s="1"/>
  <c r="CX409" i="1"/>
  <c r="W409" i="1" s="1"/>
  <c r="CZ409" i="1"/>
  <c r="Y409" i="1" s="1"/>
  <c r="FR409" i="1"/>
  <c r="GL409" i="1"/>
  <c r="GO409" i="1"/>
  <c r="GP409" i="1"/>
  <c r="GV409" i="1"/>
  <c r="HC409" i="1"/>
  <c r="GX409" i="1" s="1"/>
  <c r="P410" i="1"/>
  <c r="R410" i="1"/>
  <c r="GK410" i="1" s="1"/>
  <c r="AC410" i="1"/>
  <c r="AD410" i="1"/>
  <c r="AB410" i="1" s="1"/>
  <c r="AE410" i="1"/>
  <c r="Q410" i="1" s="1"/>
  <c r="AF410" i="1"/>
  <c r="S410" i="1" s="1"/>
  <c r="AG410" i="1"/>
  <c r="AH410" i="1"/>
  <c r="CV410" i="1" s="1"/>
  <c r="U410" i="1" s="1"/>
  <c r="AI410" i="1"/>
  <c r="AJ410" i="1"/>
  <c r="CX410" i="1" s="1"/>
  <c r="W410" i="1" s="1"/>
  <c r="CQ410" i="1"/>
  <c r="CR410" i="1"/>
  <c r="CS410" i="1"/>
  <c r="CU410" i="1"/>
  <c r="T410" i="1" s="1"/>
  <c r="CW410" i="1"/>
  <c r="V410" i="1" s="1"/>
  <c r="FR410" i="1"/>
  <c r="GL410" i="1"/>
  <c r="BZ414" i="1" s="1"/>
  <c r="GO410" i="1"/>
  <c r="GP410" i="1"/>
  <c r="CD414" i="1" s="1"/>
  <c r="GV410" i="1"/>
  <c r="GX410" i="1"/>
  <c r="HC410" i="1"/>
  <c r="S411" i="1"/>
  <c r="CY411" i="1" s="1"/>
  <c r="X411" i="1" s="1"/>
  <c r="AC411" i="1"/>
  <c r="P411" i="1" s="1"/>
  <c r="AE411" i="1"/>
  <c r="Q411" i="1" s="1"/>
  <c r="AF411" i="1"/>
  <c r="AG411" i="1"/>
  <c r="CU411" i="1" s="1"/>
  <c r="T411" i="1" s="1"/>
  <c r="AH411" i="1"/>
  <c r="AI411" i="1"/>
  <c r="CW411" i="1" s="1"/>
  <c r="V411" i="1" s="1"/>
  <c r="AJ411" i="1"/>
  <c r="CR411" i="1"/>
  <c r="CT411" i="1"/>
  <c r="CV411" i="1"/>
  <c r="U411" i="1" s="1"/>
  <c r="CX411" i="1"/>
  <c r="W411" i="1" s="1"/>
  <c r="CZ411" i="1"/>
  <c r="Y411" i="1" s="1"/>
  <c r="FR411" i="1"/>
  <c r="GL411" i="1"/>
  <c r="GO411" i="1"/>
  <c r="GP411" i="1"/>
  <c r="GV411" i="1"/>
  <c r="HC411" i="1"/>
  <c r="GX411" i="1" s="1"/>
  <c r="P412" i="1"/>
  <c r="R412" i="1"/>
  <c r="GK412" i="1" s="1"/>
  <c r="AC412" i="1"/>
  <c r="AD412" i="1"/>
  <c r="AB412" i="1" s="1"/>
  <c r="AE412" i="1"/>
  <c r="Q412" i="1" s="1"/>
  <c r="AF412" i="1"/>
  <c r="AG412" i="1"/>
  <c r="AH412" i="1"/>
  <c r="CV412" i="1" s="1"/>
  <c r="U412" i="1" s="1"/>
  <c r="AI412" i="1"/>
  <c r="AJ412" i="1"/>
  <c r="CX412" i="1" s="1"/>
  <c r="W412" i="1" s="1"/>
  <c r="CQ412" i="1"/>
  <c r="CR412" i="1"/>
  <c r="CS412" i="1"/>
  <c r="CU412" i="1"/>
  <c r="T412" i="1" s="1"/>
  <c r="CW412" i="1"/>
  <c r="V412" i="1" s="1"/>
  <c r="FR412" i="1"/>
  <c r="GL412" i="1"/>
  <c r="GO412" i="1"/>
  <c r="GP412" i="1"/>
  <c r="GV412" i="1"/>
  <c r="GX412" i="1"/>
  <c r="HC412" i="1"/>
  <c r="B414" i="1"/>
  <c r="B402" i="1" s="1"/>
  <c r="C414" i="1"/>
  <c r="C402" i="1" s="1"/>
  <c r="D414" i="1"/>
  <c r="D402" i="1" s="1"/>
  <c r="F414" i="1"/>
  <c r="F402" i="1" s="1"/>
  <c r="G414" i="1"/>
  <c r="G402" i="1" s="1"/>
  <c r="AD414" i="1"/>
  <c r="AF414" i="1"/>
  <c r="AH414" i="1"/>
  <c r="AJ414" i="1"/>
  <c r="AP414" i="1"/>
  <c r="AP402" i="1" s="1"/>
  <c r="AT414" i="1"/>
  <c r="AX414" i="1"/>
  <c r="AX402" i="1" s="1"/>
  <c r="BB414" i="1"/>
  <c r="BB402" i="1" s="1"/>
  <c r="BX414" i="1"/>
  <c r="BX402" i="1" s="1"/>
  <c r="BY414" i="1"/>
  <c r="BY402" i="1" s="1"/>
  <c r="CC414" i="1"/>
  <c r="CC402" i="1" s="1"/>
  <c r="CG414" i="1"/>
  <c r="CG402" i="1" s="1"/>
  <c r="CI414" i="1"/>
  <c r="CI402" i="1" s="1"/>
  <c r="CK414" i="1"/>
  <c r="CK402" i="1" s="1"/>
  <c r="CL414" i="1"/>
  <c r="CL402" i="1" s="1"/>
  <c r="CM414" i="1"/>
  <c r="CM402" i="1" s="1"/>
  <c r="F421" i="1"/>
  <c r="D444" i="1"/>
  <c r="E446" i="1"/>
  <c r="Z446" i="1"/>
  <c r="AA446" i="1"/>
  <c r="AM446" i="1"/>
  <c r="AN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DC446" i="1"/>
  <c r="DD446" i="1"/>
  <c r="DE446" i="1"/>
  <c r="DF446" i="1"/>
  <c r="DG446" i="1"/>
  <c r="DH446" i="1"/>
  <c r="DI446" i="1"/>
  <c r="DJ446" i="1"/>
  <c r="DK446" i="1"/>
  <c r="DL446" i="1"/>
  <c r="DM446" i="1"/>
  <c r="DN446" i="1"/>
  <c r="DO446" i="1"/>
  <c r="DP446" i="1"/>
  <c r="DQ446" i="1"/>
  <c r="DR446" i="1"/>
  <c r="DS446" i="1"/>
  <c r="DT446" i="1"/>
  <c r="DU446" i="1"/>
  <c r="DV446" i="1"/>
  <c r="DW446" i="1"/>
  <c r="DX446" i="1"/>
  <c r="DY446" i="1"/>
  <c r="DZ446" i="1"/>
  <c r="EA446" i="1"/>
  <c r="EB446" i="1"/>
  <c r="EC446" i="1"/>
  <c r="ED446" i="1"/>
  <c r="EE446" i="1"/>
  <c r="EF446" i="1"/>
  <c r="EG446" i="1"/>
  <c r="EH446" i="1"/>
  <c r="EI446" i="1"/>
  <c r="EJ446" i="1"/>
  <c r="EK446" i="1"/>
  <c r="EL446" i="1"/>
  <c r="EM446" i="1"/>
  <c r="EN446" i="1"/>
  <c r="EO446" i="1"/>
  <c r="EP446" i="1"/>
  <c r="EQ446" i="1"/>
  <c r="ER446" i="1"/>
  <c r="ES446" i="1"/>
  <c r="ET446" i="1"/>
  <c r="EU446" i="1"/>
  <c r="EV446" i="1"/>
  <c r="EW446" i="1"/>
  <c r="EX446" i="1"/>
  <c r="EY446" i="1"/>
  <c r="EZ446" i="1"/>
  <c r="FA446" i="1"/>
  <c r="FB446" i="1"/>
  <c r="FC446" i="1"/>
  <c r="FD446" i="1"/>
  <c r="FE446" i="1"/>
  <c r="FF446" i="1"/>
  <c r="FG446" i="1"/>
  <c r="FH446" i="1"/>
  <c r="FI446" i="1"/>
  <c r="FJ446" i="1"/>
  <c r="FK446" i="1"/>
  <c r="FL446" i="1"/>
  <c r="FM446" i="1"/>
  <c r="FN446" i="1"/>
  <c r="FO446" i="1"/>
  <c r="FP446" i="1"/>
  <c r="FQ446" i="1"/>
  <c r="FR446" i="1"/>
  <c r="FS446" i="1"/>
  <c r="FT446" i="1"/>
  <c r="FU446" i="1"/>
  <c r="FV446" i="1"/>
  <c r="FW446" i="1"/>
  <c r="FX446" i="1"/>
  <c r="FY446" i="1"/>
  <c r="FZ446" i="1"/>
  <c r="GA446" i="1"/>
  <c r="GB446" i="1"/>
  <c r="GC446" i="1"/>
  <c r="GD446" i="1"/>
  <c r="GE446" i="1"/>
  <c r="GF446" i="1"/>
  <c r="GG446" i="1"/>
  <c r="GH446" i="1"/>
  <c r="GI446" i="1"/>
  <c r="GJ446" i="1"/>
  <c r="GK446" i="1"/>
  <c r="GL446" i="1"/>
  <c r="GM446" i="1"/>
  <c r="GN446" i="1"/>
  <c r="GO446" i="1"/>
  <c r="GP446" i="1"/>
  <c r="GQ446" i="1"/>
  <c r="GR446" i="1"/>
  <c r="GS446" i="1"/>
  <c r="GT446" i="1"/>
  <c r="GU446" i="1"/>
  <c r="GV446" i="1"/>
  <c r="GW446" i="1"/>
  <c r="GX446" i="1"/>
  <c r="S448" i="1"/>
  <c r="AC448" i="1"/>
  <c r="P448" i="1" s="1"/>
  <c r="AE448" i="1"/>
  <c r="R448" i="1" s="1"/>
  <c r="AF448" i="1"/>
  <c r="AG448" i="1"/>
  <c r="CU448" i="1" s="1"/>
  <c r="T448" i="1" s="1"/>
  <c r="AH448" i="1"/>
  <c r="AI448" i="1"/>
  <c r="CW448" i="1" s="1"/>
  <c r="V448" i="1" s="1"/>
  <c r="AJ448" i="1"/>
  <c r="CR448" i="1"/>
  <c r="CT448" i="1"/>
  <c r="CV448" i="1"/>
  <c r="U448" i="1" s="1"/>
  <c r="CX448" i="1"/>
  <c r="W448" i="1" s="1"/>
  <c r="CY448" i="1"/>
  <c r="X448" i="1" s="1"/>
  <c r="CZ448" i="1"/>
  <c r="Y448" i="1" s="1"/>
  <c r="FR448" i="1"/>
  <c r="GL448" i="1"/>
  <c r="GO448" i="1"/>
  <c r="GP448" i="1"/>
  <c r="GV448" i="1"/>
  <c r="HC448" i="1"/>
  <c r="GX448" i="1" s="1"/>
  <c r="P449" i="1"/>
  <c r="R449" i="1"/>
  <c r="AC449" i="1"/>
  <c r="AD449" i="1"/>
  <c r="AB449" i="1" s="1"/>
  <c r="AE449" i="1"/>
  <c r="Q449" i="1" s="1"/>
  <c r="AF449" i="1"/>
  <c r="S449" i="1" s="1"/>
  <c r="AG449" i="1"/>
  <c r="AH449" i="1"/>
  <c r="CV449" i="1" s="1"/>
  <c r="U449" i="1" s="1"/>
  <c r="AI449" i="1"/>
  <c r="AJ449" i="1"/>
  <c r="CX449" i="1" s="1"/>
  <c r="W449" i="1" s="1"/>
  <c r="CQ449" i="1"/>
  <c r="CR449" i="1"/>
  <c r="CS449" i="1"/>
  <c r="CU449" i="1"/>
  <c r="T449" i="1" s="1"/>
  <c r="CW449" i="1"/>
  <c r="V449" i="1" s="1"/>
  <c r="FR449" i="1"/>
  <c r="GK449" i="1"/>
  <c r="GL449" i="1"/>
  <c r="GO449" i="1"/>
  <c r="GP449" i="1"/>
  <c r="GV449" i="1"/>
  <c r="GX449" i="1"/>
  <c r="HC449" i="1"/>
  <c r="S450" i="1"/>
  <c r="CY450" i="1" s="1"/>
  <c r="X450" i="1" s="1"/>
  <c r="AC450" i="1"/>
  <c r="P450" i="1" s="1"/>
  <c r="AE450" i="1"/>
  <c r="R450" i="1" s="1"/>
  <c r="GK450" i="1" s="1"/>
  <c r="AF450" i="1"/>
  <c r="AG450" i="1"/>
  <c r="CU450" i="1" s="1"/>
  <c r="T450" i="1" s="1"/>
  <c r="AH450" i="1"/>
  <c r="AI450" i="1"/>
  <c r="CW450" i="1" s="1"/>
  <c r="V450" i="1" s="1"/>
  <c r="AJ450" i="1"/>
  <c r="CR450" i="1"/>
  <c r="CT450" i="1"/>
  <c r="CV450" i="1"/>
  <c r="U450" i="1" s="1"/>
  <c r="CX450" i="1"/>
  <c r="W450" i="1" s="1"/>
  <c r="CZ450" i="1"/>
  <c r="Y450" i="1" s="1"/>
  <c r="FR450" i="1"/>
  <c r="GL450" i="1"/>
  <c r="GO450" i="1"/>
  <c r="GP450" i="1"/>
  <c r="GV450" i="1"/>
  <c r="HC450" i="1"/>
  <c r="GX450" i="1" s="1"/>
  <c r="P451" i="1"/>
  <c r="R451" i="1"/>
  <c r="GK451" i="1" s="1"/>
  <c r="AC451" i="1"/>
  <c r="AD451" i="1"/>
  <c r="AB451" i="1" s="1"/>
  <c r="AE451" i="1"/>
  <c r="Q451" i="1" s="1"/>
  <c r="AF451" i="1"/>
  <c r="S451" i="1" s="1"/>
  <c r="AG451" i="1"/>
  <c r="AH451" i="1"/>
  <c r="CV451" i="1" s="1"/>
  <c r="U451" i="1" s="1"/>
  <c r="AI451" i="1"/>
  <c r="AJ451" i="1"/>
  <c r="CX451" i="1" s="1"/>
  <c r="W451" i="1" s="1"/>
  <c r="CQ451" i="1"/>
  <c r="CR451" i="1"/>
  <c r="CS451" i="1"/>
  <c r="CU451" i="1"/>
  <c r="T451" i="1" s="1"/>
  <c r="CW451" i="1"/>
  <c r="V451" i="1" s="1"/>
  <c r="FR451" i="1"/>
  <c r="GL451" i="1"/>
  <c r="GO451" i="1"/>
  <c r="GP451" i="1"/>
  <c r="GV451" i="1"/>
  <c r="GX451" i="1"/>
  <c r="HC451" i="1"/>
  <c r="S452" i="1"/>
  <c r="CY452" i="1" s="1"/>
  <c r="X452" i="1" s="1"/>
  <c r="AC452" i="1"/>
  <c r="P452" i="1" s="1"/>
  <c r="AE452" i="1"/>
  <c r="R452" i="1" s="1"/>
  <c r="GK452" i="1" s="1"/>
  <c r="AF452" i="1"/>
  <c r="AG452" i="1"/>
  <c r="CU452" i="1" s="1"/>
  <c r="T452" i="1" s="1"/>
  <c r="AH452" i="1"/>
  <c r="AI452" i="1"/>
  <c r="CW452" i="1" s="1"/>
  <c r="V452" i="1" s="1"/>
  <c r="AJ452" i="1"/>
  <c r="CR452" i="1"/>
  <c r="CT452" i="1"/>
  <c r="CV452" i="1"/>
  <c r="U452" i="1" s="1"/>
  <c r="CX452" i="1"/>
  <c r="W452" i="1" s="1"/>
  <c r="CZ452" i="1"/>
  <c r="Y452" i="1" s="1"/>
  <c r="FR452" i="1"/>
  <c r="GL452" i="1"/>
  <c r="GO452" i="1"/>
  <c r="GP452" i="1"/>
  <c r="GV452" i="1"/>
  <c r="HC452" i="1"/>
  <c r="GX452" i="1" s="1"/>
  <c r="P453" i="1"/>
  <c r="R453" i="1"/>
  <c r="GK453" i="1" s="1"/>
  <c r="AC453" i="1"/>
  <c r="AD453" i="1"/>
  <c r="AB453" i="1" s="1"/>
  <c r="AE453" i="1"/>
  <c r="Q453" i="1" s="1"/>
  <c r="AF453" i="1"/>
  <c r="S453" i="1" s="1"/>
  <c r="AG453" i="1"/>
  <c r="AH453" i="1"/>
  <c r="CV453" i="1" s="1"/>
  <c r="U453" i="1" s="1"/>
  <c r="AI453" i="1"/>
  <c r="AJ453" i="1"/>
  <c r="CX453" i="1" s="1"/>
  <c r="W453" i="1" s="1"/>
  <c r="CQ453" i="1"/>
  <c r="CR453" i="1"/>
  <c r="CS453" i="1"/>
  <c r="CU453" i="1"/>
  <c r="T453" i="1" s="1"/>
  <c r="CW453" i="1"/>
  <c r="V453" i="1" s="1"/>
  <c r="FR453" i="1"/>
  <c r="GL453" i="1"/>
  <c r="GO453" i="1"/>
  <c r="GP453" i="1"/>
  <c r="GV453" i="1"/>
  <c r="GX453" i="1"/>
  <c r="HC453" i="1"/>
  <c r="S454" i="1"/>
  <c r="CY454" i="1" s="1"/>
  <c r="X454" i="1" s="1"/>
  <c r="AC454" i="1"/>
  <c r="P454" i="1" s="1"/>
  <c r="AE454" i="1"/>
  <c r="R454" i="1" s="1"/>
  <c r="GK454" i="1" s="1"/>
  <c r="AF454" i="1"/>
  <c r="AG454" i="1"/>
  <c r="CU454" i="1" s="1"/>
  <c r="T454" i="1" s="1"/>
  <c r="AH454" i="1"/>
  <c r="AI454" i="1"/>
  <c r="CW454" i="1" s="1"/>
  <c r="V454" i="1" s="1"/>
  <c r="AJ454" i="1"/>
  <c r="CR454" i="1"/>
  <c r="CT454" i="1"/>
  <c r="CV454" i="1"/>
  <c r="U454" i="1" s="1"/>
  <c r="CX454" i="1"/>
  <c r="W454" i="1" s="1"/>
  <c r="CZ454" i="1"/>
  <c r="Y454" i="1" s="1"/>
  <c r="FR454" i="1"/>
  <c r="GL454" i="1"/>
  <c r="GO454" i="1"/>
  <c r="CC456" i="1" s="1"/>
  <c r="GP454" i="1"/>
  <c r="GV454" i="1"/>
  <c r="HC454" i="1"/>
  <c r="GX454" i="1" s="1"/>
  <c r="B456" i="1"/>
  <c r="B446" i="1" s="1"/>
  <c r="C456" i="1"/>
  <c r="C446" i="1" s="1"/>
  <c r="D456" i="1"/>
  <c r="D446" i="1" s="1"/>
  <c r="F456" i="1"/>
  <c r="F446" i="1" s="1"/>
  <c r="G456" i="1"/>
  <c r="G446" i="1" s="1"/>
  <c r="BX456" i="1"/>
  <c r="BX446" i="1" s="1"/>
  <c r="BY456" i="1"/>
  <c r="BY446" i="1" s="1"/>
  <c r="BZ456" i="1"/>
  <c r="CI456" i="1" s="1"/>
  <c r="CD456" i="1"/>
  <c r="CD446" i="1" s="1"/>
  <c r="CK456" i="1"/>
  <c r="CK446" i="1" s="1"/>
  <c r="CL456" i="1"/>
  <c r="CL446" i="1" s="1"/>
  <c r="CM456" i="1"/>
  <c r="CM446" i="1" s="1"/>
  <c r="B486" i="1"/>
  <c r="B398" i="1" s="1"/>
  <c r="C486" i="1"/>
  <c r="C398" i="1" s="1"/>
  <c r="D486" i="1"/>
  <c r="D398" i="1" s="1"/>
  <c r="F486" i="1"/>
  <c r="F398" i="1" s="1"/>
  <c r="G486" i="1"/>
  <c r="G398" i="1" s="1"/>
  <c r="B517" i="1"/>
  <c r="B18" i="1" s="1"/>
  <c r="C517" i="1"/>
  <c r="C18" i="1" s="1"/>
  <c r="D517" i="1"/>
  <c r="D18" i="1" s="1"/>
  <c r="F517" i="1"/>
  <c r="F18" i="1" s="1"/>
  <c r="G517" i="1"/>
  <c r="H22" i="11" l="1"/>
  <c r="J355" i="5"/>
  <c r="J356" i="5" s="1"/>
  <c r="H21" i="11" s="1"/>
  <c r="H48" i="5"/>
  <c r="G18" i="1"/>
  <c r="J278" i="5"/>
  <c r="J129" i="5"/>
  <c r="I22" i="5"/>
  <c r="I370" i="5"/>
  <c r="I317" i="5"/>
  <c r="H354" i="5"/>
  <c r="H339" i="5"/>
  <c r="H252" i="5"/>
  <c r="J215" i="5"/>
  <c r="I26" i="5"/>
  <c r="I21" i="5"/>
  <c r="H282" i="5"/>
  <c r="H283" i="5" s="1"/>
  <c r="H284" i="5" s="1"/>
  <c r="H92" i="5"/>
  <c r="H215" i="5"/>
  <c r="J252" i="5"/>
  <c r="J282" i="5"/>
  <c r="J92" i="5"/>
  <c r="J288" i="5" s="1"/>
  <c r="CC446" i="1"/>
  <c r="AT456" i="1"/>
  <c r="CZ453" i="1"/>
  <c r="Y453" i="1" s="1"/>
  <c r="AL456" i="1" s="1"/>
  <c r="CY453" i="1"/>
  <c r="X453" i="1" s="1"/>
  <c r="CI446" i="1"/>
  <c r="AZ456" i="1"/>
  <c r="CP453" i="1"/>
  <c r="O453" i="1" s="1"/>
  <c r="CZ451" i="1"/>
  <c r="Y451" i="1" s="1"/>
  <c r="CY451" i="1"/>
  <c r="X451" i="1" s="1"/>
  <c r="CZ449" i="1"/>
  <c r="Y449" i="1" s="1"/>
  <c r="AF456" i="1"/>
  <c r="CY449" i="1"/>
  <c r="X449" i="1" s="1"/>
  <c r="CJ456" i="1"/>
  <c r="AJ456" i="1"/>
  <c r="AC456" i="1"/>
  <c r="CP451" i="1"/>
  <c r="O451" i="1" s="1"/>
  <c r="CP449" i="1"/>
  <c r="O449" i="1" s="1"/>
  <c r="AK456" i="1"/>
  <c r="AH456" i="1"/>
  <c r="AI456" i="1"/>
  <c r="AG456" i="1"/>
  <c r="GK448" i="1"/>
  <c r="AE456" i="1"/>
  <c r="BC456" i="1"/>
  <c r="AU456" i="1"/>
  <c r="AQ456" i="1"/>
  <c r="AO456" i="1"/>
  <c r="Q454" i="1"/>
  <c r="CP454" i="1" s="1"/>
  <c r="O454" i="1" s="1"/>
  <c r="Q452" i="1"/>
  <c r="CP452" i="1" s="1"/>
  <c r="O452" i="1" s="1"/>
  <c r="Q450" i="1"/>
  <c r="CP450" i="1" s="1"/>
  <c r="O450" i="1" s="1"/>
  <c r="Q448" i="1"/>
  <c r="BZ446" i="1"/>
  <c r="AT402" i="1"/>
  <c r="F432" i="1"/>
  <c r="AJ402" i="1"/>
  <c r="W414" i="1"/>
  <c r="AF402" i="1"/>
  <c r="S414" i="1"/>
  <c r="CD402" i="1"/>
  <c r="AU414" i="1"/>
  <c r="BZ402" i="1"/>
  <c r="AQ414" i="1"/>
  <c r="CP410" i="1"/>
  <c r="O410" i="1" s="1"/>
  <c r="CY408" i="1"/>
  <c r="X408" i="1" s="1"/>
  <c r="CZ408" i="1"/>
  <c r="Y408" i="1" s="1"/>
  <c r="CJ414" i="1"/>
  <c r="CP406" i="1"/>
  <c r="O406" i="1" s="1"/>
  <c r="AG414" i="1"/>
  <c r="CY404" i="1"/>
  <c r="X404" i="1" s="1"/>
  <c r="CZ404" i="1"/>
  <c r="Y404" i="1" s="1"/>
  <c r="CJ332" i="1"/>
  <c r="BA336" i="1"/>
  <c r="CG336" i="1"/>
  <c r="CI336" i="1"/>
  <c r="BZ332" i="1"/>
  <c r="AQ336" i="1"/>
  <c r="AI332" i="1"/>
  <c r="V336" i="1"/>
  <c r="CJ296" i="1"/>
  <c r="BA300" i="1"/>
  <c r="CC296" i="1"/>
  <c r="AT300" i="1"/>
  <c r="AL296" i="1"/>
  <c r="Y300" i="1"/>
  <c r="AH296" i="1"/>
  <c r="U300" i="1"/>
  <c r="AI296" i="1"/>
  <c r="V300" i="1"/>
  <c r="AG296" i="1"/>
  <c r="T300" i="1"/>
  <c r="AD296" i="1"/>
  <c r="Q300" i="1"/>
  <c r="AK296" i="1"/>
  <c r="X300" i="1"/>
  <c r="CG223" i="1"/>
  <c r="AX228" i="1"/>
  <c r="CG456" i="1"/>
  <c r="BD456" i="1"/>
  <c r="BB456" i="1"/>
  <c r="AP456" i="1"/>
  <c r="CS454" i="1"/>
  <c r="CQ454" i="1"/>
  <c r="AD454" i="1"/>
  <c r="AB454" i="1" s="1"/>
  <c r="CT453" i="1"/>
  <c r="CS452" i="1"/>
  <c r="CQ452" i="1"/>
  <c r="AD452" i="1"/>
  <c r="AB452" i="1"/>
  <c r="CT451" i="1"/>
  <c r="CS450" i="1"/>
  <c r="CQ450" i="1"/>
  <c r="AD450" i="1"/>
  <c r="AB450" i="1" s="1"/>
  <c r="CT449" i="1"/>
  <c r="CS448" i="1"/>
  <c r="CQ448" i="1"/>
  <c r="AD448" i="1"/>
  <c r="AB448" i="1"/>
  <c r="F427" i="1"/>
  <c r="F423" i="1"/>
  <c r="BD414" i="1"/>
  <c r="AZ414" i="1"/>
  <c r="AH402" i="1"/>
  <c r="U414" i="1"/>
  <c r="AD402" i="1"/>
  <c r="Q414" i="1"/>
  <c r="S412" i="1"/>
  <c r="CT412" i="1"/>
  <c r="CP412" i="1"/>
  <c r="O412" i="1" s="1"/>
  <c r="CP411" i="1"/>
  <c r="O411" i="1" s="1"/>
  <c r="CY410" i="1"/>
  <c r="X410" i="1" s="1"/>
  <c r="CZ410" i="1"/>
  <c r="Y410" i="1" s="1"/>
  <c r="CP408" i="1"/>
  <c r="O408" i="1" s="1"/>
  <c r="CP407" i="1"/>
  <c r="O407" i="1" s="1"/>
  <c r="AC414" i="1"/>
  <c r="CY406" i="1"/>
  <c r="X406" i="1" s="1"/>
  <c r="CZ406" i="1"/>
  <c r="Y406" i="1" s="1"/>
  <c r="AI414" i="1"/>
  <c r="CP404" i="1"/>
  <c r="O404" i="1" s="1"/>
  <c r="CB332" i="1"/>
  <c r="AS336" i="1"/>
  <c r="AG332" i="1"/>
  <c r="T336" i="1"/>
  <c r="AJ332" i="1"/>
  <c r="W336" i="1"/>
  <c r="AH332" i="1"/>
  <c r="U336" i="1"/>
  <c r="CY334" i="1"/>
  <c r="X334" i="1" s="1"/>
  <c r="AK336" i="1" s="1"/>
  <c r="AF336" i="1"/>
  <c r="CZ334" i="1"/>
  <c r="Y334" i="1" s="1"/>
  <c r="AL336" i="1" s="1"/>
  <c r="AJ296" i="1"/>
  <c r="W300" i="1"/>
  <c r="CP298" i="1"/>
  <c r="O298" i="1" s="1"/>
  <c r="AC300" i="1"/>
  <c r="BY223" i="1"/>
  <c r="AP228" i="1"/>
  <c r="CI228" i="1"/>
  <c r="AH223" i="1"/>
  <c r="U228" i="1"/>
  <c r="BC414" i="1"/>
  <c r="AO414" i="1"/>
  <c r="CS411" i="1"/>
  <c r="CQ411" i="1"/>
  <c r="AD411" i="1"/>
  <c r="AB411" i="1"/>
  <c r="R411" i="1"/>
  <c r="GK411" i="1" s="1"/>
  <c r="CT410" i="1"/>
  <c r="CS409" i="1"/>
  <c r="CQ409" i="1"/>
  <c r="AD409" i="1"/>
  <c r="AB409" i="1"/>
  <c r="R409" i="1"/>
  <c r="GK409" i="1" s="1"/>
  <c r="GM409" i="1" s="1"/>
  <c r="CT408" i="1"/>
  <c r="CS407" i="1"/>
  <c r="CQ407" i="1"/>
  <c r="AD407" i="1"/>
  <c r="AB407" i="1"/>
  <c r="R407" i="1"/>
  <c r="CT406" i="1"/>
  <c r="CS405" i="1"/>
  <c r="CQ405" i="1"/>
  <c r="AD405" i="1"/>
  <c r="AB405" i="1"/>
  <c r="R405" i="1"/>
  <c r="GK405" i="1" s="1"/>
  <c r="GM405" i="1" s="1"/>
  <c r="CT404" i="1"/>
  <c r="BC336" i="1"/>
  <c r="AO336" i="1"/>
  <c r="AE336" i="1"/>
  <c r="AC336" i="1"/>
  <c r="CT334" i="1"/>
  <c r="Q334" i="1"/>
  <c r="AD336" i="1" s="1"/>
  <c r="CI300" i="1"/>
  <c r="CG300" i="1"/>
  <c r="BD300" i="1"/>
  <c r="BB300" i="1"/>
  <c r="AP300" i="1"/>
  <c r="AF300" i="1"/>
  <c r="CS298" i="1"/>
  <c r="CQ298" i="1"/>
  <c r="AD298" i="1"/>
  <c r="AB298" i="1"/>
  <c r="R298" i="1"/>
  <c r="F241" i="1"/>
  <c r="BD228" i="1"/>
  <c r="S226" i="1"/>
  <c r="CT226" i="1"/>
  <c r="CX56" i="3"/>
  <c r="Q226" i="1"/>
  <c r="AD228" i="1" s="1"/>
  <c r="CJ228" i="1"/>
  <c r="CD228" i="1"/>
  <c r="AI228" i="1"/>
  <c r="CP189" i="1"/>
  <c r="O189" i="1" s="1"/>
  <c r="CP188" i="1"/>
  <c r="O188" i="1" s="1"/>
  <c r="CC185" i="1"/>
  <c r="AT191" i="1"/>
  <c r="AJ191" i="1"/>
  <c r="CP187" i="1"/>
  <c r="O187" i="1" s="1"/>
  <c r="AC191" i="1"/>
  <c r="CY151" i="1"/>
  <c r="X151" i="1" s="1"/>
  <c r="CZ151" i="1"/>
  <c r="Y151" i="1" s="1"/>
  <c r="CD143" i="1"/>
  <c r="AU153" i="1"/>
  <c r="BZ143" i="1"/>
  <c r="CG153" i="1"/>
  <c r="CI153" i="1"/>
  <c r="AQ153" i="1"/>
  <c r="CP150" i="1"/>
  <c r="O150" i="1" s="1"/>
  <c r="CY149" i="1"/>
  <c r="X149" i="1" s="1"/>
  <c r="GN149" i="1" s="1"/>
  <c r="CZ149" i="1"/>
  <c r="Y149" i="1" s="1"/>
  <c r="BD336" i="1"/>
  <c r="BB336" i="1"/>
  <c r="AT336" i="1"/>
  <c r="AP336" i="1"/>
  <c r="BC300" i="1"/>
  <c r="AS300" i="1"/>
  <c r="AQ300" i="1"/>
  <c r="AO300" i="1"/>
  <c r="AT223" i="1"/>
  <c r="F246" i="1"/>
  <c r="AJ223" i="1"/>
  <c r="W228" i="1"/>
  <c r="CP226" i="1"/>
  <c r="O226" i="1" s="1"/>
  <c r="BZ223" i="1"/>
  <c r="AQ228" i="1"/>
  <c r="AG228" i="1"/>
  <c r="S225" i="1"/>
  <c r="CP225" i="1" s="1"/>
  <c r="O225" i="1" s="1"/>
  <c r="CT225" i="1"/>
  <c r="AB225" i="1"/>
  <c r="CJ191" i="1"/>
  <c r="AL191" i="1"/>
  <c r="AH191" i="1"/>
  <c r="AI191" i="1"/>
  <c r="AG191" i="1"/>
  <c r="AD191" i="1"/>
  <c r="AK191" i="1"/>
  <c r="CY150" i="1"/>
  <c r="X150" i="1" s="1"/>
  <c r="CZ150" i="1"/>
  <c r="Y150" i="1" s="1"/>
  <c r="GM149" i="1"/>
  <c r="BC228" i="1"/>
  <c r="AO228" i="1"/>
  <c r="AE228" i="1"/>
  <c r="AC228" i="1"/>
  <c r="CI191" i="1"/>
  <c r="CG191" i="1"/>
  <c r="BD191" i="1"/>
  <c r="BB191" i="1"/>
  <c r="AP191" i="1"/>
  <c r="AF191" i="1"/>
  <c r="CS189" i="1"/>
  <c r="CQ189" i="1"/>
  <c r="AD189" i="1"/>
  <c r="AB189" i="1" s="1"/>
  <c r="R189" i="1"/>
  <c r="GK189" i="1" s="1"/>
  <c r="CX48" i="3"/>
  <c r="CX50" i="3"/>
  <c r="CX52" i="3"/>
  <c r="CX49" i="3"/>
  <c r="CX51" i="3"/>
  <c r="CS188" i="1"/>
  <c r="CQ188" i="1"/>
  <c r="AD188" i="1"/>
  <c r="AB188" i="1" s="1"/>
  <c r="R188" i="1"/>
  <c r="GK188" i="1" s="1"/>
  <c r="CS187" i="1"/>
  <c r="CQ187" i="1"/>
  <c r="AD187" i="1"/>
  <c r="AB187" i="1"/>
  <c r="R187" i="1"/>
  <c r="CX46" i="3"/>
  <c r="CX45" i="3"/>
  <c r="BC153" i="1"/>
  <c r="AO153" i="1"/>
  <c r="CT151" i="1"/>
  <c r="Q151" i="1"/>
  <c r="CP151" i="1" s="1"/>
  <c r="O151" i="1" s="1"/>
  <c r="CT150" i="1"/>
  <c r="CT149" i="1"/>
  <c r="I148" i="1"/>
  <c r="W148" i="1" s="1"/>
  <c r="AJ153" i="1" s="1"/>
  <c r="GX147" i="1"/>
  <c r="S146" i="1"/>
  <c r="CT146" i="1"/>
  <c r="CP145" i="1"/>
  <c r="O145" i="1" s="1"/>
  <c r="CJ111" i="1"/>
  <c r="AL111" i="1"/>
  <c r="AH111" i="1"/>
  <c r="AI111" i="1"/>
  <c r="AG111" i="1"/>
  <c r="AD111" i="1"/>
  <c r="AK111" i="1"/>
  <c r="AQ68" i="1"/>
  <c r="F84" i="1"/>
  <c r="CX54" i="3"/>
  <c r="CX53" i="3"/>
  <c r="CX55" i="3"/>
  <c r="BC191" i="1"/>
  <c r="AU191" i="1"/>
  <c r="AQ191" i="1"/>
  <c r="AO191" i="1"/>
  <c r="BD153" i="1"/>
  <c r="BB153" i="1"/>
  <c r="AT153" i="1"/>
  <c r="AP153" i="1"/>
  <c r="CX42" i="3"/>
  <c r="CX41" i="3"/>
  <c r="CX43" i="3"/>
  <c r="CX36" i="3"/>
  <c r="CX38" i="3"/>
  <c r="CX40" i="3"/>
  <c r="CX37" i="3"/>
  <c r="CX39" i="3"/>
  <c r="S147" i="1"/>
  <c r="CT147" i="1"/>
  <c r="CX34" i="3"/>
  <c r="CX33" i="3"/>
  <c r="CX35" i="3"/>
  <c r="Q147" i="1"/>
  <c r="CP146" i="1"/>
  <c r="O146" i="1" s="1"/>
  <c r="S145" i="1"/>
  <c r="CT145" i="1"/>
  <c r="CC106" i="1"/>
  <c r="AT111" i="1"/>
  <c r="AJ111" i="1"/>
  <c r="CP108" i="1"/>
  <c r="O108" i="1" s="1"/>
  <c r="AC111" i="1"/>
  <c r="CI111" i="1"/>
  <c r="CG111" i="1"/>
  <c r="BD111" i="1"/>
  <c r="BB111" i="1"/>
  <c r="AP111" i="1"/>
  <c r="AF111" i="1"/>
  <c r="CS109" i="1"/>
  <c r="CQ109" i="1"/>
  <c r="AD109" i="1"/>
  <c r="AB109" i="1" s="1"/>
  <c r="R109" i="1"/>
  <c r="GK109" i="1" s="1"/>
  <c r="GN109" i="1" s="1"/>
  <c r="CS108" i="1"/>
  <c r="CQ108" i="1"/>
  <c r="AD108" i="1"/>
  <c r="AB108" i="1"/>
  <c r="R108" i="1"/>
  <c r="CX26" i="3"/>
  <c r="CX25" i="3"/>
  <c r="CX27" i="3"/>
  <c r="BC74" i="1"/>
  <c r="AU74" i="1"/>
  <c r="AK68" i="1"/>
  <c r="X74" i="1"/>
  <c r="AG68" i="1"/>
  <c r="T74" i="1"/>
  <c r="AL74" i="1"/>
  <c r="AH74" i="1"/>
  <c r="GK70" i="1"/>
  <c r="AE74" i="1"/>
  <c r="CX30" i="3"/>
  <c r="CX32" i="3"/>
  <c r="CX29" i="3"/>
  <c r="CX31" i="3"/>
  <c r="BC111" i="1"/>
  <c r="AU111" i="1"/>
  <c r="AQ111" i="1"/>
  <c r="AO111" i="1"/>
  <c r="CI74" i="1"/>
  <c r="BZ68" i="1"/>
  <c r="CG74" i="1"/>
  <c r="BX68" i="1"/>
  <c r="AO74" i="1"/>
  <c r="AI68" i="1"/>
  <c r="V74" i="1"/>
  <c r="CC68" i="1"/>
  <c r="AT74" i="1"/>
  <c r="CP72" i="1"/>
  <c r="O72" i="1" s="1"/>
  <c r="AJ74" i="1"/>
  <c r="AC74" i="1"/>
  <c r="Q72" i="1"/>
  <c r="Q71" i="1"/>
  <c r="CP71" i="1" s="1"/>
  <c r="O71" i="1" s="1"/>
  <c r="Q70" i="1"/>
  <c r="BD36" i="1"/>
  <c r="BB36" i="1"/>
  <c r="AZ36" i="1"/>
  <c r="AX36" i="1"/>
  <c r="AV36" i="1"/>
  <c r="AT36" i="1"/>
  <c r="AP36" i="1"/>
  <c r="AJ26" i="1"/>
  <c r="W36" i="1"/>
  <c r="AH26" i="1"/>
  <c r="U36" i="1"/>
  <c r="CZ33" i="1"/>
  <c r="Y33" i="1" s="1"/>
  <c r="CY33" i="1"/>
  <c r="X33" i="1" s="1"/>
  <c r="CZ31" i="1"/>
  <c r="Y31" i="1" s="1"/>
  <c r="CY31" i="1"/>
  <c r="X31" i="1" s="1"/>
  <c r="CZ29" i="1"/>
  <c r="Y29" i="1" s="1"/>
  <c r="CY29" i="1"/>
  <c r="X29" i="1" s="1"/>
  <c r="BD74" i="1"/>
  <c r="BB74" i="1"/>
  <c r="AP74" i="1"/>
  <c r="AF74" i="1"/>
  <c r="CS72" i="1"/>
  <c r="CQ72" i="1"/>
  <c r="AD72" i="1"/>
  <c r="AB72" i="1"/>
  <c r="CX20" i="3"/>
  <c r="CX22" i="3"/>
  <c r="CX24" i="3"/>
  <c r="CX21" i="3"/>
  <c r="CX23" i="3"/>
  <c r="CS71" i="1"/>
  <c r="CQ71" i="1"/>
  <c r="AD71" i="1"/>
  <c r="AB71" i="1" s="1"/>
  <c r="CS70" i="1"/>
  <c r="CQ70" i="1"/>
  <c r="AD70" i="1"/>
  <c r="AB70" i="1" s="1"/>
  <c r="CX18" i="3"/>
  <c r="CX17" i="3"/>
  <c r="CH36" i="1"/>
  <c r="CF36" i="1"/>
  <c r="BC36" i="1"/>
  <c r="BA36" i="1"/>
  <c r="AU36" i="1"/>
  <c r="AQ36" i="1"/>
  <c r="AO36" i="1"/>
  <c r="T36" i="1"/>
  <c r="S34" i="1"/>
  <c r="CT34" i="1"/>
  <c r="AB34" i="1"/>
  <c r="CZ32" i="1"/>
  <c r="Y32" i="1" s="1"/>
  <c r="CY32" i="1"/>
  <c r="X32" i="1" s="1"/>
  <c r="CP31" i="1"/>
  <c r="O31" i="1" s="1"/>
  <c r="CZ30" i="1"/>
  <c r="Y30" i="1" s="1"/>
  <c r="CY30" i="1"/>
  <c r="X30" i="1" s="1"/>
  <c r="CP29" i="1"/>
  <c r="O29" i="1" s="1"/>
  <c r="CZ28" i="1"/>
  <c r="Y28" i="1" s="1"/>
  <c r="CY28" i="1"/>
  <c r="X28" i="1" s="1"/>
  <c r="CX14" i="3"/>
  <c r="CX13" i="3"/>
  <c r="CX15" i="3"/>
  <c r="CX8" i="3"/>
  <c r="CX10" i="3"/>
  <c r="CX12" i="3"/>
  <c r="CX9" i="3"/>
  <c r="CX11" i="3"/>
  <c r="CX6" i="3"/>
  <c r="CX5" i="3"/>
  <c r="CX7" i="3"/>
  <c r="CX2" i="3"/>
  <c r="CX4" i="3"/>
  <c r="CX1" i="3"/>
  <c r="CX3" i="3"/>
  <c r="Q34" i="1"/>
  <c r="CP34" i="1" s="1"/>
  <c r="O34" i="1" s="1"/>
  <c r="CT33" i="1"/>
  <c r="Q33" i="1"/>
  <c r="CP33" i="1" s="1"/>
  <c r="O33" i="1" s="1"/>
  <c r="CT32" i="1"/>
  <c r="Q32" i="1"/>
  <c r="CP32" i="1" s="1"/>
  <c r="O32" i="1" s="1"/>
  <c r="CT31" i="1"/>
  <c r="CT30" i="1"/>
  <c r="Q30" i="1"/>
  <c r="CP30" i="1" s="1"/>
  <c r="O30" i="1" s="1"/>
  <c r="CT29" i="1"/>
  <c r="CT28" i="1"/>
  <c r="Q28" i="1"/>
  <c r="J283" i="5" l="1"/>
  <c r="J293" i="5"/>
  <c r="M282" i="5" s="1"/>
  <c r="J289" i="5"/>
  <c r="J290" i="5" s="1"/>
  <c r="J448" i="5" s="1"/>
  <c r="GM30" i="1"/>
  <c r="GN30" i="1"/>
  <c r="GN151" i="1"/>
  <c r="GM151" i="1"/>
  <c r="AB228" i="1"/>
  <c r="AD223" i="1"/>
  <c r="Q228" i="1"/>
  <c r="GM32" i="1"/>
  <c r="GN32" i="1"/>
  <c r="GM33" i="1"/>
  <c r="GN33" i="1"/>
  <c r="GN71" i="1"/>
  <c r="GM71" i="1"/>
  <c r="AJ143" i="1"/>
  <c r="W153" i="1"/>
  <c r="GN450" i="1"/>
  <c r="GM450" i="1"/>
  <c r="GN454" i="1"/>
  <c r="GM454" i="1"/>
  <c r="GN452" i="1"/>
  <c r="GM452" i="1"/>
  <c r="AL446" i="1"/>
  <c r="Y456" i="1"/>
  <c r="AD36" i="1"/>
  <c r="GM29" i="1"/>
  <c r="GN29" i="1"/>
  <c r="T26" i="1"/>
  <c r="F57" i="1"/>
  <c r="AQ26" i="1"/>
  <c r="F46" i="1"/>
  <c r="AQ258" i="1"/>
  <c r="BA26" i="1"/>
  <c r="F56" i="1"/>
  <c r="CF26" i="1"/>
  <c r="AW36" i="1"/>
  <c r="F83" i="1"/>
  <c r="AP68" i="1"/>
  <c r="F99" i="1"/>
  <c r="BD68" i="1"/>
  <c r="AT26" i="1"/>
  <c r="F54" i="1"/>
  <c r="AT258" i="1"/>
  <c r="AX26" i="1"/>
  <c r="F43" i="1"/>
  <c r="BB26" i="1"/>
  <c r="F49" i="1"/>
  <c r="BB258" i="1"/>
  <c r="AD74" i="1"/>
  <c r="CP70" i="1"/>
  <c r="O70" i="1" s="1"/>
  <c r="AT68" i="1"/>
  <c r="F92" i="1"/>
  <c r="F97" i="1"/>
  <c r="V68" i="1"/>
  <c r="AO68" i="1"/>
  <c r="F78" i="1"/>
  <c r="CG68" i="1"/>
  <c r="AX74" i="1"/>
  <c r="CI68" i="1"/>
  <c r="AZ74" i="1"/>
  <c r="AQ106" i="1"/>
  <c r="F121" i="1"/>
  <c r="BC106" i="1"/>
  <c r="F127" i="1"/>
  <c r="AL68" i="1"/>
  <c r="Y74" i="1"/>
  <c r="BC68" i="1"/>
  <c r="F90" i="1"/>
  <c r="GK108" i="1"/>
  <c r="AE111" i="1"/>
  <c r="AF106" i="1"/>
  <c r="S111" i="1"/>
  <c r="BB106" i="1"/>
  <c r="F124" i="1"/>
  <c r="CG106" i="1"/>
  <c r="AX111" i="1"/>
  <c r="AC106" i="1"/>
  <c r="CF111" i="1"/>
  <c r="CH111" i="1"/>
  <c r="P111" i="1"/>
  <c r="CE111" i="1"/>
  <c r="AJ106" i="1"/>
  <c r="W111" i="1"/>
  <c r="GM109" i="1"/>
  <c r="CZ145" i="1"/>
  <c r="Y145" i="1" s="1"/>
  <c r="CY145" i="1"/>
  <c r="X145" i="1" s="1"/>
  <c r="S148" i="1"/>
  <c r="AT143" i="1"/>
  <c r="F171" i="1"/>
  <c r="BD143" i="1"/>
  <c r="F178" i="1"/>
  <c r="F201" i="1"/>
  <c r="AQ185" i="1"/>
  <c r="F207" i="1"/>
  <c r="BC185" i="1"/>
  <c r="AK106" i="1"/>
  <c r="X111" i="1"/>
  <c r="AG106" i="1"/>
  <c r="T111" i="1"/>
  <c r="AH106" i="1"/>
  <c r="U111" i="1"/>
  <c r="CJ106" i="1"/>
  <c r="BA111" i="1"/>
  <c r="AO143" i="1"/>
  <c r="F157" i="1"/>
  <c r="GK187" i="1"/>
  <c r="AE191" i="1"/>
  <c r="AF185" i="1"/>
  <c r="S191" i="1"/>
  <c r="BB185" i="1"/>
  <c r="F204" i="1"/>
  <c r="CG185" i="1"/>
  <c r="AX191" i="1"/>
  <c r="AC223" i="1"/>
  <c r="CF228" i="1"/>
  <c r="CH228" i="1"/>
  <c r="CE228" i="1"/>
  <c r="P228" i="1"/>
  <c r="AO223" i="1"/>
  <c r="F232" i="1"/>
  <c r="CP147" i="1"/>
  <c r="O147" i="1" s="1"/>
  <c r="V148" i="1"/>
  <c r="AI153" i="1" s="1"/>
  <c r="AK185" i="1"/>
  <c r="X191" i="1"/>
  <c r="AG185" i="1"/>
  <c r="T191" i="1"/>
  <c r="AH185" i="1"/>
  <c r="U191" i="1"/>
  <c r="CJ185" i="1"/>
  <c r="BA191" i="1"/>
  <c r="AG223" i="1"/>
  <c r="T228" i="1"/>
  <c r="W223" i="1"/>
  <c r="F252" i="1"/>
  <c r="F304" i="1"/>
  <c r="AO366" i="1"/>
  <c r="AO296" i="1"/>
  <c r="AS366" i="1"/>
  <c r="AS296" i="1"/>
  <c r="F317" i="1"/>
  <c r="F345" i="1"/>
  <c r="AP332" i="1"/>
  <c r="F349" i="1"/>
  <c r="BB332" i="1"/>
  <c r="GN150" i="1"/>
  <c r="GM150" i="1"/>
  <c r="CI143" i="1"/>
  <c r="AZ153" i="1"/>
  <c r="GM187" i="1"/>
  <c r="GN187" i="1"/>
  <c r="AB191" i="1"/>
  <c r="AT185" i="1"/>
  <c r="F209" i="1"/>
  <c r="GM188" i="1"/>
  <c r="GN188" i="1"/>
  <c r="CD223" i="1"/>
  <c r="AU228" i="1"/>
  <c r="BD223" i="1"/>
  <c r="F253" i="1"/>
  <c r="GK298" i="1"/>
  <c r="AE300" i="1"/>
  <c r="AP296" i="1"/>
  <c r="F309" i="1"/>
  <c r="AP366" i="1"/>
  <c r="BD296" i="1"/>
  <c r="F325" i="1"/>
  <c r="BD366" i="1"/>
  <c r="CI296" i="1"/>
  <c r="AZ300" i="1"/>
  <c r="AE332" i="1"/>
  <c r="R336" i="1"/>
  <c r="BC332" i="1"/>
  <c r="F352" i="1"/>
  <c r="GK407" i="1"/>
  <c r="AE414" i="1"/>
  <c r="BC402" i="1"/>
  <c r="F430" i="1"/>
  <c r="BC486" i="1"/>
  <c r="U223" i="1"/>
  <c r="F250" i="1"/>
  <c r="CI223" i="1"/>
  <c r="AZ228" i="1"/>
  <c r="GM298" i="1"/>
  <c r="CA300" i="1" s="1"/>
  <c r="GP298" i="1"/>
  <c r="CD300" i="1" s="1"/>
  <c r="AB300" i="1"/>
  <c r="AF332" i="1"/>
  <c r="S336" i="1"/>
  <c r="U332" i="1"/>
  <c r="F358" i="1"/>
  <c r="W332" i="1"/>
  <c r="F360" i="1"/>
  <c r="F357" i="1"/>
  <c r="T332" i="1"/>
  <c r="AS332" i="1"/>
  <c r="F353" i="1"/>
  <c r="GN404" i="1"/>
  <c r="GM404" i="1"/>
  <c r="AB414" i="1"/>
  <c r="AC402" i="1"/>
  <c r="CF414" i="1"/>
  <c r="CH414" i="1"/>
  <c r="P414" i="1"/>
  <c r="CE414" i="1"/>
  <c r="GN408" i="1"/>
  <c r="GM408" i="1"/>
  <c r="CZ412" i="1"/>
  <c r="Y412" i="1" s="1"/>
  <c r="GM412" i="1" s="1"/>
  <c r="CY412" i="1"/>
  <c r="X412" i="1" s="1"/>
  <c r="GN412" i="1" s="1"/>
  <c r="BD402" i="1"/>
  <c r="F439" i="1"/>
  <c r="BD486" i="1"/>
  <c r="F465" i="1"/>
  <c r="AP446" i="1"/>
  <c r="AP486" i="1"/>
  <c r="BD446" i="1"/>
  <c r="F481" i="1"/>
  <c r="AX223" i="1"/>
  <c r="F235" i="1"/>
  <c r="X296" i="1"/>
  <c r="F326" i="1"/>
  <c r="F312" i="1"/>
  <c r="Q296" i="1"/>
  <c r="T296" i="1"/>
  <c r="T366" i="1"/>
  <c r="F321" i="1"/>
  <c r="V296" i="1"/>
  <c r="V366" i="1"/>
  <c r="F323" i="1"/>
  <c r="F322" i="1"/>
  <c r="U296" i="1"/>
  <c r="U366" i="1"/>
  <c r="Y296" i="1"/>
  <c r="F327" i="1"/>
  <c r="AT296" i="1"/>
  <c r="F318" i="1"/>
  <c r="AT366" i="1"/>
  <c r="F320" i="1"/>
  <c r="BA366" i="1"/>
  <c r="BA296" i="1"/>
  <c r="CP334" i="1"/>
  <c r="O334" i="1" s="1"/>
  <c r="CG332" i="1"/>
  <c r="AX336" i="1"/>
  <c r="AK414" i="1"/>
  <c r="GN405" i="1"/>
  <c r="GN406" i="1"/>
  <c r="GM406" i="1"/>
  <c r="GN409" i="1"/>
  <c r="GN410" i="1"/>
  <c r="GM410" i="1"/>
  <c r="AD456" i="1"/>
  <c r="AO446" i="1"/>
  <c r="F460" i="1"/>
  <c r="AU446" i="1"/>
  <c r="F475" i="1"/>
  <c r="AE446" i="1"/>
  <c r="R456" i="1"/>
  <c r="AG446" i="1"/>
  <c r="T456" i="1"/>
  <c r="AH446" i="1"/>
  <c r="U456" i="1"/>
  <c r="GM449" i="1"/>
  <c r="GN449" i="1"/>
  <c r="CP448" i="1"/>
  <c r="O448" i="1" s="1"/>
  <c r="GM453" i="1"/>
  <c r="GN453" i="1"/>
  <c r="AT446" i="1"/>
  <c r="F474" i="1"/>
  <c r="AT486" i="1"/>
  <c r="GM31" i="1"/>
  <c r="GN31" i="1"/>
  <c r="CZ34" i="1"/>
  <c r="Y34" i="1" s="1"/>
  <c r="AL36" i="1" s="1"/>
  <c r="CY34" i="1"/>
  <c r="X34" i="1" s="1"/>
  <c r="GN34" i="1" s="1"/>
  <c r="AF36" i="1"/>
  <c r="AO26" i="1"/>
  <c r="F40" i="1"/>
  <c r="AO258" i="1"/>
  <c r="AU26" i="1"/>
  <c r="F55" i="1"/>
  <c r="AU258" i="1"/>
  <c r="BC26" i="1"/>
  <c r="F52" i="1"/>
  <c r="BC258" i="1"/>
  <c r="CH26" i="1"/>
  <c r="AY36" i="1"/>
  <c r="AF68" i="1"/>
  <c r="S74" i="1"/>
  <c r="F87" i="1"/>
  <c r="BB68" i="1"/>
  <c r="CP28" i="1"/>
  <c r="O28" i="1" s="1"/>
  <c r="U26" i="1"/>
  <c r="F58" i="1"/>
  <c r="W26" i="1"/>
  <c r="F60" i="1"/>
  <c r="AP26" i="1"/>
  <c r="F45" i="1"/>
  <c r="AP258" i="1"/>
  <c r="AV26" i="1"/>
  <c r="F41" i="1"/>
  <c r="AZ26" i="1"/>
  <c r="F47" i="1"/>
  <c r="BD26" i="1"/>
  <c r="F61" i="1"/>
  <c r="BD258" i="1"/>
  <c r="AC68" i="1"/>
  <c r="P74" i="1"/>
  <c r="CE74" i="1"/>
  <c r="CH74" i="1"/>
  <c r="CF74" i="1"/>
  <c r="AJ68" i="1"/>
  <c r="W74" i="1"/>
  <c r="GN72" i="1"/>
  <c r="GM72" i="1"/>
  <c r="F115" i="1"/>
  <c r="AO106" i="1"/>
  <c r="AU106" i="1"/>
  <c r="F130" i="1"/>
  <c r="AE68" i="1"/>
  <c r="R74" i="1"/>
  <c r="AH68" i="1"/>
  <c r="U74" i="1"/>
  <c r="F95" i="1"/>
  <c r="T68" i="1"/>
  <c r="X68" i="1"/>
  <c r="F100" i="1"/>
  <c r="AU68" i="1"/>
  <c r="F93" i="1"/>
  <c r="AP106" i="1"/>
  <c r="F120" i="1"/>
  <c r="BD106" i="1"/>
  <c r="F136" i="1"/>
  <c r="CI106" i="1"/>
  <c r="AZ111" i="1"/>
  <c r="GM108" i="1"/>
  <c r="CA111" i="1" s="1"/>
  <c r="GN108" i="1"/>
  <c r="CB111" i="1" s="1"/>
  <c r="AB111" i="1"/>
  <c r="AT106" i="1"/>
  <c r="F129" i="1"/>
  <c r="CZ147" i="1"/>
  <c r="Y147" i="1" s="1"/>
  <c r="CY147" i="1"/>
  <c r="X147" i="1" s="1"/>
  <c r="AP143" i="1"/>
  <c r="F162" i="1"/>
  <c r="BB143" i="1"/>
  <c r="F166" i="1"/>
  <c r="F195" i="1"/>
  <c r="AO185" i="1"/>
  <c r="AU185" i="1"/>
  <c r="F210" i="1"/>
  <c r="AD106" i="1"/>
  <c r="Q111" i="1"/>
  <c r="AI106" i="1"/>
  <c r="V111" i="1"/>
  <c r="AL106" i="1"/>
  <c r="Y111" i="1"/>
  <c r="GM145" i="1"/>
  <c r="GN145" i="1"/>
  <c r="CZ146" i="1"/>
  <c r="Y146" i="1" s="1"/>
  <c r="CY146" i="1"/>
  <c r="X146" i="1" s="1"/>
  <c r="GN146" i="1" s="1"/>
  <c r="Q148" i="1"/>
  <c r="AD153" i="1" s="1"/>
  <c r="P148" i="1"/>
  <c r="GX148" i="1"/>
  <c r="CJ153" i="1" s="1"/>
  <c r="BC143" i="1"/>
  <c r="F169" i="1"/>
  <c r="AP185" i="1"/>
  <c r="F200" i="1"/>
  <c r="BD185" i="1"/>
  <c r="F216" i="1"/>
  <c r="CI185" i="1"/>
  <c r="AZ191" i="1"/>
  <c r="AE223" i="1"/>
  <c r="R228" i="1"/>
  <c r="BC223" i="1"/>
  <c r="F244" i="1"/>
  <c r="R148" i="1"/>
  <c r="AD185" i="1"/>
  <c r="Q191" i="1"/>
  <c r="AI185" i="1"/>
  <c r="V191" i="1"/>
  <c r="AL185" i="1"/>
  <c r="Y191" i="1"/>
  <c r="CZ225" i="1"/>
  <c r="Y225" i="1" s="1"/>
  <c r="CY225" i="1"/>
  <c r="X225" i="1" s="1"/>
  <c r="AF228" i="1"/>
  <c r="AQ223" i="1"/>
  <c r="F238" i="1"/>
  <c r="F310" i="1"/>
  <c r="AQ366" i="1"/>
  <c r="AQ296" i="1"/>
  <c r="F316" i="1"/>
  <c r="BC366" i="1"/>
  <c r="BC296" i="1"/>
  <c r="AT332" i="1"/>
  <c r="F354" i="1"/>
  <c r="F361" i="1"/>
  <c r="BD332" i="1"/>
  <c r="U148" i="1"/>
  <c r="AH153" i="1" s="1"/>
  <c r="T148" i="1"/>
  <c r="AG153" i="1" s="1"/>
  <c r="AQ143" i="1"/>
  <c r="F163" i="1"/>
  <c r="CG143" i="1"/>
  <c r="AX153" i="1"/>
  <c r="AU143" i="1"/>
  <c r="F172" i="1"/>
  <c r="CF191" i="1"/>
  <c r="CH191" i="1"/>
  <c r="AC185" i="1"/>
  <c r="P191" i="1"/>
  <c r="CE191" i="1"/>
  <c r="AJ185" i="1"/>
  <c r="W191" i="1"/>
  <c r="GM189" i="1"/>
  <c r="GN189" i="1"/>
  <c r="AI223" i="1"/>
  <c r="V228" i="1"/>
  <c r="CJ223" i="1"/>
  <c r="BA228" i="1"/>
  <c r="CZ226" i="1"/>
  <c r="Y226" i="1" s="1"/>
  <c r="CY226" i="1"/>
  <c r="X226" i="1" s="1"/>
  <c r="GN226" i="1" s="1"/>
  <c r="AF296" i="1"/>
  <c r="S300" i="1"/>
  <c r="BB296" i="1"/>
  <c r="F313" i="1"/>
  <c r="BB366" i="1"/>
  <c r="CG296" i="1"/>
  <c r="AX300" i="1"/>
  <c r="AD332" i="1"/>
  <c r="Q336" i="1"/>
  <c r="AC332" i="1"/>
  <c r="P336" i="1"/>
  <c r="CE336" i="1"/>
  <c r="CF336" i="1"/>
  <c r="CH336" i="1"/>
  <c r="AO332" i="1"/>
  <c r="F340" i="1"/>
  <c r="AO402" i="1"/>
  <c r="F418" i="1"/>
  <c r="AO486" i="1"/>
  <c r="AP223" i="1"/>
  <c r="F237" i="1"/>
  <c r="CF300" i="1"/>
  <c r="CH300" i="1"/>
  <c r="AC296" i="1"/>
  <c r="P300" i="1"/>
  <c r="CE300" i="1"/>
  <c r="F324" i="1"/>
  <c r="W296" i="1"/>
  <c r="W366" i="1"/>
  <c r="AL332" i="1"/>
  <c r="Y336" i="1"/>
  <c r="AK332" i="1"/>
  <c r="X336" i="1"/>
  <c r="X366" i="1" s="1"/>
  <c r="AI402" i="1"/>
  <c r="V414" i="1"/>
  <c r="GM407" i="1"/>
  <c r="GN407" i="1"/>
  <c r="GM411" i="1"/>
  <c r="GN411" i="1"/>
  <c r="Q402" i="1"/>
  <c r="F426" i="1"/>
  <c r="U402" i="1"/>
  <c r="F436" i="1"/>
  <c r="U486" i="1"/>
  <c r="AZ402" i="1"/>
  <c r="F425" i="1"/>
  <c r="AZ486" i="1"/>
  <c r="F469" i="1"/>
  <c r="BB446" i="1"/>
  <c r="BB486" i="1"/>
  <c r="CG446" i="1"/>
  <c r="AX456" i="1"/>
  <c r="F359" i="1"/>
  <c r="V332" i="1"/>
  <c r="AQ332" i="1"/>
  <c r="F346" i="1"/>
  <c r="CI332" i="1"/>
  <c r="AZ336" i="1"/>
  <c r="BA332" i="1"/>
  <c r="F356" i="1"/>
  <c r="AL414" i="1"/>
  <c r="AG402" i="1"/>
  <c r="T414" i="1"/>
  <c r="CJ402" i="1"/>
  <c r="BA414" i="1"/>
  <c r="AQ402" i="1"/>
  <c r="F424" i="1"/>
  <c r="AQ486" i="1"/>
  <c r="AU402" i="1"/>
  <c r="AU486" i="1"/>
  <c r="F433" i="1"/>
  <c r="S402" i="1"/>
  <c r="F429" i="1"/>
  <c r="W402" i="1"/>
  <c r="F438" i="1"/>
  <c r="AQ446" i="1"/>
  <c r="F466" i="1"/>
  <c r="BC446" i="1"/>
  <c r="F472" i="1"/>
  <c r="AI446" i="1"/>
  <c r="V456" i="1"/>
  <c r="AK446" i="1"/>
  <c r="X456" i="1"/>
  <c r="GM451" i="1"/>
  <c r="GN451" i="1"/>
  <c r="AC446" i="1"/>
  <c r="P456" i="1"/>
  <c r="CE456" i="1"/>
  <c r="CF456" i="1"/>
  <c r="CH456" i="1"/>
  <c r="AJ446" i="1"/>
  <c r="W456" i="1"/>
  <c r="W486" i="1" s="1"/>
  <c r="CJ446" i="1"/>
  <c r="BA456" i="1"/>
  <c r="AF446" i="1"/>
  <c r="S456" i="1"/>
  <c r="AZ446" i="1"/>
  <c r="F467" i="1"/>
  <c r="J284" i="5" l="1"/>
  <c r="H20" i="11" s="1"/>
  <c r="L443" i="5"/>
  <c r="J294" i="5"/>
  <c r="J295" i="5" s="1"/>
  <c r="F392" i="1"/>
  <c r="X292" i="1"/>
  <c r="CJ143" i="1"/>
  <c r="BA153" i="1"/>
  <c r="AD143" i="1"/>
  <c r="Q153" i="1"/>
  <c r="W398" i="1"/>
  <c r="F510" i="1"/>
  <c r="AL26" i="1"/>
  <c r="Y36" i="1"/>
  <c r="CF446" i="1"/>
  <c r="AW456" i="1"/>
  <c r="P446" i="1"/>
  <c r="F459" i="1"/>
  <c r="X446" i="1"/>
  <c r="F482" i="1"/>
  <c r="F479" i="1"/>
  <c r="V446" i="1"/>
  <c r="BA402" i="1"/>
  <c r="F434" i="1"/>
  <c r="BA486" i="1"/>
  <c r="T402" i="1"/>
  <c r="F435" i="1"/>
  <c r="T486" i="1"/>
  <c r="AL402" i="1"/>
  <c r="Y414" i="1"/>
  <c r="AZ398" i="1"/>
  <c r="F497" i="1"/>
  <c r="CE296" i="1"/>
  <c r="AV300" i="1"/>
  <c r="CF296" i="1"/>
  <c r="AW300" i="1"/>
  <c r="CH332" i="1"/>
  <c r="AY336" i="1"/>
  <c r="CE332" i="1"/>
  <c r="AV336" i="1"/>
  <c r="S296" i="1"/>
  <c r="F315" i="1"/>
  <c r="S366" i="1"/>
  <c r="BA223" i="1"/>
  <c r="F248" i="1"/>
  <c r="V223" i="1"/>
  <c r="F251" i="1"/>
  <c r="F215" i="1"/>
  <c r="W185" i="1"/>
  <c r="CE185" i="1"/>
  <c r="AV191" i="1"/>
  <c r="CF185" i="1"/>
  <c r="AW191" i="1"/>
  <c r="AH143" i="1"/>
  <c r="U153" i="1"/>
  <c r="BC292" i="1"/>
  <c r="F382" i="1"/>
  <c r="GM226" i="1"/>
  <c r="AK228" i="1"/>
  <c r="Y185" i="1"/>
  <c r="F218" i="1"/>
  <c r="V185" i="1"/>
  <c r="F214" i="1"/>
  <c r="F203" i="1"/>
  <c r="Q185" i="1"/>
  <c r="GK148" i="1"/>
  <c r="AE153" i="1"/>
  <c r="CP148" i="1"/>
  <c r="O148" i="1" s="1"/>
  <c r="AC153" i="1"/>
  <c r="GM146" i="1"/>
  <c r="CB106" i="1"/>
  <c r="AS111" i="1"/>
  <c r="AZ106" i="1"/>
  <c r="F122" i="1"/>
  <c r="U68" i="1"/>
  <c r="F96" i="1"/>
  <c r="R68" i="1"/>
  <c r="F88" i="1"/>
  <c r="W68" i="1"/>
  <c r="F98" i="1"/>
  <c r="CF68" i="1"/>
  <c r="AW74" i="1"/>
  <c r="CE68" i="1"/>
  <c r="AV74" i="1"/>
  <c r="AZ258" i="1"/>
  <c r="AP22" i="1"/>
  <c r="F267" i="1"/>
  <c r="G16" i="2" s="1"/>
  <c r="AP517" i="1"/>
  <c r="U258" i="1"/>
  <c r="S68" i="1"/>
  <c r="F89" i="1"/>
  <c r="AY26" i="1"/>
  <c r="F44" i="1"/>
  <c r="BC22" i="1"/>
  <c r="F274" i="1"/>
  <c r="BC517" i="1"/>
  <c r="AO22" i="1"/>
  <c r="F262" i="1"/>
  <c r="AO517" i="1"/>
  <c r="AT398" i="1"/>
  <c r="F504" i="1"/>
  <c r="F18" i="2" s="1"/>
  <c r="U446" i="1"/>
  <c r="F478" i="1"/>
  <c r="T446" i="1"/>
  <c r="F477" i="1"/>
  <c r="R446" i="1"/>
  <c r="F470" i="1"/>
  <c r="AD446" i="1"/>
  <c r="Q456" i="1"/>
  <c r="F343" i="1"/>
  <c r="AX332" i="1"/>
  <c r="GP334" i="1"/>
  <c r="CD336" i="1" s="1"/>
  <c r="AB336" i="1"/>
  <c r="GM334" i="1"/>
  <c r="CA336" i="1" s="1"/>
  <c r="BA292" i="1"/>
  <c r="F386" i="1"/>
  <c r="F384" i="1"/>
  <c r="F17" i="2" s="1"/>
  <c r="AT292" i="1"/>
  <c r="U292" i="1"/>
  <c r="F388" i="1"/>
  <c r="V292" i="1"/>
  <c r="F389" i="1"/>
  <c r="BD398" i="1"/>
  <c r="F511" i="1"/>
  <c r="P402" i="1"/>
  <c r="P486" i="1"/>
  <c r="F417" i="1"/>
  <c r="CF402" i="1"/>
  <c r="AW414" i="1"/>
  <c r="AB402" i="1"/>
  <c r="O414" i="1"/>
  <c r="CB414" i="1"/>
  <c r="CD296" i="1"/>
  <c r="AU300" i="1"/>
  <c r="AZ223" i="1"/>
  <c r="F239" i="1"/>
  <c r="BC398" i="1"/>
  <c r="F502" i="1"/>
  <c r="AP292" i="1"/>
  <c r="F375" i="1"/>
  <c r="G17" i="2" s="1"/>
  <c r="CB191" i="1"/>
  <c r="AZ143" i="1"/>
  <c r="F164" i="1"/>
  <c r="AS292" i="1"/>
  <c r="F383" i="1"/>
  <c r="E17" i="2" s="1"/>
  <c r="AO292" i="1"/>
  <c r="F370" i="1"/>
  <c r="T223" i="1"/>
  <c r="F249" i="1"/>
  <c r="F211" i="1"/>
  <c r="BA185" i="1"/>
  <c r="F213" i="1"/>
  <c r="U185" i="1"/>
  <c r="T185" i="1"/>
  <c r="F212" i="1"/>
  <c r="X185" i="1"/>
  <c r="F217" i="1"/>
  <c r="AI143" i="1"/>
  <c r="V153" i="1"/>
  <c r="P223" i="1"/>
  <c r="F231" i="1"/>
  <c r="CH223" i="1"/>
  <c r="AY228" i="1"/>
  <c r="F131" i="1"/>
  <c r="BA106" i="1"/>
  <c r="F133" i="1"/>
  <c r="U106" i="1"/>
  <c r="T106" i="1"/>
  <c r="F132" i="1"/>
  <c r="X106" i="1"/>
  <c r="F137" i="1"/>
  <c r="CY148" i="1"/>
  <c r="X148" i="1" s="1"/>
  <c r="CZ148" i="1"/>
  <c r="Y148" i="1" s="1"/>
  <c r="AF153" i="1"/>
  <c r="AL153" i="1"/>
  <c r="W106" i="1"/>
  <c r="F135" i="1"/>
  <c r="CE106" i="1"/>
  <c r="AV111" i="1"/>
  <c r="CH106" i="1"/>
  <c r="AY111" i="1"/>
  <c r="GN70" i="1"/>
  <c r="CB74" i="1" s="1"/>
  <c r="AB74" i="1"/>
  <c r="GM70" i="1"/>
  <c r="CA74" i="1" s="1"/>
  <c r="BB22" i="1"/>
  <c r="F271" i="1"/>
  <c r="BB517" i="1"/>
  <c r="AT22" i="1"/>
  <c r="F276" i="1"/>
  <c r="F16" i="2" s="1"/>
  <c r="F20" i="2" s="1"/>
  <c r="AT517" i="1"/>
  <c r="AQ22" i="1"/>
  <c r="F268" i="1"/>
  <c r="AQ517" i="1"/>
  <c r="AK36" i="1"/>
  <c r="GM34" i="1"/>
  <c r="AB223" i="1"/>
  <c r="O228" i="1"/>
  <c r="S446" i="1"/>
  <c r="F471" i="1"/>
  <c r="BA446" i="1"/>
  <c r="F476" i="1"/>
  <c r="W446" i="1"/>
  <c r="F480" i="1"/>
  <c r="CH446" i="1"/>
  <c r="AY456" i="1"/>
  <c r="CE446" i="1"/>
  <c r="AV456" i="1"/>
  <c r="S486" i="1"/>
  <c r="AU398" i="1"/>
  <c r="F505" i="1"/>
  <c r="AQ398" i="1"/>
  <c r="F496" i="1"/>
  <c r="F347" i="1"/>
  <c r="AZ332" i="1"/>
  <c r="F463" i="1"/>
  <c r="AX446" i="1"/>
  <c r="AX486" i="1"/>
  <c r="BB398" i="1"/>
  <c r="F499" i="1"/>
  <c r="U398" i="1"/>
  <c r="F508" i="1"/>
  <c r="V402" i="1"/>
  <c r="V486" i="1"/>
  <c r="F437" i="1"/>
  <c r="X332" i="1"/>
  <c r="F362" i="1"/>
  <c r="Y332" i="1"/>
  <c r="F363" i="1"/>
  <c r="W292" i="1"/>
  <c r="F390" i="1"/>
  <c r="P296" i="1"/>
  <c r="P366" i="1"/>
  <c r="F303" i="1"/>
  <c r="CH296" i="1"/>
  <c r="AY300" i="1"/>
  <c r="AO398" i="1"/>
  <c r="F490" i="1"/>
  <c r="CF332" i="1"/>
  <c r="AW336" i="1"/>
  <c r="F339" i="1"/>
  <c r="P332" i="1"/>
  <c r="Q332" i="1"/>
  <c r="F348" i="1"/>
  <c r="AX296" i="1"/>
  <c r="F307" i="1"/>
  <c r="AX366" i="1"/>
  <c r="BB292" i="1"/>
  <c r="F379" i="1"/>
  <c r="P185" i="1"/>
  <c r="F194" i="1"/>
  <c r="CH185" i="1"/>
  <c r="AY191" i="1"/>
  <c r="AX143" i="1"/>
  <c r="F160" i="1"/>
  <c r="AG143" i="1"/>
  <c r="T153" i="1"/>
  <c r="AQ292" i="1"/>
  <c r="F376" i="1"/>
  <c r="AF223" i="1"/>
  <c r="S228" i="1"/>
  <c r="AL228" i="1"/>
  <c r="R223" i="1"/>
  <c r="F242" i="1"/>
  <c r="AZ185" i="1"/>
  <c r="F202" i="1"/>
  <c r="Y106" i="1"/>
  <c r="F138" i="1"/>
  <c r="V106" i="1"/>
  <c r="F134" i="1"/>
  <c r="F123" i="1"/>
  <c r="Q106" i="1"/>
  <c r="AB106" i="1"/>
  <c r="O111" i="1"/>
  <c r="CA106" i="1"/>
  <c r="AR111" i="1"/>
  <c r="CH68" i="1"/>
  <c r="AY74" i="1"/>
  <c r="F77" i="1"/>
  <c r="P68" i="1"/>
  <c r="BD22" i="1"/>
  <c r="F283" i="1"/>
  <c r="BD517" i="1"/>
  <c r="W258" i="1"/>
  <c r="GM28" i="1"/>
  <c r="CA36" i="1" s="1"/>
  <c r="GN28" i="1"/>
  <c r="CB36" i="1" s="1"/>
  <c r="AB36" i="1"/>
  <c r="AU22" i="1"/>
  <c r="F277" i="1"/>
  <c r="AF26" i="1"/>
  <c r="S36" i="1"/>
  <c r="GN448" i="1"/>
  <c r="CB456" i="1" s="1"/>
  <c r="AB456" i="1"/>
  <c r="GM448" i="1"/>
  <c r="CA456" i="1" s="1"/>
  <c r="AK402" i="1"/>
  <c r="X414" i="1"/>
  <c r="Y366" i="1"/>
  <c r="T292" i="1"/>
  <c r="F387" i="1"/>
  <c r="Q366" i="1"/>
  <c r="AP398" i="1"/>
  <c r="F495" i="1"/>
  <c r="G18" i="2" s="1"/>
  <c r="CE402" i="1"/>
  <c r="AV414" i="1"/>
  <c r="CH402" i="1"/>
  <c r="AY414" i="1"/>
  <c r="CA414" i="1"/>
  <c r="S332" i="1"/>
  <c r="F351" i="1"/>
  <c r="AB296" i="1"/>
  <c r="O300" i="1"/>
  <c r="CA296" i="1"/>
  <c r="AR300" i="1"/>
  <c r="AE402" i="1"/>
  <c r="R414" i="1"/>
  <c r="R332" i="1"/>
  <c r="F350" i="1"/>
  <c r="AZ296" i="1"/>
  <c r="F311" i="1"/>
  <c r="AZ366" i="1"/>
  <c r="BD292" i="1"/>
  <c r="F391" i="1"/>
  <c r="AE296" i="1"/>
  <c r="R300" i="1"/>
  <c r="AU223" i="1"/>
  <c r="F247" i="1"/>
  <c r="AB185" i="1"/>
  <c r="O191" i="1"/>
  <c r="CA191" i="1"/>
  <c r="GM147" i="1"/>
  <c r="GN147" i="1"/>
  <c r="CE223" i="1"/>
  <c r="AV228" i="1"/>
  <c r="CF223" i="1"/>
  <c r="AW228" i="1"/>
  <c r="AX185" i="1"/>
  <c r="F198" i="1"/>
  <c r="S185" i="1"/>
  <c r="F206" i="1"/>
  <c r="AE185" i="1"/>
  <c r="R191" i="1"/>
  <c r="AK153" i="1"/>
  <c r="P106" i="1"/>
  <c r="F114" i="1"/>
  <c r="CF106" i="1"/>
  <c r="AW111" i="1"/>
  <c r="AX106" i="1"/>
  <c r="F118" i="1"/>
  <c r="S106" i="1"/>
  <c r="F126" i="1"/>
  <c r="AE106" i="1"/>
  <c r="R111" i="1"/>
  <c r="Y68" i="1"/>
  <c r="F101" i="1"/>
  <c r="F85" i="1"/>
  <c r="AZ68" i="1"/>
  <c r="F81" i="1"/>
  <c r="AX68" i="1"/>
  <c r="V258" i="1"/>
  <c r="AD68" i="1"/>
  <c r="Q74" i="1"/>
  <c r="AX258" i="1"/>
  <c r="AW26" i="1"/>
  <c r="F42" i="1"/>
  <c r="BA258" i="1"/>
  <c r="T258" i="1"/>
  <c r="AD26" i="1"/>
  <c r="Q36" i="1"/>
  <c r="Y446" i="1"/>
  <c r="F483" i="1"/>
  <c r="W143" i="1"/>
  <c r="F177" i="1"/>
  <c r="Q223" i="1"/>
  <c r="F240" i="1"/>
  <c r="GN225" i="1"/>
  <c r="CB228" i="1" s="1"/>
  <c r="GM225" i="1"/>
  <c r="CA228" i="1" s="1"/>
  <c r="J442" i="5" l="1"/>
  <c r="L442" i="5"/>
  <c r="M284" i="5"/>
  <c r="J452" i="5"/>
  <c r="M283" i="5"/>
  <c r="CA223" i="1"/>
  <c r="AR228" i="1"/>
  <c r="Q26" i="1"/>
  <c r="F48" i="1"/>
  <c r="Q258" i="1"/>
  <c r="T22" i="1"/>
  <c r="F279" i="1"/>
  <c r="T517" i="1"/>
  <c r="Q68" i="1"/>
  <c r="F86" i="1"/>
  <c r="V22" i="1"/>
  <c r="F281" i="1"/>
  <c r="V517" i="1"/>
  <c r="R185" i="1"/>
  <c r="F205" i="1"/>
  <c r="AW223" i="1"/>
  <c r="F234" i="1"/>
  <c r="AV223" i="1"/>
  <c r="F233" i="1"/>
  <c r="CA185" i="1"/>
  <c r="AR191" i="1"/>
  <c r="R402" i="1"/>
  <c r="F428" i="1"/>
  <c r="R486" i="1"/>
  <c r="AR296" i="1"/>
  <c r="F328" i="1"/>
  <c r="F302" i="1"/>
  <c r="O296" i="1"/>
  <c r="CA402" i="1"/>
  <c r="AR414" i="1"/>
  <c r="Y292" i="1"/>
  <c r="F393" i="1"/>
  <c r="AB446" i="1"/>
  <c r="O456" i="1"/>
  <c r="S26" i="1"/>
  <c r="F51" i="1"/>
  <c r="CB26" i="1"/>
  <c r="AS36" i="1"/>
  <c r="W22" i="1"/>
  <c r="F282" i="1"/>
  <c r="W517" i="1"/>
  <c r="S223" i="1"/>
  <c r="F243" i="1"/>
  <c r="T143" i="1"/>
  <c r="F174" i="1"/>
  <c r="F199" i="1"/>
  <c r="AY185" i="1"/>
  <c r="AX292" i="1"/>
  <c r="F373" i="1"/>
  <c r="P292" i="1"/>
  <c r="F369" i="1"/>
  <c r="S398" i="1"/>
  <c r="F501" i="1"/>
  <c r="J18" i="2" s="1"/>
  <c r="AK26" i="1"/>
  <c r="X36" i="1"/>
  <c r="AT18" i="1"/>
  <c r="F535" i="1"/>
  <c r="CA68" i="1"/>
  <c r="AR74" i="1"/>
  <c r="CB68" i="1"/>
  <c r="AS74" i="1"/>
  <c r="AF143" i="1"/>
  <c r="S153" i="1"/>
  <c r="AU296" i="1"/>
  <c r="F319" i="1"/>
  <c r="CB402" i="1"/>
  <c r="AS414" i="1"/>
  <c r="P398" i="1"/>
  <c r="F489" i="1"/>
  <c r="CA332" i="1"/>
  <c r="AR336" i="1"/>
  <c r="CD332" i="1"/>
  <c r="AU336" i="1"/>
  <c r="BC18" i="1"/>
  <c r="F533" i="1"/>
  <c r="U22" i="1"/>
  <c r="F280" i="1"/>
  <c r="U517" i="1"/>
  <c r="G20" i="2"/>
  <c r="AZ22" i="1"/>
  <c r="F269" i="1"/>
  <c r="AZ517" i="1"/>
  <c r="AS106" i="1"/>
  <c r="F128" i="1"/>
  <c r="GN148" i="1"/>
  <c r="CB153" i="1" s="1"/>
  <c r="GM148" i="1"/>
  <c r="CA153" i="1" s="1"/>
  <c r="AB153" i="1"/>
  <c r="F341" i="1"/>
  <c r="AV332" i="1"/>
  <c r="AY332" i="1"/>
  <c r="F344" i="1"/>
  <c r="F306" i="1"/>
  <c r="AW366" i="1"/>
  <c r="AW296" i="1"/>
  <c r="AV296" i="1"/>
  <c r="F305" i="1"/>
  <c r="AV366" i="1"/>
  <c r="Y402" i="1"/>
  <c r="F441" i="1"/>
  <c r="Y486" i="1"/>
  <c r="T398" i="1"/>
  <c r="F507" i="1"/>
  <c r="AW446" i="1"/>
  <c r="F462" i="1"/>
  <c r="Y26" i="1"/>
  <c r="F63" i="1"/>
  <c r="Q143" i="1"/>
  <c r="F165" i="1"/>
  <c r="BA143" i="1"/>
  <c r="F173" i="1"/>
  <c r="CB223" i="1"/>
  <c r="AS228" i="1"/>
  <c r="BA22" i="1"/>
  <c r="F278" i="1"/>
  <c r="BA517" i="1"/>
  <c r="AX22" i="1"/>
  <c r="F265" i="1"/>
  <c r="AX517" i="1"/>
  <c r="R106" i="1"/>
  <c r="F125" i="1"/>
  <c r="F117" i="1"/>
  <c r="AW106" i="1"/>
  <c r="AK143" i="1"/>
  <c r="X153" i="1"/>
  <c r="F193" i="1"/>
  <c r="O185" i="1"/>
  <c r="R296" i="1"/>
  <c r="F314" i="1"/>
  <c r="R366" i="1"/>
  <c r="AZ292" i="1"/>
  <c r="F377" i="1"/>
  <c r="AY402" i="1"/>
  <c r="F422" i="1"/>
  <c r="AY486" i="1"/>
  <c r="AV402" i="1"/>
  <c r="F419" i="1"/>
  <c r="AV486" i="1"/>
  <c r="Q292" i="1"/>
  <c r="F378" i="1"/>
  <c r="X402" i="1"/>
  <c r="F440" i="1"/>
  <c r="X486" i="1"/>
  <c r="CA446" i="1"/>
  <c r="AR456" i="1"/>
  <c r="CB446" i="1"/>
  <c r="AS456" i="1"/>
  <c r="H16" i="2"/>
  <c r="AB26" i="1"/>
  <c r="O36" i="1"/>
  <c r="CA26" i="1"/>
  <c r="AR36" i="1"/>
  <c r="BD18" i="1"/>
  <c r="F542" i="1"/>
  <c r="AY68" i="1"/>
  <c r="F82" i="1"/>
  <c r="AR106" i="1"/>
  <c r="F139" i="1"/>
  <c r="O106" i="1"/>
  <c r="F113" i="1"/>
  <c r="AL223" i="1"/>
  <c r="Y228" i="1"/>
  <c r="AW332" i="1"/>
  <c r="F342" i="1"/>
  <c r="F308" i="1"/>
  <c r="AY366" i="1"/>
  <c r="AY296" i="1"/>
  <c r="V398" i="1"/>
  <c r="F509" i="1"/>
  <c r="AX398" i="1"/>
  <c r="F493" i="1"/>
  <c r="AV446" i="1"/>
  <c r="F461" i="1"/>
  <c r="AY446" i="1"/>
  <c r="F464" i="1"/>
  <c r="O223" i="1"/>
  <c r="F230" i="1"/>
  <c r="AQ18" i="1"/>
  <c r="F527" i="1"/>
  <c r="BB18" i="1"/>
  <c r="F530" i="1"/>
  <c r="AB68" i="1"/>
  <c r="O74" i="1"/>
  <c r="AY106" i="1"/>
  <c r="F119" i="1"/>
  <c r="AV106" i="1"/>
  <c r="F116" i="1"/>
  <c r="AL143" i="1"/>
  <c r="Y153" i="1"/>
  <c r="AY223" i="1"/>
  <c r="F236" i="1"/>
  <c r="V143" i="1"/>
  <c r="F176" i="1"/>
  <c r="CB185" i="1"/>
  <c r="AS191" i="1"/>
  <c r="O402" i="1"/>
  <c r="F416" i="1"/>
  <c r="O486" i="1"/>
  <c r="AW402" i="1"/>
  <c r="F420" i="1"/>
  <c r="AW486" i="1"/>
  <c r="AB332" i="1"/>
  <c r="O336" i="1"/>
  <c r="O366" i="1" s="1"/>
  <c r="Q446" i="1"/>
  <c r="F468" i="1"/>
  <c r="Q486" i="1"/>
  <c r="AO18" i="1"/>
  <c r="F521" i="1"/>
  <c r="AP18" i="1"/>
  <c r="F526" i="1"/>
  <c r="F79" i="1"/>
  <c r="AV68" i="1"/>
  <c r="AW68" i="1"/>
  <c r="F80" i="1"/>
  <c r="AC143" i="1"/>
  <c r="P153" i="1"/>
  <c r="CE153" i="1"/>
  <c r="CF153" i="1"/>
  <c r="CH153" i="1"/>
  <c r="AE143" i="1"/>
  <c r="R153" i="1"/>
  <c r="AK223" i="1"/>
  <c r="X228" i="1"/>
  <c r="U143" i="1"/>
  <c r="F175" i="1"/>
  <c r="F197" i="1"/>
  <c r="AW185" i="1"/>
  <c r="AV185" i="1"/>
  <c r="F196" i="1"/>
  <c r="S292" i="1"/>
  <c r="F381" i="1"/>
  <c r="J17" i="2" s="1"/>
  <c r="BA398" i="1"/>
  <c r="F506" i="1"/>
  <c r="H18" i="2" s="1"/>
  <c r="H24" i="11" l="1"/>
  <c r="H23" i="11"/>
  <c r="M442" i="5"/>
  <c r="J453" i="5"/>
  <c r="M443" i="5" s="1"/>
  <c r="O292" i="1"/>
  <c r="F368" i="1"/>
  <c r="CA143" i="1"/>
  <c r="AR153" i="1"/>
  <c r="CB143" i="1"/>
  <c r="AS153" i="1"/>
  <c r="R143" i="1"/>
  <c r="F167" i="1"/>
  <c r="CH143" i="1"/>
  <c r="AY153" i="1"/>
  <c r="CE143" i="1"/>
  <c r="AV153" i="1"/>
  <c r="Q398" i="1"/>
  <c r="F498" i="1"/>
  <c r="O398" i="1"/>
  <c r="F488" i="1"/>
  <c r="Y143" i="1"/>
  <c r="F180" i="1"/>
  <c r="O68" i="1"/>
  <c r="F76" i="1"/>
  <c r="AS446" i="1"/>
  <c r="F473" i="1"/>
  <c r="AR446" i="1"/>
  <c r="F484" i="1"/>
  <c r="X398" i="1"/>
  <c r="F512" i="1"/>
  <c r="AY398" i="1"/>
  <c r="F494" i="1"/>
  <c r="X143" i="1"/>
  <c r="F179" i="1"/>
  <c r="AX18" i="1"/>
  <c r="F524" i="1"/>
  <c r="AS223" i="1"/>
  <c r="F245" i="1"/>
  <c r="Y258" i="1"/>
  <c r="AV292" i="1"/>
  <c r="F371" i="1"/>
  <c r="AW292" i="1"/>
  <c r="F372" i="1"/>
  <c r="AB143" i="1"/>
  <c r="O153" i="1"/>
  <c r="AU332" i="1"/>
  <c r="F355" i="1"/>
  <c r="AR332" i="1"/>
  <c r="F364" i="1"/>
  <c r="AS402" i="1"/>
  <c r="F431" i="1"/>
  <c r="AS486" i="1"/>
  <c r="AU366" i="1"/>
  <c r="W18" i="1"/>
  <c r="F541" i="1"/>
  <c r="O446" i="1"/>
  <c r="F458" i="1"/>
  <c r="AR402" i="1"/>
  <c r="F442" i="1"/>
  <c r="AR486" i="1"/>
  <c r="R398" i="1"/>
  <c r="F500" i="1"/>
  <c r="T18" i="1"/>
  <c r="F538" i="1"/>
  <c r="AR223" i="1"/>
  <c r="F256" i="1"/>
  <c r="X223" i="1"/>
  <c r="F254" i="1"/>
  <c r="CF143" i="1"/>
  <c r="AW153" i="1"/>
  <c r="P143" i="1"/>
  <c r="F156" i="1"/>
  <c r="P258" i="1"/>
  <c r="R258" i="1"/>
  <c r="O332" i="1"/>
  <c r="F338" i="1"/>
  <c r="AW398" i="1"/>
  <c r="F492" i="1"/>
  <c r="AS185" i="1"/>
  <c r="F208" i="1"/>
  <c r="AY292" i="1"/>
  <c r="F374" i="1"/>
  <c r="Y223" i="1"/>
  <c r="F255" i="1"/>
  <c r="AR26" i="1"/>
  <c r="F64" i="1"/>
  <c r="AR258" i="1"/>
  <c r="O26" i="1"/>
  <c r="F38" i="1"/>
  <c r="O258" i="1"/>
  <c r="AV398" i="1"/>
  <c r="F491" i="1"/>
  <c r="F380" i="1"/>
  <c r="R292" i="1"/>
  <c r="BA18" i="1"/>
  <c r="F537" i="1"/>
  <c r="Y398" i="1"/>
  <c r="F513" i="1"/>
  <c r="AZ18" i="1"/>
  <c r="F528" i="1"/>
  <c r="U18" i="1"/>
  <c r="F539" i="1"/>
  <c r="S143" i="1"/>
  <c r="F168" i="1"/>
  <c r="AS68" i="1"/>
  <c r="F91" i="1"/>
  <c r="AR68" i="1"/>
  <c r="F102" i="1"/>
  <c r="X26" i="1"/>
  <c r="F62" i="1"/>
  <c r="X258" i="1"/>
  <c r="AS26" i="1"/>
  <c r="F53" i="1"/>
  <c r="AS258" i="1"/>
  <c r="S258" i="1"/>
  <c r="AR366" i="1"/>
  <c r="AR185" i="1"/>
  <c r="F219" i="1"/>
  <c r="V18" i="1"/>
  <c r="F540" i="1"/>
  <c r="Q22" i="1"/>
  <c r="F270" i="1"/>
  <c r="Q517" i="1"/>
  <c r="S22" i="1" l="1"/>
  <c r="F273" i="1"/>
  <c r="J16" i="2" s="1"/>
  <c r="J20" i="2" s="1"/>
  <c r="S517" i="1"/>
  <c r="X22" i="1"/>
  <c r="F284" i="1"/>
  <c r="X517" i="1"/>
  <c r="O22" i="1"/>
  <c r="F260" i="1"/>
  <c r="O517" i="1"/>
  <c r="R22" i="1"/>
  <c r="F272" i="1"/>
  <c r="R517" i="1"/>
  <c r="AW143" i="1"/>
  <c r="F159" i="1"/>
  <c r="AW258" i="1"/>
  <c r="AR398" i="1"/>
  <c r="F514" i="1"/>
  <c r="F515" i="1" s="1"/>
  <c r="AS398" i="1"/>
  <c r="F503" i="1"/>
  <c r="E18" i="2" s="1"/>
  <c r="I18" i="2" s="1"/>
  <c r="AV143" i="1"/>
  <c r="F158" i="1"/>
  <c r="AV258" i="1"/>
  <c r="AY143" i="1"/>
  <c r="F161" i="1"/>
  <c r="AY258" i="1"/>
  <c r="AS143" i="1"/>
  <c r="F170" i="1"/>
  <c r="AR143" i="1"/>
  <c r="F181" i="1"/>
  <c r="Q18" i="1"/>
  <c r="F529" i="1"/>
  <c r="F394" i="1"/>
  <c r="AR292" i="1"/>
  <c r="AS22" i="1"/>
  <c r="F275" i="1"/>
  <c r="E16" i="2" s="1"/>
  <c r="AS517" i="1"/>
  <c r="AR22" i="1"/>
  <c r="F286" i="1"/>
  <c r="AR517" i="1"/>
  <c r="P22" i="1"/>
  <c r="F261" i="1"/>
  <c r="P517" i="1"/>
  <c r="AU292" i="1"/>
  <c r="F385" i="1"/>
  <c r="H17" i="2" s="1"/>
  <c r="AU517" i="1"/>
  <c r="O143" i="1"/>
  <c r="F155" i="1"/>
  <c r="Y22" i="1"/>
  <c r="F285" i="1"/>
  <c r="Y517" i="1"/>
  <c r="Y18" i="1" l="1"/>
  <c r="F544" i="1"/>
  <c r="I17" i="2"/>
  <c r="H20" i="2"/>
  <c r="P18" i="1"/>
  <c r="F520" i="1"/>
  <c r="F287" i="1"/>
  <c r="F288" i="1" s="1"/>
  <c r="AS18" i="1"/>
  <c r="F534" i="1"/>
  <c r="AV22" i="1"/>
  <c r="F263" i="1"/>
  <c r="AV517" i="1"/>
  <c r="R18" i="1"/>
  <c r="F531" i="1"/>
  <c r="X18" i="1"/>
  <c r="F543" i="1"/>
  <c r="AU18" i="1"/>
  <c r="F536" i="1"/>
  <c r="AR18" i="1"/>
  <c r="F545" i="1"/>
  <c r="E20" i="2"/>
  <c r="I16" i="2"/>
  <c r="I20" i="2" s="1"/>
  <c r="AY22" i="1"/>
  <c r="F266" i="1"/>
  <c r="AY517" i="1"/>
  <c r="AW22" i="1"/>
  <c r="F264" i="1"/>
  <c r="AW517" i="1"/>
  <c r="O18" i="1"/>
  <c r="F519" i="1"/>
  <c r="S18" i="1"/>
  <c r="F532" i="1"/>
  <c r="AV18" i="1" l="1"/>
  <c r="F522" i="1"/>
  <c r="AY18" i="1"/>
  <c r="F525" i="1"/>
  <c r="AW18" i="1"/>
  <c r="F523" i="1"/>
</calcChain>
</file>

<file path=xl/sharedStrings.xml><?xml version="1.0" encoding="utf-8"?>
<sst xmlns="http://schemas.openxmlformats.org/spreadsheetml/2006/main" count="5087" uniqueCount="487">
  <si>
    <t>Smeta.RU  (495) 974-1589</t>
  </si>
  <si>
    <t>_PS_</t>
  </si>
  <si>
    <t>Smeta.RU</t>
  </si>
  <si>
    <t>Новый объект_(Копия)_(Копия)_(Копия)_(Копия)_(Копия)</t>
  </si>
  <si>
    <t>Озеленение особо охраняемых природных территорий города Москвы в рамках программы "Наше дерево" в весенний период 2021 года</t>
  </si>
  <si>
    <t/>
  </si>
  <si>
    <t>Сметные нормы списания</t>
  </si>
  <si>
    <t>Коды ОКП для ТСН-2001 МГЭ</t>
  </si>
  <si>
    <t>ТСН-2001 (МГЭ) - Новое строительство</t>
  </si>
  <si>
    <t>Типовой расчет для ТСН-2001 МГЭ, Новая методика с выпуска доп. 43 (Строительство), Доп 59</t>
  </si>
  <si>
    <t>Территориальные сметные нормативы для Москвы ТСН-2001 (МГЭ)</t>
  </si>
  <si>
    <t>Поправки для ТСН-2001 от 19.01.2021 г. доп.59</t>
  </si>
  <si>
    <t>Новая локальная смета</t>
  </si>
  <si>
    <t>Посадка деревьев с комом земли 1,5х1,5х0,65 м, 1,0х1,0х0,6 м, восстановление отпада и уходные работы</t>
  </si>
  <si>
    <t>Новый раздел</t>
  </si>
  <si>
    <t>Посадка деревьев с комом земли 1,5х1,5х0,65 м - 4625 шт.</t>
  </si>
  <si>
    <t>1</t>
  </si>
  <si>
    <t>3.47-3-23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</si>
  <si>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t>
  </si>
  <si>
    <t>10 ям</t>
  </si>
  <si>
    <t>ТСН-2001.3. Доп. 1-42. Сб. 47, т. 3, поз. 23</t>
  </si>
  <si>
    <t>Строительные работы</t>
  </si>
  <si>
    <t>ТСН-2001.3-47. 47-1...47-8</t>
  </si>
  <si>
    <t>ТСН-2001.3-47-1</t>
  </si>
  <si>
    <t>1,1</t>
  </si>
  <si>
    <t>1.4-6-1</t>
  </si>
  <si>
    <t>Земля растительная</t>
  </si>
  <si>
    <t>м3</t>
  </si>
  <si>
    <t>ТСН-2001.1. Доп. 1-42. Р. 4, о. 6, поз. 1</t>
  </si>
  <si>
    <t>2</t>
  </si>
  <si>
    <t>3.47-5-23</t>
  </si>
  <si>
    <t>Подготовка стандартных посадочных мест вручную с квадратным комом земли размером 1,5х1,5х0,65 м с добавлением растительной земли до 50%</t>
  </si>
  <si>
    <t>ТСН-2001.3. Доп. 1-42. Сб. 47, т. 5, поз. 23</t>
  </si>
  <si>
    <t>2,1</t>
  </si>
  <si>
    <t>3</t>
  </si>
  <si>
    <t>3.47-7-9</t>
  </si>
  <si>
    <t>Посадка деревьев и кустарников с комом земли размером 1,5х1,5х0,65 м</t>
  </si>
  <si>
    <t>10 деревьев или кустарников</t>
  </si>
  <si>
    <t>ТСН-2001.3 Доп. 56, Сб. 47, т. 7, поз. 9</t>
  </si>
  <si>
    <t>4</t>
  </si>
  <si>
    <t>3.1-6-10</t>
  </si>
  <si>
    <t>Разработка грунта с погрузкой на автомобили-самосвалы экскаваторами с ковшом вместимостью 0,5 м3 группа грунтов 1-3 (Объем грунта на 1 дерево: (5,18 м3 - 1,46 м3) х 50% + 1,46 м3 = 3,32 м3; Общий объем грунта: 3,32 м3/дер. х 4625 дер. = 15355,0 м3)</t>
  </si>
  <si>
    <t>100 м3 грунта</t>
  </si>
  <si>
    <t>ТСН-2001.3 Доп. 59, Сб. 1, т. 6, поз. 10</t>
  </si>
  <si>
    <t>ТСН-2001.3-1. 1-1...1-7</t>
  </si>
  <si>
    <t>ТСН-2001.3-1-1</t>
  </si>
  <si>
    <t>5</t>
  </si>
  <si>
    <t>3.47-1-2</t>
  </si>
  <si>
    <t>Планировка участка вручную (разравнивание грунта от разработки ям, толщина слоя 0,1 м)</t>
  </si>
  <si>
    <t>100 м2</t>
  </si>
  <si>
    <t>ТСН-2001.3. Доп. 1-42. Сб. 47, т. 1, поз. 2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</si>
  <si>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</si>
  <si>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</si>
  <si>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</si>
  <si>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</si>
  <si>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</si>
  <si>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</si>
  <si>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</si>
  <si>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</si>
  <si>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</si>
  <si>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</si>
  <si>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</si>
  <si>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</si>
  <si>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</si>
  <si>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</si>
  <si>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</si>
  <si>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</si>
  <si>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</si>
  <si>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</si>
  <si>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</si>
  <si>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</si>
  <si>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</si>
  <si>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</si>
  <si>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</si>
  <si>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</si>
  <si>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</si>
  <si>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</si>
  <si>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</si>
  <si>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</si>
  <si>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</si>
  <si>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</si>
  <si>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</si>
  <si>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</si>
  <si>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</si>
  <si>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</si>
  <si>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</si>
  <si>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</si>
  <si>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</si>
  <si>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</si>
  <si>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</si>
  <si>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</si>
  <si>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</si>
  <si>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</si>
  <si>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</si>
  <si>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</si>
  <si>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</si>
  <si>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</si>
  <si>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</si>
  <si>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</si>
  <si>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</si>
  <si>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</si>
  <si>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</si>
  <si>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</si>
  <si>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</si>
  <si>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</si>
  <si>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Восстановление отпада деревьев с комом земли 1,5х1,5х0,65 м - 229 шт.</t>
  </si>
  <si>
    <t>6</t>
  </si>
  <si>
    <t>3.47-3-21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</si>
  <si>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t>
  </si>
  <si>
    <t>ТСН-2001.3. Доп. 1-42. Сб. 47, т. 3, поз. 21</t>
  </si>
  <si>
    <t>7</t>
  </si>
  <si>
    <t>3.47-5-21</t>
  </si>
  <si>
    <t>Подготовка стандартных посадочных мест вручную с квадратным комом земли размером 1,5х1,5х0,65 м в естественном грунте</t>
  </si>
  <si>
    <t>ТСН-2001.3. Доп. 1-42. Сб. 47, т. 5, поз. 21</t>
  </si>
  <si>
    <t>8</t>
  </si>
  <si>
    <t>Уход за деревьями с комом земли 1,5х1,5х0,65 м - 4625 шт.</t>
  </si>
  <si>
    <t>9</t>
  </si>
  <si>
    <t>3.47-48-1</t>
  </si>
  <si>
    <t>Полив зеленых насаждений из шланга поливомоечной машины (К=4)</t>
  </si>
  <si>
    <t>1 м3 выливаемой воды</t>
  </si>
  <si>
    <t>ТСН-2001.3 Доп. 56, Сб. 47, т. 48, поз. 1</t>
  </si>
  <si>
    <t>)*4</t>
  </si>
  <si>
    <t>ТСН-2001.3-47. 47-35...47-49</t>
  </si>
  <si>
    <t>ТСН-2001.3-47-6</t>
  </si>
  <si>
    <t>10</t>
  </si>
  <si>
    <t>3.47-49-3</t>
  </si>
  <si>
    <t>Прополка и рыхление лунок или канавок (К=4)</t>
  </si>
  <si>
    <t>100 м2 площади лунок или канавок</t>
  </si>
  <si>
    <t>ТСН-2001.3. Доп. 1-42. Сб. 47, т. 49, поз. 3</t>
  </si>
  <si>
    <t>Посадка деревьев с комом земли 1,0х1,0х0,6 м - 91 шт.</t>
  </si>
  <si>
    <t>11</t>
  </si>
  <si>
    <t>3.47-3-13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</si>
  <si>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t>
  </si>
  <si>
    <t>ТСН-2001.3. Доп. 1-42. Сб. 47, т. 3, поз. 13</t>
  </si>
  <si>
    <t>11,1</t>
  </si>
  <si>
    <t>12</t>
  </si>
  <si>
    <t>3.47-5-13</t>
  </si>
  <si>
    <t>Подготовка стандартных посадочных мест вручную с квадратным комом земли размером 1,0х1,0х0,6 м с добавлением растительной земли 50%</t>
  </si>
  <si>
    <t>ТСН-2001.3. Доп. 1-42. Сб. 47, т. 5, поз. 13</t>
  </si>
  <si>
    <t>12,1</t>
  </si>
  <si>
    <t>13</t>
  </si>
  <si>
    <t>3.47-7-7</t>
  </si>
  <si>
    <t>Посадка деревьев и кустарников с комом земли размером 1,0х1,0х0,6 м</t>
  </si>
  <si>
    <t>ТСН-2001.3 Доп. 56, Сб. 47, т. 7, поз. 7</t>
  </si>
  <si>
    <t>14</t>
  </si>
  <si>
    <t>Разработка грунта с погрузкой на автомобили-самосвалы экскаваторами с ковшом вместимостью 0,5 м3 группа грунтов 1-3 (Объем грунта на 1 дерево: (3,07 м3 - 0,6 м3) х 50% + 0,6 м3 = 1,835 м3; Общий объем грунта: 1,835 м3/дер. х 91 дер. = 166,985 м3)</t>
  </si>
  <si>
    <t>15</t>
  </si>
  <si>
    <t>Восстановление отпада деревьев с комом земли 1,0х1,0х0,6 м - 4 шт.</t>
  </si>
  <si>
    <t>16</t>
  </si>
  <si>
    <t>3.47-3-11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</si>
  <si>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t>
  </si>
  <si>
    <t>ТСН-2001.3. Доп. 1-42. Сб. 47, т. 3, поз. 11</t>
  </si>
  <si>
    <t>17</t>
  </si>
  <si>
    <t>3.47-5-11</t>
  </si>
  <si>
    <t>Подготовка стандартных посадочных мест вручную с квадратным комом земли размером 1,0х1,0х0,6 м в естественном грунте</t>
  </si>
  <si>
    <t>ТСН-2001.3. Доп. 1-42. Сб. 47, т. 5, поз. 11</t>
  </si>
  <si>
    <t>18</t>
  </si>
  <si>
    <t>Уход за деревьями с комом 1,0х1,0х0,6 м - 91 шт.</t>
  </si>
  <si>
    <t>19</t>
  </si>
  <si>
    <t>20</t>
  </si>
  <si>
    <t>НДС</t>
  </si>
  <si>
    <t>НДС 20%</t>
  </si>
  <si>
    <t>ИТсНДС</t>
  </si>
  <si>
    <t>Итого с НДС</t>
  </si>
  <si>
    <t>Затраты на перевозку отходов строительства и сноса, в т.ч. грунта, автотранспортными средствами</t>
  </si>
  <si>
    <t>21</t>
  </si>
  <si>
    <t>15.2-1-2</t>
  </si>
  <si>
    <t>Перевозка грунтов растительного слоя и торфов на расстояние до 1 км автосамосвалами грузоподъемностью до 20 т</t>
  </si>
  <si>
    <t>т</t>
  </si>
  <si>
    <t>ТСН-2001.15 Доп. 54, Сб. 2, т. 1, поз. 2</t>
  </si>
  <si>
    <t>Транспортные затраты</t>
  </si>
  <si>
    <t>ТСН-2001.15-1. Перевозка грунта</t>
  </si>
  <si>
    <t>ТСН-2001.15-1-3</t>
  </si>
  <si>
    <t>22</t>
  </si>
  <si>
    <t>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t>
  </si>
  <si>
    <t>Стоимость деревьев для посадки</t>
  </si>
  <si>
    <t>23</t>
  </si>
  <si>
    <t>Цена поставщика</t>
  </si>
  <si>
    <t>Груша плодовая с комом 1,5х1,5х0,65 м (или эквивалент)</t>
  </si>
  <si>
    <t>шт.</t>
  </si>
  <si>
    <t>Материалы</t>
  </si>
  <si>
    <t>Материалы, изделия и конструкции</t>
  </si>
  <si>
    <t>занесена вручную</t>
  </si>
  <si>
    <t>24</t>
  </si>
  <si>
    <t>Ива белая с комом 1,5х1,5х0,65 м (или эквивалент)</t>
  </si>
  <si>
    <t>25</t>
  </si>
  <si>
    <t>Клен остролистный 1,5х1,5х0,65 м (или эквивалент)</t>
  </si>
  <si>
    <t>26</t>
  </si>
  <si>
    <t>Липа мелколистная с комом 1,5х1,5х0,65 м (или эквивалент)</t>
  </si>
  <si>
    <t>27</t>
  </si>
  <si>
    <t>Рябина обыкновенная 1,5х1,5х0,65 м (или эквивалент)</t>
  </si>
  <si>
    <t>28</t>
  </si>
  <si>
    <t>Сосна обыкновенная с комом 1,5х1,5х0,65 м (или эквивалент)</t>
  </si>
  <si>
    <t>29</t>
  </si>
  <si>
    <t>Яблоня домашняя с комом 1,0х1,0х0,6 м (или эквивалент)</t>
  </si>
  <si>
    <t>Стоимость деревьев для восстановления отпада</t>
  </si>
  <si>
    <t>30</t>
  </si>
  <si>
    <t>31</t>
  </si>
  <si>
    <t>32</t>
  </si>
  <si>
    <t>33</t>
  </si>
  <si>
    <t>34</t>
  </si>
  <si>
    <t>35</t>
  </si>
  <si>
    <t>36</t>
  </si>
  <si>
    <t>вт.ч.НДС</t>
  </si>
  <si>
    <t>в том числе НДС 20%</t>
  </si>
  <si>
    <t>Уровень цен</t>
  </si>
  <si>
    <t>Сборник индексов</t>
  </si>
  <si>
    <t>Коэффициенты к ТСН-2001 МГЭ</t>
  </si>
  <si>
    <t>172</t>
  </si>
  <si>
    <t>_OBSM_</t>
  </si>
  <si>
    <t>9999990008</t>
  </si>
  <si>
    <t>Трудозатраты рабочих</t>
  </si>
  <si>
    <t>чел.-ч.</t>
  </si>
  <si>
    <t>2.1-1-24</t>
  </si>
  <si>
    <t>ТСН-2001.2. Доп. 1-42, п. 1-1-24 (010501)</t>
  </si>
  <si>
    <t>Экскаваторы на пневмоколесном тракторе гидравлические, объем ковша до 0,25 м3</t>
  </si>
  <si>
    <t>маш.-ч.</t>
  </si>
  <si>
    <t>1.4-6-8</t>
  </si>
  <si>
    <t>ТСН-2001.1. Доп. 1-42. Р. 4, о. 6, поз. 8</t>
  </si>
  <si>
    <t>Торф</t>
  </si>
  <si>
    <t>2.1-3-38</t>
  </si>
  <si>
    <t>ТСН-2001.2. Доп. 53. п.1-3-38 (032009)</t>
  </si>
  <si>
    <t>Краны на автомобильном ходу, грузоподъемность до 16 т</t>
  </si>
  <si>
    <t>2.1-5-18</t>
  </si>
  <si>
    <t>ТСН-2001.2. Доп. 56. п.1-5-18 (050902)</t>
  </si>
  <si>
    <t>Машины поливомоечные, емкость цистерны до 8 м3</t>
  </si>
  <si>
    <t>1.1-1-118</t>
  </si>
  <si>
    <t>ТСН-2001.1. Доп. 1-42. Р. 1, о. 1, поз. 118</t>
  </si>
  <si>
    <t>Вода</t>
  </si>
  <si>
    <t>9999990006</t>
  </si>
  <si>
    <t>Стоимость прочих материалов (ЭСН)</t>
  </si>
  <si>
    <t>руб.</t>
  </si>
  <si>
    <t>2.1-1-4</t>
  </si>
  <si>
    <t>ТСН-2001.2. Доп. 1-42, п. 1-1-4 (010105)</t>
  </si>
  <si>
    <t>Экскаваторы на гусеничном ходу гидравлические, объем ковша до 0,5 м3</t>
  </si>
  <si>
    <t>2.1-1-44</t>
  </si>
  <si>
    <t>ТСН-2001.2. Доп. 59. п.1-1-44 (012103)</t>
  </si>
  <si>
    <t>Бульдозеры гусеничные, мощность до 79 кВт (108 л.с.)</t>
  </si>
  <si>
    <t>2.1-18-39</t>
  </si>
  <si>
    <t>ТСН-2001.2. Доп. 43, п. 1-18-39 (184052)</t>
  </si>
  <si>
    <t>Автомобили-самосвалы для перевозки грунта, грузоподъемность до 14 т</t>
  </si>
  <si>
    <t>9797020000</t>
  </si>
  <si>
    <t>9797010000</t>
  </si>
  <si>
    <t>Деревья и кустарники с комом</t>
  </si>
  <si>
    <t>"УТВЕРЖДАЮ"</t>
  </si>
  <si>
    <t>Форма № 4б</t>
  </si>
  <si>
    <t>(наименование стройки и/или объекта)</t>
  </si>
  <si>
    <t>(наименование работ и затрат)</t>
  </si>
  <si>
    <t xml:space="preserve">Основание: </t>
  </si>
  <si>
    <t>В базисном уровне цен</t>
  </si>
  <si>
    <t>В текущем уровне цен</t>
  </si>
  <si>
    <t>Сметная стоимость</t>
  </si>
  <si>
    <t>Работы по монтажу оборудования</t>
  </si>
  <si>
    <t>Оборудование</t>
  </si>
  <si>
    <t>Прочие работы и затраты</t>
  </si>
  <si>
    <t>Средства на оплату труда</t>
  </si>
  <si>
    <t>Затраты труда</t>
  </si>
  <si>
    <t xml:space="preserve">Кроме того: </t>
  </si>
  <si>
    <t>№ п/п</t>
  </si>
  <si>
    <t>Шифр расценки и коды ресурсов</t>
  </si>
  <si>
    <t>Наименование работ и затрат</t>
  </si>
  <si>
    <t>Ед. изм.</t>
  </si>
  <si>
    <t>Кол-во
единиц</t>
  </si>
  <si>
    <t>Цена на
ед. изм.,
руб.</t>
  </si>
  <si>
    <t>Попра-
вочные
коэффи-
циенты</t>
  </si>
  <si>
    <t>Коэффи-
циенты
зимних
удорожа-
ний</t>
  </si>
  <si>
    <t>Всего
затрат в
базисном
уровне цен,
руб.</t>
  </si>
  <si>
    <t>Коэффи-
циенты
(индек-
сы) пере-
счета,
нормы
НР и СП</t>
  </si>
  <si>
    <t>ВСЕГО
затрат в
текущем
уровне цен,
руб.</t>
  </si>
  <si>
    <t>Составлен(а) по ТСН-2001 с учетом Дополнения №: 59</t>
  </si>
  <si>
    <t>№ и период сборника коэффициентов (индексов) пересчета: Коэффициенты к ТСН-2001 МГЭ №172 январь 2021 года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</si>
  <si>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</si>
  <si>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</si>
  <si>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</si>
  <si>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</si>
  <si>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</si>
  <si>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</si>
  <si>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</si>
  <si>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</si>
  <si>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</si>
  <si>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</si>
  <si>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>Всего по позиции:</t>
  </si>
  <si>
    <t xml:space="preserve"> руб.</t>
  </si>
  <si>
    <t>___________________________</t>
  </si>
  <si>
    <t>" ___ " ___________ 20 ___ г.</t>
  </si>
  <si>
    <t>Единица измерения</t>
  </si>
  <si>
    <t>Количество</t>
  </si>
  <si>
    <t>Примечание</t>
  </si>
  <si>
    <t>Заказчик _________________</t>
  </si>
  <si>
    <t>Подрядчик _________________</t>
  </si>
  <si>
    <t>Подписи членов комиссии:</t>
  </si>
  <si>
    <t>Шифр норматива и коды ресурсов</t>
  </si>
  <si>
    <t>Наименование работ и затрат, характеристика оборудования</t>
  </si>
  <si>
    <t>Количество на единицу</t>
  </si>
  <si>
    <t>Попра-вочные коэффи-
циенты</t>
  </si>
  <si>
    <t>Количество общее</t>
  </si>
  <si>
    <r>
      <t>Полив зеленых насаждений из шланга поливомоечной машины (К=4)</t>
    </r>
    <r>
      <rPr>
        <i/>
        <sz val="11"/>
        <rFont val="Arial"/>
        <family val="2"/>
        <charset val="204"/>
      </rPr>
      <t xml:space="preserve">
Поправки к: 
МР )*4;   
ЭММ )*4;   
ЗПМ )*4;   
ОЗП )*4;   
Труд.Стр. )*4;   
Труд.Маш. )*4</t>
    </r>
  </si>
  <si>
    <r>
      <t>Прополка и рыхление лунок или канавок (К=4)</t>
    </r>
    <r>
      <rPr>
        <i/>
        <sz val="11"/>
        <rFont val="Arial"/>
        <family val="2"/>
        <charset val="204"/>
      </rPr>
      <t xml:space="preserve">
Поправки к: 
МР )*4;   
ЭММ )*4;   
ЗПМ )*4;   
ОЗП )*4;   
Труд.Стр. )*4;   
Труд.Маш. )*4</t>
    </r>
  </si>
  <si>
    <t>УТВЕРЖДАЮ:</t>
  </si>
  <si>
    <t>Заказчик:</t>
  </si>
  <si>
    <t>Исполняющий обязанности заместителя директора ГКУ г. Москвы "Дирекция Мосприроды"</t>
  </si>
  <si>
    <t>_________________________А.В. Алексеев</t>
  </si>
  <si>
    <t>м.п. "_____"________________ 2021 г.</t>
  </si>
  <si>
    <t>в том числе:</t>
  </si>
  <si>
    <t xml:space="preserve">Посадка деревьев </t>
  </si>
  <si>
    <t>Восстановление отпада и уходные работы</t>
  </si>
  <si>
    <t>Итого по локальным сметам № 1, № 2, № 3 (с учетом НДС):</t>
  </si>
  <si>
    <t>Посадка деревьев</t>
  </si>
  <si>
    <t>Расчет</t>
  </si>
  <si>
    <t>начальной (максимальной) цены контракта (цены лота)</t>
  </si>
  <si>
    <t>на выполнение подрядных работ по строительству, реконструкции,</t>
  </si>
  <si>
    <t>капитальному ремонту, сносу объектов капитального строительства и</t>
  </si>
  <si>
    <t>строительных работ, выполняемых на объектах, не являющихся</t>
  </si>
  <si>
    <t>объектами капитального строительства</t>
  </si>
  <si>
    <t>Основания для расчета:</t>
  </si>
  <si>
    <t>Наименование работ и услуг</t>
  </si>
  <si>
    <t xml:space="preserve">Утвержденная сметная стоимость строительства в текущем уровне цен на январь 
2021 г. </t>
  </si>
  <si>
    <t>Сметная стоимость строительства в текущем уровне цен, пересчитанная на момент формирования начальной цены</t>
  </si>
  <si>
    <t>Начальная (максимальная) цена контракта с учетом прогнозного индекса инфляции подрядных работ и затрат, К инфляции строительства = 1</t>
  </si>
  <si>
    <t>2021 год
 (Посадка деревьев)</t>
  </si>
  <si>
    <t>Всего 
по объекту</t>
  </si>
  <si>
    <t>Стоимость с учетом коэффициента финансирования К=</t>
  </si>
  <si>
    <t xml:space="preserve">в том числе НДС </t>
  </si>
  <si>
    <t>Заказчик города Москвы:</t>
  </si>
  <si>
    <t>А.В. Алексеев</t>
  </si>
  <si>
    <t>Строительно-монтажные работы
(Локальная смета № 1)</t>
  </si>
  <si>
    <t>Стоимость посадочного материала 
(Локальная смета № 3)</t>
  </si>
  <si>
    <t>Прочие работы
(Локальная смета № 2)</t>
  </si>
  <si>
    <t>Итого стоимость с учетом НДС</t>
  </si>
  <si>
    <t xml:space="preserve">в том числе: НДС 20% </t>
  </si>
  <si>
    <t>1. Локальные сметы № 1, № 2, № 3</t>
  </si>
  <si>
    <t>Новый объект</t>
  </si>
  <si>
    <t>Исполняющий обязанности                                             заместителя директора                                                    ГКУ г. Москвы "Дирекция Мосприроды"</t>
  </si>
  <si>
    <t>____________________А.В. Алексеев</t>
  </si>
  <si>
    <t>Исполняющий обязанности заместителя директора</t>
  </si>
  <si>
    <t>ГКУ г. Москвы «Дирекция Мосприроды»</t>
  </si>
  <si>
    <t>__________________________/А.В.Алексеев/</t>
  </si>
  <si>
    <t>м.п. «_______»_________________20         г.</t>
  </si>
  <si>
    <t xml:space="preserve">Определение начальной (максимальной) цены контракта на поставку товаров методом анализа рыночной стоимости </t>
  </si>
  <si>
    <t>№ п.п.</t>
  </si>
  <si>
    <t>Категории</t>
  </si>
  <si>
    <t>Минимальная цена за единицу товара, в т.ч. НДС 20%</t>
  </si>
  <si>
    <t>Начальная (максимальная) цена, в т.ч. НДС 20%</t>
  </si>
  <si>
    <t>Наименование поставщика</t>
  </si>
  <si>
    <t>Поставщик № 1</t>
  </si>
  <si>
    <t>Поставщик № 2</t>
  </si>
  <si>
    <t>Поставщик № 3</t>
  </si>
  <si>
    <t>Наименование товара технические характеристики</t>
  </si>
  <si>
    <t>Груша плодовая (обыкновенная) (высота растения - свыше 5 м; высота штамба 1,8-2,2 м; диаметр ствола на высоте 1,3 м от корневой шейки, 7 см; количество скелетных ветвей,  не менее 8 шт; размер кома - 1,5х1,5х0,65м)</t>
  </si>
  <si>
    <t>Количество единиц товара</t>
  </si>
  <si>
    <t>Модель производитель</t>
  </si>
  <si>
    <t>Цена за единицу товара, в т.ч. НДС 20%</t>
  </si>
  <si>
    <t>Итого</t>
  </si>
  <si>
    <t>Ива белая (серебристая) (высота растения - свыше 5 м; высота штамба 1,8-2,2 м; диаметр ствола на высоте 1,3 м от корневой шейки, 7 см; количество скелетных ветвей,  не менее 8 шт; размер кома - 1,5х1,5х0,65м)</t>
  </si>
  <si>
    <t>Клен остролистный (высота растения - свыше 5 м; высота штамба 1,8-2,2 м; диаметр ствола на высоте 1,3 м от корневой шейки, 7 см; количество скелетных ветвей,  не менее 8 шт; размер кома - 1,5х1,5х0,65м)</t>
  </si>
  <si>
    <t>Цена за единицу товара</t>
  </si>
  <si>
    <t>Липа мелколистная (высота растения - свыше 5 м; высота штамба 1,8-2,2 м; диаметр ствола на высоте 1,3 м от корневой шейки, 7 см; количество скелетных ветвей,  не менее 8 шт; размер кома - 1,5х1,5х0,65м)</t>
  </si>
  <si>
    <t>Рябина обыкновенная (высота растения - свыше 5 м; высота штамба 1,8-2,2 м; диаметр ствола на высоте 1,3 м от корневой шейки, 7 см; количество скелетных ветвей,  не менее 8 шт; размер кома - 1,5х1,5х0,65м)</t>
  </si>
  <si>
    <t>Сосна обыкновенная (высота растения - свыше 3 м; диаметр кроны не менее 2 м; размер кома - 1,5х1,5х0,65м)</t>
  </si>
  <si>
    <t>Яблоня домашняя (высота растения - свыше 3,5 м; высота штамба не менее 0,8 м; диаметр ствола на высоте 1,3 м от корневой шейки, 4 см;  диаметр кроны не менее 1,5 м; размер кома - 1,0х1,0х0,6м)</t>
  </si>
  <si>
    <t>ИТОГО:</t>
  </si>
  <si>
    <t>В т.ч. НДС 20%</t>
  </si>
  <si>
    <t>Исполняющий обязанности заместителя директора                                                   ГКУ г. Москвы "Дирекция Мосприроды"</t>
  </si>
  <si>
    <t>_______________________________А.В.Алексеев</t>
  </si>
  <si>
    <t>М.П. "_____"_________________________2021  г.</t>
  </si>
  <si>
    <t>Адрес</t>
  </si>
  <si>
    <t>Порода деревьев</t>
  </si>
  <si>
    <t>Кол-во деревьев, шт.</t>
  </si>
  <si>
    <t>Дирекция ПТ "Битцевский лес"</t>
  </si>
  <si>
    <t>ПИП «Битцевский лес», (Соловьиный пр-д, д. 6.)</t>
  </si>
  <si>
    <t>Рябина обыкновенная</t>
  </si>
  <si>
    <t>ПИП «Битцевский лес», (Соловьиный проезд, д. 1)</t>
  </si>
  <si>
    <t>Липа мелколистная</t>
  </si>
  <si>
    <t>Сосна обыкновенная</t>
  </si>
  <si>
    <t xml:space="preserve">ПИП «Битцевский лес», пересечение ул. Миклухо-Маклая и Севастопольского пр-та </t>
  </si>
  <si>
    <t>Итого:</t>
  </si>
  <si>
    <t>Всего по породам:</t>
  </si>
  <si>
    <t>Дирекция ПТ "Долина р. Сетунь"</t>
  </si>
  <si>
    <t>ПЗ «Долина реки Сетунь», ул. Рябиновая, напротив вл. 43, кв. 5, выд. 122</t>
  </si>
  <si>
    <t>ПЗ «Долина реки Сетунь», между ул. Минская и ул. Улофа Пальме, место массового отдыха Мосфильмовский пруд, кв. 2, выд. 74, 115</t>
  </si>
  <si>
    <t>Ива белая (серебристая)</t>
  </si>
  <si>
    <t>ПЗ «Долина реки Сетунь», напротив пересечения ул. Нежинская и ул. Веерная, кв. 3, выд. 63, 73</t>
  </si>
  <si>
    <t>Клен остролистный</t>
  </si>
  <si>
    <t>ПЗ «Долина реки Сетунь», ул. Кременчугская, напротив д. 13, кв. 3, выд. 36</t>
  </si>
  <si>
    <t>ПЗ «Долина реки Сетунь», ул. Рябиновая, напротив д. 24А, кв. 5, выд. 92, 95</t>
  </si>
  <si>
    <t>ПЗ «Долина реки Сетунь», ул. Рябиновая, напротив вл. 24, кв. 5, выд. 82, 83</t>
  </si>
  <si>
    <t>Квартал № 55 Ульяновского лесопарка, напротив пересечения ул. Центральная и Киевского ш.</t>
  </si>
  <si>
    <t>Дирекция ПТ "ЗелАО"</t>
  </si>
  <si>
    <t>Крюковский лесопарк, 8 квартал, корп. 1113</t>
  </si>
  <si>
    <t>Крюковский лесопарк, 16 квартал, корп. 1127</t>
  </si>
  <si>
    <t>Крюковский лесопарк, 16 квартал, корп. 1131</t>
  </si>
  <si>
    <t>Крюковский лесопарк, 19 квартал, Каштановая аллея, д.2, стр. 8</t>
  </si>
  <si>
    <t>парк Ровесник, проезд 5253, корп. 519</t>
  </si>
  <si>
    <t>Дирекция ПТ "Измайлово" и "Косинский"</t>
  </si>
  <si>
    <t>ПИП «Измайлово», лесопарк «Измайловский», кв.30</t>
  </si>
  <si>
    <t>ПИП «Косинский», кв.3, выд.50, южная часть</t>
  </si>
  <si>
    <t>ПИП «Косинский», кв.4</t>
  </si>
  <si>
    <t>Дирекция ПТ "Кузьминки-Люблино"</t>
  </si>
  <si>
    <t>ПЗ "Жулебинский" кв.13, выд. 10-11 (ул. Привольная, д. 42)</t>
  </si>
  <si>
    <t>ПЗ "Жулебинский" кв.13, выд. 1 (ул. Привольная, д. 17к3)</t>
  </si>
  <si>
    <t xml:space="preserve">ПИП «Кузьминки-Люблино», кв. 11, выд.17, (ул. Ставропольский проезд, д. 17) </t>
  </si>
  <si>
    <t>ПИП «Кузьминки-Люблино», кв. 4, выд. 22, (ул. Юных Ленинцев, д. 102)</t>
  </si>
  <si>
    <t>ПИП «Кузьминки-Люблино», кв. 4, выд. 2, (ул. Юных Ленинцев, д. 102)</t>
  </si>
  <si>
    <t xml:space="preserve">ПИП «Кузьминки-Люблино», кв. 11, выд.7, (ул. Ставропольский проезд, д. 17) </t>
  </si>
  <si>
    <t>ПИП «Кузьминки-Люблино», кв. 4, выд. 7, (ул. Юных Ленинцев, д. 102)</t>
  </si>
  <si>
    <t>Дирекция ПТ "Москворецкий"</t>
  </si>
  <si>
    <t xml:space="preserve">ПИП «Москворецкий»  Крылатская пойма уч. 12, кв. 1, выд. 14, 15, 18, 19, 20, 23, 43 </t>
  </si>
  <si>
    <t xml:space="preserve">ПИП «Москворецкий» Крылатская пойма уч. 12, кв. 1, выд. 23 </t>
  </si>
  <si>
    <t xml:space="preserve">ПИП «Москворецкий» Крылатская пойма уч. 12, кв. 1, выд. 23, 77 </t>
  </si>
  <si>
    <t>ПИП «Москворецкий»,  Татаровская пойма (уч. 9, кв. 1, выд. 28-31</t>
  </si>
  <si>
    <t>ПИП «Москворецкий», Кировская пойма, уч. 3, кв. 1, 3, 4</t>
  </si>
  <si>
    <t xml:space="preserve">ПИП «Москворецкий», Кировская пойма, уч. 3, кв. 5, выд. 81 – 84 </t>
  </si>
  <si>
    <t>ПИП «Москворецкий», Кировская пойма, уч. 3, кв. 5, выд. 55, 60</t>
  </si>
  <si>
    <t>ПИП «Москворецкий», Кировская пойма, уч. 3, кв. 3, выд. 11-14</t>
  </si>
  <si>
    <t xml:space="preserve">ПИП «Москворецкий» СЗАО, Кировский, уч. 2, кв. 1, выд. 3, 5, 8-15 </t>
  </si>
  <si>
    <t xml:space="preserve">ПИП «Москворецкий», Кировская пойма, уч. 3, кв. 5, выд. 1, 8, 10, 11, 13, 16, 17, 20, 22, 32, 36, 37, 40, 43 </t>
  </si>
  <si>
    <t xml:space="preserve">ПИП «Москворецкий», Кировская пойма, уч. 3, кв. 5, выд. 43, 45, 52, 53, 55, 58-63 </t>
  </si>
  <si>
    <t xml:space="preserve">ПИП «Москворецкий», Кировская пойма, уч. 3, кв. 5, выд. 58-59 </t>
  </si>
  <si>
    <t>ПИП «Москворецкий», Кировская пойма, уч. 3, кв. 1, выд. 1, 2, 3, 5</t>
  </si>
  <si>
    <t xml:space="preserve">ПИП «Москворецкий», Кировская пойма, уч. 3, кв. 3, выд. 1-3, 6-8 </t>
  </si>
  <si>
    <t>ПИП «Москворецкий», Кировская пойма, уч. 3, кв. 5, выд. 2,3,9</t>
  </si>
  <si>
    <t xml:space="preserve">ПИП «Москворецкий», Кировская пойма (уч. 3, кв. 5, выд. 38, 39, 43, 44 </t>
  </si>
  <si>
    <t xml:space="preserve">ПИП «Москворецкий», Мыс Чистого залива, уч. 6, кв. 1, выд. 17, 18, 26, 30 </t>
  </si>
  <si>
    <t xml:space="preserve">ПИП «Москворецкий», Троице-Лыковская пойма, уч. 8, кв. 2, выд. 10, 24-28 </t>
  </si>
  <si>
    <t>ПИП «Москворецкий», Строгинское шоссе, уч. 4, кв. 2, выд. 6,7,8,11,12</t>
  </si>
  <si>
    <t>ПИП «Москворецкий», Строгинское шоссе, уч. 4, кв. 2, выд. 4</t>
  </si>
  <si>
    <t>Дирекция ПТ "САО, СВАО и Сокольники"</t>
  </si>
  <si>
    <t>Природный комплекс № 34 (КЗ "Алтефьевский"), Алтуфьевское шоссе, д. 102 Б</t>
  </si>
  <si>
    <t>Природный комплекс №  38 (ПЗ "Медведковский"), Студёный проезд, д. 2, корп. 1</t>
  </si>
  <si>
    <t>Природный комплекс  № 21 ("Парк Долгие пруды"), кв-л 119,  Долгопрудненское шоссе, 3</t>
  </si>
  <si>
    <t>ООПТ "Останкино",  уч. №8, пр-д Дежнёва, 5к1</t>
  </si>
  <si>
    <t>ООПТ "Останкино", уч. №8, пр-д Дежнёва, 3</t>
  </si>
  <si>
    <t>ООПТ "Останкино", уч. №8,, пр-д Дежнёва, 3</t>
  </si>
  <si>
    <t>ООПТ "Останкино", уч. №8, ул. Заповедная, 26</t>
  </si>
  <si>
    <t>ООПТ "Останкино", уч. №8, ул. Заповедная, 24</t>
  </si>
  <si>
    <t>ООПТ "Останкино", уч. №8,ул. Заповедная, 22</t>
  </si>
  <si>
    <t>ООПТ "Останкино", уч. №8,ул. Заповедная, 24</t>
  </si>
  <si>
    <t>ООПТ "Останкино", уч. №8,Чукотский пр-д, 8</t>
  </si>
  <si>
    <t>ООПТ "Останкино", уч. №7, пр-д Шокальского, 52с1</t>
  </si>
  <si>
    <t>Природный комплекс № 25  (ПЗ "Северный"), Челобитьевское шоссе, д. 14, корп. 1</t>
  </si>
  <si>
    <t>Дирекция ПТ "Тропарево" и "Теплый Стан"</t>
  </si>
  <si>
    <t>ПТ «Тропарево» и «Теплый Стан»  Кв.23, выд. 66, 70</t>
  </si>
  <si>
    <t>ПТ «Тропарево» и «Теплый Стан», кв. 22, выд. 107</t>
  </si>
  <si>
    <t>ПТ «Тропарево» и «Теплый Стан», кв. 22, выд. 32</t>
  </si>
  <si>
    <t>ПТ «Тропарево» и «Теплый Стан», кв. 22, выд. 39, 51</t>
  </si>
  <si>
    <t>ПТ «Тропарево» и «Теплый Стан», кв. 22, выд. 91, 72</t>
  </si>
  <si>
    <t>ПТ «Тропарево» и «Теплый Стан», кв 23, выд 128, 133 ч 1; 137, 142, 143</t>
  </si>
  <si>
    <t>ПТ «Тропарево» и «Теплый Стан», кв. 22, выд. 40</t>
  </si>
  <si>
    <t>ПТ «Тропарево» и «Теплый Стан», кв. 22, выд. 125, 126</t>
  </si>
  <si>
    <t>ПТ "Тропарёво" и "Тёплый Стан", кв 22, выд 101</t>
  </si>
  <si>
    <t>ПТ «Тропарево» и «Теплый Стан»  Кв.23, выд. 74,75</t>
  </si>
  <si>
    <t>ПТ «Тропарево» и «Теплый Стан», кв. 22, выд. 8</t>
  </si>
  <si>
    <t>ПТ «Тропарево» и «Теплый Стан», кв. 22, выд. 56</t>
  </si>
  <si>
    <t>ПТ «Тропарево» и «Теплый Стан», кв. 22, выд. 70</t>
  </si>
  <si>
    <t>ПТ «Тропарево» и «Теплый Стан», кв 23, выд 139</t>
  </si>
  <si>
    <t>ПТ «Тропарево» и «Теплый Стан», кв 23, выд 128, 133; 137, 142, 143 ч 2</t>
  </si>
  <si>
    <t>ПТ «Тропарево» и «Теплый Стан», кв. 22, выд. 17, 19</t>
  </si>
  <si>
    <t>ПТ «Тропарево» и «Теплый Стан», кв. 22, выд. 23</t>
  </si>
  <si>
    <t>ПТ «Тропарево» и «Теплый Стан», кв 22,  выд 119</t>
  </si>
  <si>
    <t>ПТ «Тропарево» и «Теплый Стан», кв 22, выд 48</t>
  </si>
  <si>
    <t>Дирекция ПТ "Тушинский" и "Покровское-Стрешнево"</t>
  </si>
  <si>
    <t>Территория ПИП «Тушинский», кв. 7, выд. 16,19,25 (70-ый км. МКАД внутренняя сторона)</t>
  </si>
  <si>
    <t>Груша плодовая</t>
  </si>
  <si>
    <t>Яблоня домашняя</t>
  </si>
  <si>
    <t>Территория ПИП «Тушинский», кв. 8, выд. 3,6 (Фабричная ул., д.6)</t>
  </si>
  <si>
    <t xml:space="preserve">Территория ПИП «Тушинский», кв. 10, выд. 37,45,60,63,66 (69-ый км МКАД, внутренняя сторона) </t>
  </si>
  <si>
    <t>Территория ПИП «Тушинский», кв. 9, выд. 39,40,41,42 (Пятницкое шоссе, д. 10)</t>
  </si>
  <si>
    <t>Лесопарк «Покровское-Стрешнево», (Всехсвятская роща) по Авиационной улице (объект природного комплекса № 94),(ул. Авиационная, д.24)</t>
  </si>
  <si>
    <t>Лесопарк «Покровское-Стрешнево», (Всехсвятская роща) по Авиационной улице (объект природного комплекса № 94), (ул. Авиационная, д.24)</t>
  </si>
  <si>
    <t>Лесопарк «Покровское-Стрешнево», (Всехсвятская роща) по Авиационной улице (объект природного комплекса № 94), (ул. Авиационная, д.6),  кв. 11</t>
  </si>
  <si>
    <t>ООПТ регионального значения «Ландшафтный заказник «Долина реки Сходни в Куркино»  Кв. 4 выд. 49,64,60,69, (ул. Ландышевая, д.14, стр.1)</t>
  </si>
  <si>
    <t>ООПТ регионального значения «Ландшафтный заказник «Долина реки Сходни в Куркино» Кв. 3 выдел 2,3,7, (ул. Юровская, д.50)</t>
  </si>
  <si>
    <t>ООПТ регионального значения «Ландшафтный заказник «Долина реки Сходни в Куркино» кв. 2, выд. 55, (Машкинское шоссе, вл. 15)</t>
  </si>
  <si>
    <t xml:space="preserve">ПК № 45(Химкинский лесопарк), кв. 1, выд. 85(ул. Левобережная, д. 32) </t>
  </si>
  <si>
    <t>Дирекция ПТ "Царицыно"</t>
  </si>
  <si>
    <t>ПИП «Царицыно», «Долина реки Язвенка», кв. 3, 24-й км МКАД</t>
  </si>
  <si>
    <t>ПИП «Царицыно», «Долина реки Язвенка» кв. 9, 24-й км МКАД</t>
  </si>
  <si>
    <t>ПИП «Царицыно», Физкультурно-оздоровительный комплекс, Шипиловский проезд, напротив д. 63, "Долина реки Язвенка", кв. 3</t>
  </si>
  <si>
    <t>Общий итог:</t>
  </si>
  <si>
    <t>Приложение к локальной смете № 3 
(породный состав)</t>
  </si>
  <si>
    <t>Приложение 1 к ПРОТОКОЛУ НАЧАЛЬНОЙ (МАКСИМАЛЬНОЙ) ЦЕНЫ ГОСУДАРСТВЕННОГО КОНТРАКТА 
(ЦЕНЫ ЛОТА)</t>
  </si>
  <si>
    <t xml:space="preserve">Озеленение особо охраняемых природных территорий города Москвы в рамках программы "Наше дерево" </t>
  </si>
  <si>
    <t>2022 год 
(Уходные работы и восстановление отпада деревьев)</t>
  </si>
  <si>
    <t xml:space="preserve">Стоимость посадочного материала по Объекту: Озеленение особо охраняемых природных территорий города Москвы в рамках программы "Наше дерево" </t>
  </si>
  <si>
    <t>Итого по локальной смете № 3: 
Стоимость посадочного материала (Заключение ГАУИ от 16.03.2021 г. № 0718-5-1-1-160321) по объекту: "Озеленение особо охраняемых природных территорий города Москвы в рамках программы "Наше дерево"</t>
  </si>
  <si>
    <t>Ведомость объемов работ</t>
  </si>
  <si>
    <t>Озеленение особо охраняемых природных территорий города Москвы в рамках программы «Наше дерево»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</si>
</sst>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;[Red]\-\ #,##0.00"/>
    <numFmt numFmtId="165" formatCode="#,##0.00####;[Red]\-\ #,##0.00####"/>
    <numFmt numFmtId="166" formatCode="#,##0.00_ ;[Red]\-#,##0.00\ "/>
    <numFmt numFmtId="167" formatCode="#,##0.0000"/>
    <numFmt numFmtId="168" formatCode="0.0"/>
  </numFmts>
  <fonts count="70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i/>
      <sz val="11"/>
      <name val="Arial"/>
      <family val="2"/>
      <charset val="204"/>
    </font>
    <font>
      <i/>
      <sz val="9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color theme="5" tint="-0.249977111117893"/>
      <name val="Arial"/>
      <family val="2"/>
      <charset val="204"/>
    </font>
    <font>
      <i/>
      <u/>
      <sz val="11"/>
      <color theme="5" tint="-0.249977111117893"/>
      <name val="Arial"/>
      <family val="2"/>
      <charset val="204"/>
    </font>
    <font>
      <sz val="9"/>
      <color theme="0"/>
      <name val="Arial"/>
      <family val="2"/>
      <charset val="204"/>
    </font>
    <font>
      <b/>
      <sz val="10"/>
      <color indexed="12"/>
      <name val="Arial"/>
      <family val="2"/>
      <charset val="204"/>
    </font>
    <font>
      <i/>
      <sz val="12"/>
      <name val="Arial"/>
      <family val="2"/>
      <charset val="204"/>
    </font>
    <font>
      <b/>
      <sz val="11"/>
      <color rgb="FF007E39"/>
      <name val="Arial"/>
      <family val="2"/>
      <charset val="204"/>
    </font>
    <font>
      <b/>
      <sz val="10"/>
      <color rgb="FF007E39"/>
      <name val="Arial"/>
      <family val="2"/>
      <charset val="204"/>
    </font>
    <font>
      <i/>
      <sz val="11"/>
      <color theme="9" tint="-0.499984740745262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i/>
      <u/>
      <sz val="11"/>
      <name val="Arial"/>
      <family val="2"/>
      <charset val="204"/>
    </font>
    <font>
      <i/>
      <sz val="11"/>
      <color rgb="FF0070C0"/>
      <name val="Arial"/>
      <family val="2"/>
      <charset val="204"/>
    </font>
    <font>
      <b/>
      <sz val="18"/>
      <name val="Times New Roman"/>
      <family val="1"/>
      <charset val="204"/>
    </font>
    <font>
      <sz val="12"/>
      <name val="Times New Roman"/>
      <family val="1"/>
      <charset val="204"/>
    </font>
    <font>
      <sz val="1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4"/>
      <color theme="9" tint="-0.499984740745262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2"/>
      <color rgb="FF0070C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3"/>
      <color indexed="8"/>
      <name val="Calibri"/>
      <family val="2"/>
      <scheme val="minor"/>
    </font>
    <font>
      <sz val="14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9" fillId="0" borderId="0"/>
    <xf numFmtId="0" fontId="43" fillId="0" borderId="0"/>
    <xf numFmtId="0" fontId="9" fillId="0" borderId="0"/>
    <xf numFmtId="43" fontId="56" fillId="0" borderId="0" applyFont="0" applyFill="0" applyBorder="0" applyAlignment="0" applyProtection="0"/>
    <xf numFmtId="0" fontId="57" fillId="0" borderId="0"/>
  </cellStyleXfs>
  <cellXfs count="3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center" vertical="top" wrapText="1"/>
    </xf>
    <xf numFmtId="164" fontId="16" fillId="0" borderId="0" xfId="0" applyNumberFormat="1" applyFont="1"/>
    <xf numFmtId="0" fontId="16" fillId="0" borderId="0" xfId="0" applyFont="1"/>
    <xf numFmtId="164" fontId="11" fillId="0" borderId="0" xfId="0" applyNumberFormat="1" applyFont="1"/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165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9" fillId="0" borderId="0" xfId="0" applyFont="1" applyAlignment="1">
      <alignment vertical="top" wrapText="1"/>
    </xf>
    <xf numFmtId="164" fontId="17" fillId="0" borderId="0" xfId="0" applyNumberFormat="1" applyFont="1" applyAlignment="1">
      <alignment horizontal="right"/>
    </xf>
    <xf numFmtId="0" fontId="11" fillId="0" borderId="0" xfId="0" quotePrefix="1" applyFont="1" applyAlignment="1">
      <alignment horizontal="right" wrapText="1"/>
    </xf>
    <xf numFmtId="164" fontId="0" fillId="0" borderId="0" xfId="0" applyNumberFormat="1"/>
    <xf numFmtId="164" fontId="11" fillId="0" borderId="0" xfId="0" applyNumberFormat="1" applyFont="1" applyAlignment="1">
      <alignment horizontal="right"/>
    </xf>
    <xf numFmtId="0" fontId="11" fillId="0" borderId="5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right" wrapText="1"/>
    </xf>
    <xf numFmtId="0" fontId="11" fillId="0" borderId="5" xfId="0" applyFont="1" applyBorder="1" applyAlignment="1">
      <alignment horizontal="right"/>
    </xf>
    <xf numFmtId="165" fontId="11" fillId="0" borderId="5" xfId="0" applyNumberFormat="1" applyFont="1" applyBorder="1" applyAlignment="1">
      <alignment horizontal="right"/>
    </xf>
    <xf numFmtId="0" fontId="11" fillId="0" borderId="5" xfId="0" applyFont="1" applyBorder="1" applyAlignment="1">
      <alignment horizontal="right" wrapText="1"/>
    </xf>
    <xf numFmtId="164" fontId="11" fillId="0" borderId="5" xfId="0" applyNumberFormat="1" applyFont="1" applyBorder="1" applyAlignment="1">
      <alignment horizontal="right"/>
    </xf>
    <xf numFmtId="0" fontId="0" fillId="0" borderId="6" xfId="0" applyBorder="1"/>
    <xf numFmtId="0" fontId="16" fillId="0" borderId="6" xfId="0" applyFont="1" applyBorder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right" wrapText="1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/>
    </xf>
    <xf numFmtId="0" fontId="16" fillId="0" borderId="0" xfId="0" applyFont="1" applyAlignment="1">
      <alignment horizontal="left" vertical="top"/>
    </xf>
    <xf numFmtId="0" fontId="13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3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 wrapText="1"/>
    </xf>
    <xf numFmtId="165" fontId="11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 wrapText="1"/>
    </xf>
    <xf numFmtId="165" fontId="16" fillId="0" borderId="3" xfId="0" applyNumberFormat="1" applyFont="1" applyBorder="1" applyAlignment="1">
      <alignment horizontal="right"/>
    </xf>
    <xf numFmtId="0" fontId="0" fillId="0" borderId="4" xfId="0" applyBorder="1"/>
    <xf numFmtId="0" fontId="9" fillId="0" borderId="4" xfId="0" applyFont="1" applyBorder="1" applyAlignment="1">
      <alignment vertical="top" wrapText="1"/>
    </xf>
    <xf numFmtId="0" fontId="19" fillId="0" borderId="0" xfId="0" applyFont="1" applyFill="1" applyAlignment="1"/>
    <xf numFmtId="0" fontId="21" fillId="0" borderId="0" xfId="0" applyFont="1" applyFill="1"/>
    <xf numFmtId="0" fontId="21" fillId="0" borderId="0" xfId="0" applyFont="1" applyFill="1" applyAlignment="1"/>
    <xf numFmtId="0" fontId="22" fillId="0" borderId="0" xfId="0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Border="1" applyAlignment="1">
      <alignment wrapText="1"/>
    </xf>
    <xf numFmtId="0" fontId="13" fillId="0" borderId="0" xfId="0" applyFont="1"/>
    <xf numFmtId="4" fontId="17" fillId="0" borderId="0" xfId="0" applyNumberFormat="1" applyFont="1"/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" fontId="11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applyFont="1" applyAlignment="1"/>
    <xf numFmtId="0" fontId="24" fillId="0" borderId="0" xfId="0" applyFont="1"/>
    <xf numFmtId="164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4" fontId="9" fillId="0" borderId="0" xfId="0" applyNumberFormat="1" applyFont="1"/>
    <xf numFmtId="4" fontId="27" fillId="0" borderId="0" xfId="0" applyNumberFormat="1" applyFont="1"/>
    <xf numFmtId="4" fontId="28" fillId="0" borderId="0" xfId="0" applyNumberFormat="1" applyFont="1"/>
    <xf numFmtId="166" fontId="17" fillId="0" borderId="0" xfId="0" applyNumberFormat="1" applyFont="1"/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right"/>
    </xf>
    <xf numFmtId="4" fontId="11" fillId="0" borderId="0" xfId="0" applyNumberFormat="1" applyFont="1" applyAlignment="1">
      <alignment wrapText="1"/>
    </xf>
    <xf numFmtId="4" fontId="32" fillId="0" borderId="0" xfId="0" applyNumberFormat="1" applyFont="1"/>
    <xf numFmtId="4" fontId="33" fillId="0" borderId="0" xfId="0" applyNumberFormat="1" applyFont="1"/>
    <xf numFmtId="166" fontId="31" fillId="0" borderId="0" xfId="0" applyNumberFormat="1" applyFont="1" applyAlignment="1">
      <alignment horizontal="right"/>
    </xf>
    <xf numFmtId="4" fontId="34" fillId="0" borderId="0" xfId="0" applyNumberFormat="1" applyFont="1" applyAlignment="1">
      <alignment wrapText="1"/>
    </xf>
    <xf numFmtId="4" fontId="17" fillId="0" borderId="0" xfId="0" applyNumberFormat="1" applyFont="1" applyAlignment="1">
      <alignment wrapText="1"/>
    </xf>
    <xf numFmtId="0" fontId="35" fillId="0" borderId="0" xfId="0" applyFont="1"/>
    <xf numFmtId="0" fontId="17" fillId="0" borderId="0" xfId="0" applyFont="1"/>
    <xf numFmtId="0" fontId="26" fillId="0" borderId="0" xfId="0" applyFont="1" applyAlignment="1">
      <alignment wrapText="1"/>
    </xf>
    <xf numFmtId="0" fontId="36" fillId="0" borderId="0" xfId="0" applyFont="1"/>
    <xf numFmtId="0" fontId="36" fillId="0" borderId="0" xfId="0" applyFont="1" applyAlignment="1">
      <alignment wrapText="1"/>
    </xf>
    <xf numFmtId="164" fontId="3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4" fontId="27" fillId="0" borderId="0" xfId="0" applyNumberFormat="1" applyFont="1" applyAlignment="1">
      <alignment wrapText="1"/>
    </xf>
    <xf numFmtId="4" fontId="37" fillId="0" borderId="0" xfId="0" applyNumberFormat="1" applyFont="1" applyAlignment="1">
      <alignment wrapText="1"/>
    </xf>
    <xf numFmtId="4" fontId="28" fillId="0" borderId="0" xfId="0" applyNumberFormat="1" applyFont="1" applyAlignment="1">
      <alignment wrapText="1"/>
    </xf>
    <xf numFmtId="4" fontId="37" fillId="0" borderId="0" xfId="0" applyNumberFormat="1" applyFont="1"/>
    <xf numFmtId="0" fontId="10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0" fontId="13" fillId="0" borderId="0" xfId="0" applyFont="1" applyAlignment="1">
      <alignment horizontal="right" wrapText="1"/>
    </xf>
    <xf numFmtId="4" fontId="38" fillId="0" borderId="0" xfId="0" applyNumberFormat="1" applyFont="1"/>
    <xf numFmtId="166" fontId="1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40" fillId="0" borderId="0" xfId="0" applyFont="1" applyFill="1"/>
    <xf numFmtId="0" fontId="41" fillId="0" borderId="0" xfId="0" applyFont="1" applyFill="1"/>
    <xf numFmtId="0" fontId="42" fillId="0" borderId="0" xfId="0" applyFont="1"/>
    <xf numFmtId="0" fontId="39" fillId="0" borderId="0" xfId="0" applyFont="1" applyFill="1" applyAlignment="1">
      <alignment horizontal="center" wrapText="1"/>
    </xf>
    <xf numFmtId="0" fontId="44" fillId="0" borderId="0" xfId="0" applyFont="1" applyFill="1"/>
    <xf numFmtId="0" fontId="45" fillId="0" borderId="0" xfId="0" applyFont="1" applyFill="1"/>
    <xf numFmtId="0" fontId="46" fillId="0" borderId="0" xfId="0" applyFont="1" applyFill="1"/>
    <xf numFmtId="0" fontId="47" fillId="0" borderId="0" xfId="0" applyFont="1" applyFill="1"/>
    <xf numFmtId="4" fontId="46" fillId="0" borderId="5" xfId="0" applyNumberFormat="1" applyFont="1" applyFill="1" applyBorder="1" applyAlignment="1"/>
    <xf numFmtId="4" fontId="46" fillId="0" borderId="5" xfId="0" applyNumberFormat="1" applyFont="1" applyFill="1" applyBorder="1" applyAlignment="1">
      <alignment horizontal="right"/>
    </xf>
    <xf numFmtId="4" fontId="45" fillId="0" borderId="0" xfId="0" applyNumberFormat="1" applyFont="1" applyFill="1"/>
    <xf numFmtId="4" fontId="46" fillId="0" borderId="5" xfId="0" applyNumberFormat="1" applyFont="1" applyFill="1" applyBorder="1" applyAlignment="1">
      <alignment horizontal="center"/>
    </xf>
    <xf numFmtId="49" fontId="46" fillId="0" borderId="3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/>
    </xf>
    <xf numFmtId="0" fontId="47" fillId="0" borderId="3" xfId="0" applyFont="1" applyBorder="1" applyAlignment="1">
      <alignment vertical="center" wrapText="1"/>
    </xf>
    <xf numFmtId="4" fontId="47" fillId="0" borderId="3" xfId="0" applyNumberFormat="1" applyFont="1" applyFill="1" applyBorder="1" applyAlignment="1">
      <alignment horizontal="center" vertical="center" wrapText="1"/>
    </xf>
    <xf numFmtId="4" fontId="47" fillId="0" borderId="3" xfId="0" applyNumberFormat="1" applyFont="1" applyBorder="1" applyAlignment="1">
      <alignment horizontal="center" vertical="center" wrapText="1"/>
    </xf>
    <xf numFmtId="4" fontId="48" fillId="0" borderId="0" xfId="0" applyNumberFormat="1" applyFont="1" applyFill="1" applyAlignment="1">
      <alignment vertical="center" wrapText="1"/>
    </xf>
    <xf numFmtId="4" fontId="40" fillId="0" borderId="0" xfId="0" applyNumberFormat="1" applyFont="1" applyFill="1" applyAlignment="1">
      <alignment vertical="center" wrapText="1"/>
    </xf>
    <xf numFmtId="0" fontId="46" fillId="0" borderId="0" xfId="0" applyFont="1" applyFill="1" applyAlignment="1">
      <alignment wrapText="1"/>
    </xf>
    <xf numFmtId="4" fontId="47" fillId="0" borderId="3" xfId="0" applyNumberFormat="1" applyFont="1" applyBorder="1" applyAlignment="1">
      <alignment vertical="center" wrapText="1"/>
    </xf>
    <xf numFmtId="0" fontId="45" fillId="0" borderId="0" xfId="0" applyFont="1" applyFill="1" applyAlignment="1">
      <alignment wrapText="1"/>
    </xf>
    <xf numFmtId="4" fontId="49" fillId="0" borderId="3" xfId="0" applyNumberFormat="1" applyFont="1" applyBorder="1" applyAlignment="1">
      <alignment horizontal="center" vertical="center" wrapText="1"/>
    </xf>
    <xf numFmtId="0" fontId="45" fillId="0" borderId="3" xfId="3" applyFont="1" applyFill="1" applyBorder="1" applyAlignment="1">
      <alignment vertical="center" wrapText="1"/>
    </xf>
    <xf numFmtId="4" fontId="45" fillId="0" borderId="3" xfId="3" applyNumberFormat="1" applyFont="1" applyFill="1" applyBorder="1" applyAlignment="1">
      <alignment horizontal="center" vertical="center" wrapText="1"/>
    </xf>
    <xf numFmtId="4" fontId="45" fillId="0" borderId="3" xfId="0" applyNumberFormat="1" applyFont="1" applyBorder="1" applyAlignment="1">
      <alignment horizontal="center" vertical="center" wrapText="1"/>
    </xf>
    <xf numFmtId="0" fontId="50" fillId="0" borderId="0" xfId="0" applyFont="1" applyFill="1"/>
    <xf numFmtId="4" fontId="46" fillId="0" borderId="3" xfId="0" applyNumberFormat="1" applyFont="1" applyBorder="1" applyAlignment="1">
      <alignment vertical="center" wrapText="1"/>
    </xf>
    <xf numFmtId="4" fontId="46" fillId="0" borderId="3" xfId="0" applyNumberFormat="1" applyFont="1" applyBorder="1" applyAlignment="1">
      <alignment horizontal="center" vertical="center" wrapText="1"/>
    </xf>
    <xf numFmtId="0" fontId="45" fillId="0" borderId="0" xfId="0" applyFont="1" applyFill="1" applyBorder="1" applyAlignment="1">
      <alignment vertical="center"/>
    </xf>
    <xf numFmtId="4" fontId="46" fillId="0" borderId="0" xfId="0" applyNumberFormat="1" applyFont="1" applyFill="1" applyBorder="1" applyAlignment="1">
      <alignment horizontal="center" vertical="center"/>
    </xf>
    <xf numFmtId="4" fontId="46" fillId="0" borderId="0" xfId="0" applyNumberFormat="1" applyFont="1" applyFill="1" applyBorder="1" applyAlignment="1">
      <alignment horizontal="center" vertical="center" wrapText="1"/>
    </xf>
    <xf numFmtId="4" fontId="46" fillId="0" borderId="0" xfId="0" applyNumberFormat="1" applyFont="1" applyFill="1"/>
    <xf numFmtId="4" fontId="51" fillId="0" borderId="0" xfId="0" applyNumberFormat="1" applyFont="1" applyFill="1" applyAlignment="1">
      <alignment vertical="center" wrapText="1"/>
    </xf>
    <xf numFmtId="4" fontId="46" fillId="2" borderId="0" xfId="0" applyNumberFormat="1" applyFont="1" applyFill="1" applyAlignment="1">
      <alignment horizontal="left" vertical="center" wrapText="1"/>
    </xf>
    <xf numFmtId="0" fontId="47" fillId="0" borderId="0" xfId="0" applyFont="1" applyFill="1" applyAlignment="1">
      <alignment vertical="center" wrapText="1"/>
    </xf>
    <xf numFmtId="0" fontId="47" fillId="0" borderId="0" xfId="0" applyFont="1" applyFill="1" applyAlignment="1">
      <alignment vertical="center"/>
    </xf>
    <xf numFmtId="0" fontId="46" fillId="2" borderId="0" xfId="0" applyFont="1" applyFill="1" applyAlignment="1">
      <alignment vertical="center"/>
    </xf>
    <xf numFmtId="0" fontId="52" fillId="0" borderId="0" xfId="0" applyFont="1" applyFill="1" applyAlignment="1"/>
    <xf numFmtId="0" fontId="53" fillId="0" borderId="0" xfId="0" applyFont="1" applyFill="1" applyAlignment="1"/>
    <xf numFmtId="167" fontId="54" fillId="0" borderId="0" xfId="0" applyNumberFormat="1" applyFont="1" applyFill="1" applyAlignment="1"/>
    <xf numFmtId="0" fontId="40" fillId="0" borderId="0" xfId="0" applyFont="1" applyFill="1" applyAlignment="1"/>
    <xf numFmtId="0" fontId="46" fillId="0" borderId="0" xfId="0" applyFont="1" applyFill="1" applyAlignment="1"/>
    <xf numFmtId="0" fontId="42" fillId="0" borderId="0" xfId="0" applyFont="1" applyAlignment="1"/>
    <xf numFmtId="0" fontId="52" fillId="0" borderId="5" xfId="0" applyFont="1" applyFill="1" applyBorder="1" applyAlignment="1"/>
    <xf numFmtId="0" fontId="41" fillId="2" borderId="0" xfId="0" applyFont="1" applyFill="1" applyAlignment="1"/>
    <xf numFmtId="167" fontId="52" fillId="0" borderId="0" xfId="0" applyNumberFormat="1" applyFont="1" applyFill="1" applyAlignment="1"/>
    <xf numFmtId="0" fontId="41" fillId="0" borderId="0" xfId="0" applyFont="1" applyAlignment="1">
      <alignment vertical="center"/>
    </xf>
    <xf numFmtId="0" fontId="41" fillId="0" borderId="0" xfId="0" applyFont="1"/>
    <xf numFmtId="0" fontId="47" fillId="0" borderId="0" xfId="0" applyFont="1" applyFill="1" applyAlignment="1">
      <alignment horizontal="left" vertical="center" wrapText="1"/>
    </xf>
    <xf numFmtId="0" fontId="40" fillId="0" borderId="0" xfId="0" applyFont="1"/>
    <xf numFmtId="0" fontId="47" fillId="0" borderId="0" xfId="0" applyFont="1" applyFill="1" applyBorder="1" applyAlignment="1"/>
    <xf numFmtId="0" fontId="47" fillId="0" borderId="0" xfId="0" applyFont="1" applyAlignment="1">
      <alignment horizontal="left"/>
    </xf>
    <xf numFmtId="0" fontId="40" fillId="0" borderId="0" xfId="0" applyFont="1" applyFill="1" applyAlignment="1">
      <alignment vertical="center"/>
    </xf>
    <xf numFmtId="4" fontId="49" fillId="0" borderId="3" xfId="0" applyNumberFormat="1" applyFont="1" applyBorder="1" applyAlignment="1">
      <alignment vertical="center" wrapText="1"/>
    </xf>
    <xf numFmtId="0" fontId="39" fillId="0" borderId="0" xfId="0" applyFont="1" applyFill="1" applyAlignment="1">
      <alignment horizontal="center"/>
    </xf>
    <xf numFmtId="2" fontId="39" fillId="2" borderId="0" xfId="2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left" wrapText="1"/>
    </xf>
    <xf numFmtId="4" fontId="46" fillId="0" borderId="0" xfId="0" applyNumberFormat="1" applyFont="1" applyFill="1" applyBorder="1" applyAlignment="1">
      <alignment horizontal="center"/>
    </xf>
    <xf numFmtId="49" fontId="46" fillId="0" borderId="0" xfId="0" applyNumberFormat="1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/>
    </xf>
    <xf numFmtId="4" fontId="47" fillId="0" borderId="0" xfId="0" applyNumberFormat="1" applyFont="1" applyBorder="1" applyAlignment="1">
      <alignment horizontal="center" vertical="center" wrapText="1"/>
    </xf>
    <xf numFmtId="4" fontId="45" fillId="0" borderId="0" xfId="0" applyNumberFormat="1" applyFont="1" applyBorder="1" applyAlignment="1">
      <alignment horizontal="center" vertical="center" wrapText="1"/>
    </xf>
    <xf numFmtId="4" fontId="46" fillId="0" borderId="0" xfId="0" applyNumberFormat="1" applyFont="1" applyBorder="1" applyAlignment="1">
      <alignment horizontal="center" vertical="center" wrapText="1"/>
    </xf>
    <xf numFmtId="4" fontId="55" fillId="0" borderId="0" xfId="0" applyNumberFormat="1" applyFont="1" applyFill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center" wrapText="1"/>
    </xf>
    <xf numFmtId="0" fontId="23" fillId="0" borderId="0" xfId="0" applyFont="1" applyFill="1" applyBorder="1" applyAlignment="1">
      <alignment horizontal="left"/>
    </xf>
    <xf numFmtId="0" fontId="12" fillId="0" borderId="6" xfId="0" applyFont="1" applyBorder="1" applyAlignment="1">
      <alignment horizontal="center" wrapText="1"/>
    </xf>
    <xf numFmtId="0" fontId="59" fillId="0" borderId="0" xfId="0" applyFont="1"/>
    <xf numFmtId="0" fontId="60" fillId="0" borderId="0" xfId="5" applyFont="1" applyAlignment="1">
      <alignment horizontal="left" vertical="center" wrapText="1"/>
    </xf>
    <xf numFmtId="0" fontId="60" fillId="0" borderId="0" xfId="5" applyFont="1" applyAlignment="1">
      <alignment horizontal="left" vertical="center"/>
    </xf>
    <xf numFmtId="0" fontId="60" fillId="0" borderId="0" xfId="5" applyFont="1" applyAlignment="1">
      <alignment horizontal="left" vertical="top" wrapText="1"/>
    </xf>
    <xf numFmtId="0" fontId="60" fillId="0" borderId="0" xfId="5" applyFont="1" applyAlignment="1">
      <alignment horizontal="left" vertical="top"/>
    </xf>
    <xf numFmtId="0" fontId="61" fillId="0" borderId="0" xfId="0" applyFont="1" applyAlignment="1"/>
    <xf numFmtId="0" fontId="61" fillId="0" borderId="0" xfId="0" applyFont="1" applyAlignment="1">
      <alignment wrapText="1"/>
    </xf>
    <xf numFmtId="0" fontId="59" fillId="0" borderId="3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 wrapText="1"/>
    </xf>
    <xf numFmtId="0" fontId="59" fillId="0" borderId="0" xfId="0" applyFont="1" applyAlignment="1"/>
    <xf numFmtId="0" fontId="63" fillId="0" borderId="3" xfId="0" applyFont="1" applyBorder="1"/>
    <xf numFmtId="0" fontId="59" fillId="2" borderId="3" xfId="0" applyFont="1" applyFill="1" applyBorder="1" applyAlignment="1">
      <alignment horizontal="center" vertical="top" wrapText="1"/>
    </xf>
    <xf numFmtId="0" fontId="63" fillId="2" borderId="3" xfId="0" applyFont="1" applyFill="1" applyBorder="1"/>
    <xf numFmtId="4" fontId="63" fillId="2" borderId="3" xfId="0" applyNumberFormat="1" applyFont="1" applyFill="1" applyBorder="1"/>
    <xf numFmtId="4" fontId="63" fillId="0" borderId="3" xfId="0" applyNumberFormat="1" applyFont="1" applyBorder="1"/>
    <xf numFmtId="0" fontId="59" fillId="2" borderId="3" xfId="0" applyFont="1" applyFill="1" applyBorder="1" applyAlignment="1">
      <alignment horizontal="center" vertical="top"/>
    </xf>
    <xf numFmtId="0" fontId="59" fillId="0" borderId="3" xfId="0" applyFont="1" applyBorder="1"/>
    <xf numFmtId="0" fontId="59" fillId="2" borderId="3" xfId="0" applyFont="1" applyFill="1" applyBorder="1"/>
    <xf numFmtId="4" fontId="59" fillId="2" borderId="3" xfId="0" applyNumberFormat="1" applyFont="1" applyFill="1" applyBorder="1"/>
    <xf numFmtId="4" fontId="59" fillId="0" borderId="3" xfId="0" applyNumberFormat="1" applyFont="1" applyBorder="1"/>
    <xf numFmtId="168" fontId="60" fillId="2" borderId="3" xfId="0" applyNumberFormat="1" applyFont="1" applyFill="1" applyBorder="1" applyAlignment="1">
      <alignment horizontal="center" vertical="center" wrapText="1"/>
    </xf>
    <xf numFmtId="0" fontId="58" fillId="0" borderId="3" xfId="0" applyFont="1" applyBorder="1" applyAlignment="1">
      <alignment horizontal="right" vertical="center"/>
    </xf>
    <xf numFmtId="43" fontId="58" fillId="0" borderId="3" xfId="4" applyFont="1" applyBorder="1" applyAlignment="1">
      <alignment horizontal="right" vertical="center"/>
    </xf>
    <xf numFmtId="0" fontId="64" fillId="2" borderId="0" xfId="0" applyFont="1" applyFill="1"/>
    <xf numFmtId="0" fontId="64" fillId="2" borderId="0" xfId="0" applyFont="1" applyFill="1" applyAlignment="1">
      <alignment horizontal="left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left" wrapText="1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left" vertical="top" wrapText="1"/>
    </xf>
    <xf numFmtId="0" fontId="64" fillId="2" borderId="0" xfId="0" applyFont="1" applyFill="1" applyAlignment="1">
      <alignment horizontal="center" vertical="top" wrapText="1"/>
    </xf>
    <xf numFmtId="0" fontId="65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67" fillId="2" borderId="0" xfId="0" applyFont="1" applyFill="1" applyAlignment="1">
      <alignment horizontal="left" vertical="top"/>
    </xf>
    <xf numFmtId="0" fontId="64" fillId="2" borderId="0" xfId="0" applyFont="1" applyFill="1" applyAlignment="1">
      <alignment horizontal="center" vertical="top"/>
    </xf>
    <xf numFmtId="0" fontId="68" fillId="2" borderId="0" xfId="0" applyFont="1" applyFill="1" applyAlignment="1">
      <alignment horizontal="left"/>
    </xf>
    <xf numFmtId="0" fontId="67" fillId="2" borderId="0" xfId="0" applyFont="1" applyFill="1" applyAlignment="1">
      <alignment horizontal="left"/>
    </xf>
    <xf numFmtId="0" fontId="66" fillId="3" borderId="3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horizontal="center" vertical="top" wrapText="1"/>
    </xf>
    <xf numFmtId="0" fontId="66" fillId="2" borderId="3" xfId="0" applyFont="1" applyFill="1" applyBorder="1" applyAlignment="1">
      <alignment horizontal="center" vertical="center" wrapText="1"/>
    </xf>
    <xf numFmtId="0" fontId="64" fillId="2" borderId="3" xfId="0" applyFont="1" applyFill="1" applyBorder="1" applyAlignment="1">
      <alignment horizontal="center" vertical="center" wrapText="1"/>
    </xf>
    <xf numFmtId="0" fontId="64" fillId="2" borderId="3" xfId="0" applyFont="1" applyFill="1" applyBorder="1" applyAlignment="1">
      <alignment horizontal="left" vertical="center" wrapText="1"/>
    </xf>
    <xf numFmtId="0" fontId="64" fillId="0" borderId="11" xfId="0" applyFont="1" applyBorder="1" applyAlignment="1">
      <alignment horizontal="center" vertical="center"/>
    </xf>
    <xf numFmtId="0" fontId="60" fillId="0" borderId="3" xfId="3" applyFont="1" applyBorder="1" applyAlignment="1">
      <alignment horizontal="center" wrapText="1"/>
    </xf>
    <xf numFmtId="0" fontId="66" fillId="3" borderId="3" xfId="0" applyFont="1" applyFill="1" applyBorder="1" applyAlignment="1">
      <alignment horizontal="center" vertical="top" wrapText="1"/>
    </xf>
    <xf numFmtId="0" fontId="64" fillId="2" borderId="3" xfId="0" applyFont="1" applyFill="1" applyBorder="1" applyAlignment="1">
      <alignment horizontal="center" vertical="top" wrapText="1"/>
    </xf>
    <xf numFmtId="0" fontId="66" fillId="2" borderId="10" xfId="0" applyFont="1" applyFill="1" applyBorder="1" applyAlignment="1">
      <alignment horizontal="center" vertical="top" wrapText="1"/>
    </xf>
    <xf numFmtId="0" fontId="64" fillId="2" borderId="10" xfId="0" applyFont="1" applyFill="1" applyBorder="1" applyAlignment="1">
      <alignment horizontal="center" vertical="center" wrapText="1"/>
    </xf>
    <xf numFmtId="0" fontId="64" fillId="0" borderId="3" xfId="0" applyFont="1" applyFill="1" applyBorder="1" applyAlignment="1">
      <alignment horizontal="left" vertical="center" wrapText="1"/>
    </xf>
    <xf numFmtId="0" fontId="64" fillId="0" borderId="3" xfId="0" applyFont="1" applyFill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/>
    </xf>
    <xf numFmtId="0" fontId="64" fillId="2" borderId="3" xfId="0" applyFont="1" applyFill="1" applyBorder="1" applyAlignment="1">
      <alignment horizontal="left" vertical="top" wrapText="1"/>
    </xf>
    <xf numFmtId="0" fontId="64" fillId="0" borderId="3" xfId="0" applyFont="1" applyFill="1" applyBorder="1" applyAlignment="1">
      <alignment horizontal="left" vertical="top" wrapText="1"/>
    </xf>
    <xf numFmtId="0" fontId="64" fillId="0" borderId="3" xfId="0" applyFont="1" applyFill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 wrapText="1"/>
    </xf>
    <xf numFmtId="0" fontId="60" fillId="2" borderId="3" xfId="0" applyFont="1" applyFill="1" applyBorder="1" applyAlignment="1">
      <alignment horizontal="left" vertical="center" wrapText="1"/>
    </xf>
    <xf numFmtId="0" fontId="60" fillId="2" borderId="3" xfId="0" applyFont="1" applyFill="1" applyBorder="1" applyAlignment="1">
      <alignment horizontal="center" vertical="center"/>
    </xf>
    <xf numFmtId="0" fontId="66" fillId="2" borderId="4" xfId="0" applyFont="1" applyFill="1" applyBorder="1" applyAlignment="1">
      <alignment horizontal="center" vertical="top" wrapText="1"/>
    </xf>
    <xf numFmtId="0" fontId="66" fillId="2" borderId="18" xfId="0" applyFont="1" applyFill="1" applyBorder="1" applyAlignment="1">
      <alignment horizontal="center" vertical="top" wrapText="1"/>
    </xf>
    <xf numFmtId="0" fontId="64" fillId="2" borderId="3" xfId="0" applyFont="1" applyFill="1" applyBorder="1" applyAlignment="1">
      <alignment horizontal="center" vertical="center"/>
    </xf>
    <xf numFmtId="0" fontId="66" fillId="3" borderId="3" xfId="0" applyFont="1" applyFill="1" applyBorder="1" applyAlignment="1">
      <alignment horizontal="center"/>
    </xf>
    <xf numFmtId="0" fontId="60" fillId="0" borderId="3" xfId="3" applyFont="1" applyBorder="1" applyAlignment="1">
      <alignment horizontal="center" vertical="center" wrapText="1"/>
    </xf>
    <xf numFmtId="0" fontId="60" fillId="0" borderId="3" xfId="3" applyNumberFormat="1" applyFont="1" applyBorder="1" applyAlignment="1">
      <alignment horizontal="center" vertical="center" wrapText="1"/>
    </xf>
    <xf numFmtId="0" fontId="60" fillId="0" borderId="0" xfId="3" applyFont="1" applyBorder="1" applyAlignment="1">
      <alignment horizontal="center" vertical="center" wrapText="1"/>
    </xf>
    <xf numFmtId="0" fontId="60" fillId="0" borderId="9" xfId="3" applyNumberFormat="1" applyFont="1" applyBorder="1" applyAlignment="1">
      <alignment horizontal="center" vertical="center" wrapText="1"/>
    </xf>
    <xf numFmtId="0" fontId="60" fillId="4" borderId="9" xfId="3" applyNumberFormat="1" applyFont="1" applyFill="1" applyBorder="1" applyAlignment="1">
      <alignment horizontal="center" vertical="center" wrapText="1"/>
    </xf>
    <xf numFmtId="0" fontId="69" fillId="2" borderId="0" xfId="0" applyFont="1" applyFill="1" applyAlignment="1">
      <alignment horizontal="center" wrapText="1"/>
    </xf>
    <xf numFmtId="0" fontId="63" fillId="0" borderId="0" xfId="0" applyFont="1" applyAlignment="1">
      <alignment horizontal="left" vertical="center" wrapText="1"/>
    </xf>
    <xf numFmtId="0" fontId="46" fillId="2" borderId="0" xfId="3" applyFont="1" applyFill="1" applyBorder="1" applyAlignment="1">
      <alignment horizontal="left" vertical="center"/>
    </xf>
    <xf numFmtId="0" fontId="52" fillId="0" borderId="0" xfId="0" applyFont="1" applyFill="1" applyAlignment="1">
      <alignment wrapText="1"/>
    </xf>
    <xf numFmtId="0" fontId="52" fillId="0" borderId="0" xfId="0" applyFont="1" applyFill="1" applyAlignment="1"/>
    <xf numFmtId="0" fontId="47" fillId="0" borderId="0" xfId="0" applyFont="1" applyFill="1" applyAlignment="1">
      <alignment vertical="center" wrapText="1"/>
    </xf>
    <xf numFmtId="0" fontId="47" fillId="0" borderId="0" xfId="0" applyFont="1" applyFill="1" applyAlignment="1">
      <alignment vertical="center"/>
    </xf>
    <xf numFmtId="2" fontId="39" fillId="2" borderId="0" xfId="2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left" wrapText="1"/>
    </xf>
    <xf numFmtId="0" fontId="46" fillId="0" borderId="0" xfId="0" applyFont="1" applyFill="1" applyAlignment="1">
      <alignment horizontal="left" wrapText="1"/>
    </xf>
    <xf numFmtId="49" fontId="46" fillId="0" borderId="4" xfId="0" applyNumberFormat="1" applyFont="1" applyBorder="1" applyAlignment="1">
      <alignment horizontal="center" vertical="center" wrapText="1"/>
    </xf>
    <xf numFmtId="49" fontId="46" fillId="0" borderId="10" xfId="0" applyNumberFormat="1" applyFont="1" applyBorder="1" applyAlignment="1">
      <alignment horizontal="center" vertical="center" wrapText="1"/>
    </xf>
    <xf numFmtId="49" fontId="46" fillId="0" borderId="7" xfId="0" applyNumberFormat="1" applyFont="1" applyBorder="1" applyAlignment="1">
      <alignment horizontal="center" vertical="center" wrapText="1"/>
    </xf>
    <xf numFmtId="49" fontId="46" fillId="0" borderId="8" xfId="0" applyNumberFormat="1" applyFont="1" applyBorder="1" applyAlignment="1">
      <alignment horizontal="center" vertical="center" wrapText="1"/>
    </xf>
    <xf numFmtId="49" fontId="46" fillId="0" borderId="9" xfId="0" applyNumberFormat="1" applyFont="1" applyBorder="1" applyAlignment="1">
      <alignment horizontal="center" vertical="center" wrapText="1"/>
    </xf>
    <xf numFmtId="0" fontId="39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center"/>
    </xf>
    <xf numFmtId="164" fontId="13" fillId="0" borderId="0" xfId="0" applyNumberFormat="1" applyFont="1" applyAlignment="1">
      <alignment horizontal="right" wrapText="1"/>
    </xf>
    <xf numFmtId="0" fontId="13" fillId="0" borderId="0" xfId="0" applyFont="1" applyAlignment="1">
      <alignment horizontal="right" wrapText="1"/>
    </xf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/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1" applyFont="1" applyFill="1" applyAlignment="1">
      <alignment horizontal="left"/>
    </xf>
    <xf numFmtId="0" fontId="12" fillId="0" borderId="0" xfId="0" applyFont="1" applyAlignment="1">
      <alignment horizontal="center" wrapText="1"/>
    </xf>
    <xf numFmtId="164" fontId="16" fillId="0" borderId="6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0" fontId="23" fillId="0" borderId="0" xfId="0" applyFont="1" applyFill="1" applyBorder="1" applyAlignment="1">
      <alignment horizontal="left" wrapText="1"/>
    </xf>
    <xf numFmtId="0" fontId="11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wrapText="1"/>
    </xf>
    <xf numFmtId="0" fontId="0" fillId="0" borderId="0" xfId="0" applyAlignment="1">
      <alignment wrapText="1"/>
    </xf>
    <xf numFmtId="16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 wrapText="1"/>
    </xf>
    <xf numFmtId="0" fontId="12" fillId="0" borderId="4" xfId="0" applyFont="1" applyBorder="1" applyAlignment="1">
      <alignment horizontal="center" wrapText="1"/>
    </xf>
    <xf numFmtId="0" fontId="16" fillId="0" borderId="0" xfId="0" applyFont="1" applyBorder="1" applyAlignment="1">
      <alignment horizontal="right"/>
    </xf>
    <xf numFmtId="0" fontId="13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wrapText="1"/>
    </xf>
    <xf numFmtId="0" fontId="18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61" fillId="0" borderId="0" xfId="0" applyFont="1" applyAlignment="1">
      <alignment horizontal="center"/>
    </xf>
    <xf numFmtId="0" fontId="58" fillId="0" borderId="0" xfId="5" applyFont="1" applyAlignment="1">
      <alignment horizontal="left" vertical="center"/>
    </xf>
    <xf numFmtId="0" fontId="60" fillId="0" borderId="0" xfId="5" applyFont="1" applyAlignment="1">
      <alignment horizontal="left" vertical="top" wrapText="1"/>
    </xf>
    <xf numFmtId="0" fontId="60" fillId="0" borderId="0" xfId="5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8" fillId="0" borderId="7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/>
    </xf>
    <xf numFmtId="0" fontId="59" fillId="0" borderId="4" xfId="0" applyFont="1" applyBorder="1" applyAlignment="1">
      <alignment horizontal="center"/>
    </xf>
    <xf numFmtId="0" fontId="59" fillId="0" borderId="10" xfId="0" applyFont="1" applyBorder="1" applyAlignment="1">
      <alignment horizontal="center"/>
    </xf>
    <xf numFmtId="0" fontId="62" fillId="2" borderId="7" xfId="0" applyFont="1" applyFill="1" applyBorder="1" applyAlignment="1">
      <alignment horizontal="center" vertical="center" wrapText="1"/>
    </xf>
    <xf numFmtId="0" fontId="62" fillId="2" borderId="8" xfId="0" applyFont="1" applyFill="1" applyBorder="1" applyAlignment="1">
      <alignment horizontal="center" vertical="center" wrapText="1"/>
    </xf>
    <xf numFmtId="0" fontId="62" fillId="2" borderId="9" xfId="0" applyFont="1" applyFill="1" applyBorder="1" applyAlignment="1">
      <alignment horizontal="center" vertical="center" wrapText="1"/>
    </xf>
    <xf numFmtId="0" fontId="62" fillId="2" borderId="7" xfId="0" applyFont="1" applyFill="1" applyBorder="1" applyAlignment="1">
      <alignment horizontal="center"/>
    </xf>
    <xf numFmtId="0" fontId="62" fillId="2" borderId="8" xfId="0" applyFont="1" applyFill="1" applyBorder="1" applyAlignment="1">
      <alignment horizontal="center"/>
    </xf>
    <xf numFmtId="0" fontId="62" fillId="2" borderId="9" xfId="0" applyFont="1" applyFill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2" borderId="4" xfId="0" applyFont="1" applyFill="1" applyBorder="1" applyAlignment="1">
      <alignment horizontal="center" vertical="center" wrapText="1"/>
    </xf>
    <xf numFmtId="0" fontId="59" fillId="2" borderId="10" xfId="0" applyFont="1" applyFill="1" applyBorder="1" applyAlignment="1">
      <alignment horizontal="center" vertical="center" wrapText="1"/>
    </xf>
    <xf numFmtId="0" fontId="61" fillId="2" borderId="7" xfId="0" applyFont="1" applyFill="1" applyBorder="1" applyAlignment="1">
      <alignment horizontal="center" vertical="center" wrapText="1"/>
    </xf>
    <xf numFmtId="0" fontId="61" fillId="2" borderId="8" xfId="0" applyFont="1" applyFill="1" applyBorder="1" applyAlignment="1">
      <alignment horizontal="center" vertical="center" wrapText="1"/>
    </xf>
    <xf numFmtId="0" fontId="61" fillId="2" borderId="9" xfId="0" applyFont="1" applyFill="1" applyBorder="1" applyAlignment="1">
      <alignment horizontal="center" vertical="center" wrapText="1"/>
    </xf>
    <xf numFmtId="0" fontId="61" fillId="2" borderId="7" xfId="0" applyFont="1" applyFill="1" applyBorder="1" applyAlignment="1">
      <alignment horizontal="center"/>
    </xf>
    <xf numFmtId="0" fontId="61" fillId="2" borderId="8" xfId="0" applyFont="1" applyFill="1" applyBorder="1" applyAlignment="1">
      <alignment horizontal="center"/>
    </xf>
    <xf numFmtId="0" fontId="61" fillId="2" borderId="9" xfId="0" applyFont="1" applyFill="1" applyBorder="1" applyAlignment="1">
      <alignment horizontal="center"/>
    </xf>
    <xf numFmtId="0" fontId="59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59" fillId="0" borderId="9" xfId="0" applyFont="1" applyBorder="1" applyAlignment="1">
      <alignment horizontal="center"/>
    </xf>
    <xf numFmtId="0" fontId="66" fillId="3" borderId="7" xfId="0" applyFont="1" applyFill="1" applyBorder="1" applyAlignment="1">
      <alignment horizontal="center" vertical="top" wrapText="1"/>
    </xf>
    <xf numFmtId="0" fontId="66" fillId="3" borderId="8" xfId="0" applyFont="1" applyFill="1" applyBorder="1" applyAlignment="1">
      <alignment horizontal="center" vertical="top" wrapText="1"/>
    </xf>
    <xf numFmtId="0" fontId="66" fillId="3" borderId="9" xfId="0" applyFont="1" applyFill="1" applyBorder="1" applyAlignment="1">
      <alignment horizontal="center" vertical="top" wrapText="1"/>
    </xf>
    <xf numFmtId="0" fontId="64" fillId="2" borderId="12" xfId="0" applyFont="1" applyFill="1" applyBorder="1" applyAlignment="1">
      <alignment horizontal="center" vertical="top" wrapText="1"/>
    </xf>
    <xf numFmtId="0" fontId="64" fillId="2" borderId="13" xfId="0" applyFont="1" applyFill="1" applyBorder="1" applyAlignment="1">
      <alignment horizontal="center" vertical="top" wrapText="1"/>
    </xf>
    <xf numFmtId="0" fontId="64" fillId="2" borderId="14" xfId="0" applyFont="1" applyFill="1" applyBorder="1" applyAlignment="1">
      <alignment horizontal="center" vertical="top" wrapText="1"/>
    </xf>
    <xf numFmtId="0" fontId="64" fillId="2" borderId="15" xfId="0" applyFont="1" applyFill="1" applyBorder="1" applyAlignment="1">
      <alignment horizontal="center" vertical="top" wrapText="1"/>
    </xf>
    <xf numFmtId="0" fontId="64" fillId="2" borderId="16" xfId="0" applyFont="1" applyFill="1" applyBorder="1" applyAlignment="1">
      <alignment horizontal="center" vertical="top" wrapText="1"/>
    </xf>
    <xf numFmtId="0" fontId="64" fillId="2" borderId="17" xfId="0" applyFont="1" applyFill="1" applyBorder="1" applyAlignment="1">
      <alignment horizontal="center" vertical="top" wrapText="1"/>
    </xf>
    <xf numFmtId="0" fontId="66" fillId="3" borderId="3" xfId="0" applyFont="1" applyFill="1" applyBorder="1" applyAlignment="1">
      <alignment horizontal="center" vertical="center"/>
    </xf>
    <xf numFmtId="0" fontId="64" fillId="2" borderId="12" xfId="0" applyFont="1" applyFill="1" applyBorder="1" applyAlignment="1">
      <alignment horizontal="center" vertical="center"/>
    </xf>
    <xf numFmtId="0" fontId="64" fillId="2" borderId="13" xfId="0" applyFont="1" applyFill="1" applyBorder="1" applyAlignment="1">
      <alignment horizontal="center" vertical="center"/>
    </xf>
    <xf numFmtId="0" fontId="64" fillId="2" borderId="14" xfId="0" applyFont="1" applyFill="1" applyBorder="1" applyAlignment="1">
      <alignment horizontal="center" vertical="center"/>
    </xf>
    <xf numFmtId="0" fontId="64" fillId="2" borderId="15" xfId="0" applyFont="1" applyFill="1" applyBorder="1" applyAlignment="1">
      <alignment horizontal="center" vertical="center"/>
    </xf>
    <xf numFmtId="0" fontId="64" fillId="2" borderId="16" xfId="0" applyFont="1" applyFill="1" applyBorder="1" applyAlignment="1">
      <alignment horizontal="center" vertical="center"/>
    </xf>
    <xf numFmtId="0" fontId="64" fillId="2" borderId="17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/>
    </xf>
    <xf numFmtId="0" fontId="64" fillId="2" borderId="12" xfId="0" applyFont="1" applyFill="1" applyBorder="1" applyAlignment="1">
      <alignment horizontal="center"/>
    </xf>
    <xf numFmtId="0" fontId="64" fillId="2" borderId="13" xfId="0" applyFont="1" applyFill="1" applyBorder="1" applyAlignment="1">
      <alignment horizontal="center"/>
    </xf>
    <xf numFmtId="0" fontId="64" fillId="2" borderId="14" xfId="0" applyFont="1" applyFill="1" applyBorder="1" applyAlignment="1">
      <alignment horizontal="center"/>
    </xf>
    <xf numFmtId="0" fontId="64" fillId="2" borderId="15" xfId="0" applyFont="1" applyFill="1" applyBorder="1" applyAlignment="1">
      <alignment horizontal="center"/>
    </xf>
    <xf numFmtId="0" fontId="64" fillId="2" borderId="16" xfId="0" applyFont="1" applyFill="1" applyBorder="1" applyAlignment="1">
      <alignment horizontal="center"/>
    </xf>
    <xf numFmtId="0" fontId="64" fillId="2" borderId="17" xfId="0" applyFont="1" applyFill="1" applyBorder="1" applyAlignment="1">
      <alignment horizontal="center"/>
    </xf>
    <xf numFmtId="0" fontId="66" fillId="3" borderId="7" xfId="0" applyFont="1" applyFill="1" applyBorder="1" applyAlignment="1">
      <alignment horizontal="center" vertical="center" wrapText="1"/>
    </xf>
    <xf numFmtId="0" fontId="66" fillId="3" borderId="8" xfId="0" applyFont="1" applyFill="1" applyBorder="1" applyAlignment="1">
      <alignment horizontal="center" vertical="center" wrapText="1"/>
    </xf>
    <xf numFmtId="0" fontId="66" fillId="3" borderId="9" xfId="0" applyFont="1" applyFill="1" applyBorder="1" applyAlignment="1">
      <alignment horizontal="center" vertical="center" wrapText="1"/>
    </xf>
    <xf numFmtId="0" fontId="66" fillId="3" borderId="7" xfId="0" applyFont="1" applyFill="1" applyBorder="1" applyAlignment="1">
      <alignment horizontal="center" vertical="center"/>
    </xf>
    <xf numFmtId="0" fontId="66" fillId="3" borderId="8" xfId="0" applyFont="1" applyFill="1" applyBorder="1" applyAlignment="1">
      <alignment horizontal="center" vertical="center"/>
    </xf>
    <xf numFmtId="0" fontId="66" fillId="3" borderId="9" xfId="0" applyFont="1" applyFill="1" applyBorder="1" applyAlignment="1">
      <alignment horizontal="center" vertical="center"/>
    </xf>
    <xf numFmtId="0" fontId="64" fillId="2" borderId="7" xfId="0" applyFont="1" applyFill="1" applyBorder="1" applyAlignment="1">
      <alignment horizontal="center"/>
    </xf>
    <xf numFmtId="0" fontId="64" fillId="2" borderId="8" xfId="0" applyFont="1" applyFill="1" applyBorder="1" applyAlignment="1">
      <alignment horizontal="center"/>
    </xf>
    <xf numFmtId="0" fontId="64" fillId="2" borderId="9" xfId="0" applyFont="1" applyFill="1" applyBorder="1" applyAlignment="1">
      <alignment horizontal="center"/>
    </xf>
  </cellXfs>
  <cellStyles count="6">
    <cellStyle name="Обычный" xfId="0" builtinId="0"/>
    <cellStyle name="Обычный 2" xfId="3"/>
    <cellStyle name="Обычный 3" xfId="5"/>
    <cellStyle name="Обычный 4" xfId="1"/>
    <cellStyle name="Обычный_ССР (Д)" xfId="2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87;&#1088;&#1041;&#1083;&#1072;&#1075;&#1086;&#1091;&#1089;&#1090;&#1088;/!&#1053;&#1040;&#1064;&#1045;%20&#1044;&#1045;&#1056;&#1045;&#1042;&#1054;%20&#1042;&#1045;&#1057;&#1053;&#1040;%202021/&#1057;&#1052;&#1056;%20&#1053;&#1040;&#1064;&#1045;%20&#1044;&#1045;&#1056;&#1045;&#1042;&#1054;%202021%20&#1042;&#1045;&#1057;&#1053;&#1040;/!!&#1042;%20&#1052;&#1043;&#1069;/!%20&#1042;%20&#1052;&#1043;&#1069;%2016.03.2021/&#1056;&#1053;&#1052;&#1062;&#1050;,%20&#1057;&#1057;&#1056;,%20&#1057;&#1084;&#1077;&#1090;&#1072;,%20&#1042;&#1054;&#10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НЦ"/>
      <sheetName val="ССР-2021"/>
      <sheetName val="ССР-база"/>
      <sheetName val="Смета по ТСН-2001"/>
      <sheetName val="Ведомость объемов работ"/>
      <sheetName val="Дефектная ведомость"/>
      <sheetName val="Локальная ресурсная ведом.1"/>
      <sheetName val="Локальная ресурсная ведом.2"/>
      <sheetName val="Source"/>
      <sheetName val="SourceObSm"/>
      <sheetName val="SmtRes"/>
      <sheetName val="Etalon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Smeta.RU  (495) 974-1589</v>
          </cell>
        </row>
        <row r="12">
          <cell r="F12" t="str">
            <v>Новый объект_(Копия)_(Копия)_(Копия)</v>
          </cell>
          <cell r="G12" t="str">
            <v>Озеленение особо охраняемых природных территорий города Москвы в рамках программы "Наше дерево" в весенний период 2021 года</v>
          </cell>
        </row>
        <row r="20">
          <cell r="G20" t="str">
            <v>Посадка деревьев с комом земли 1,5х1,5х0,65 м, 1,0х1,0х0,6 м, восстановление отпада и уходные работы</v>
          </cell>
        </row>
        <row r="24">
          <cell r="G24" t="str">
            <v>Посадка деревьев с комом земли 1,5х1,5х0,65 м - 4625 шт.</v>
          </cell>
        </row>
        <row r="28">
          <cell r="E28" t="str">
            <v>1</v>
          </cell>
          <cell r="G28" t="str">
            <v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v>
          </cell>
          <cell r="H28" t="str">
            <v>10 ям</v>
          </cell>
          <cell r="I28">
            <v>346.875</v>
          </cell>
        </row>
        <row r="29">
          <cell r="E29" t="str">
            <v>1,1</v>
          </cell>
          <cell r="G29" t="str">
            <v>Земля растительная</v>
          </cell>
          <cell r="H29" t="str">
            <v>м3</v>
          </cell>
          <cell r="I29">
            <v>4856.25</v>
          </cell>
        </row>
        <row r="30">
          <cell r="E30" t="str">
            <v>2</v>
          </cell>
          <cell r="G30" t="str">
            <v>Подготовка стандартных посадочных мест вручную с квадратным комом земли размером 1,5х1,5х0,65 м с добавлением растительной земли до 50%</v>
          </cell>
          <cell r="H30" t="str">
            <v>10 ям</v>
          </cell>
          <cell r="I30">
            <v>115.625</v>
          </cell>
        </row>
        <row r="31">
          <cell r="E31" t="str">
            <v>2,1</v>
          </cell>
          <cell r="G31" t="str">
            <v>Земля растительная</v>
          </cell>
          <cell r="H31" t="str">
            <v>м3</v>
          </cell>
          <cell r="I31">
            <v>1618.75</v>
          </cell>
        </row>
        <row r="32">
          <cell r="E32" t="str">
            <v>3</v>
          </cell>
          <cell r="G32" t="str">
            <v>Посадка деревьев и кустарников с комом земли размером 1,5х1,5х0,65 м</v>
          </cell>
          <cell r="H32" t="str">
            <v>10 деревьев или кустарников</v>
          </cell>
          <cell r="I32">
            <v>462.5</v>
          </cell>
        </row>
        <row r="33">
          <cell r="E33" t="str">
            <v>4</v>
          </cell>
          <cell r="G33" t="str">
            <v>Груша плодовая с комом 1,5х1,5х0,65 м (или эквивалент)</v>
          </cell>
          <cell r="H33" t="str">
            <v>шт.</v>
          </cell>
          <cell r="I33">
            <v>47</v>
          </cell>
        </row>
        <row r="34">
          <cell r="E34" t="str">
            <v>5</v>
          </cell>
          <cell r="G34" t="str">
            <v>Груша плодовая с комом 1,5х1,5х0,65 м (или эквивалент)</v>
          </cell>
          <cell r="H34" t="str">
            <v>шт.</v>
          </cell>
          <cell r="I34">
            <v>17</v>
          </cell>
        </row>
        <row r="35">
          <cell r="E35" t="str">
            <v>6</v>
          </cell>
          <cell r="G35" t="str">
            <v>Ива белая с комом 1,5х1,5х0,65 м (или эквивалент)</v>
          </cell>
          <cell r="H35" t="str">
            <v>шт.</v>
          </cell>
          <cell r="I35">
            <v>656</v>
          </cell>
        </row>
        <row r="36">
          <cell r="E36" t="str">
            <v>7</v>
          </cell>
          <cell r="G36" t="str">
            <v>Клен остролистный 1,5х1,5х0,65 м (или эквивалент)</v>
          </cell>
          <cell r="H36" t="str">
            <v>шт.</v>
          </cell>
          <cell r="I36">
            <v>590</v>
          </cell>
        </row>
        <row r="37">
          <cell r="E37" t="str">
            <v>8</v>
          </cell>
          <cell r="G37" t="str">
            <v>Липа мелколистная с комом 1,5х1,5х0,65 м (или эквивалент)</v>
          </cell>
          <cell r="H37" t="str">
            <v>шт.</v>
          </cell>
          <cell r="I37">
            <v>2646</v>
          </cell>
        </row>
        <row r="38">
          <cell r="E38" t="str">
            <v>9</v>
          </cell>
          <cell r="G38" t="str">
            <v>Рябина обыкновенная 1,5х1,5х0,65 м (или эквивалент)</v>
          </cell>
          <cell r="H38" t="str">
            <v>шт.</v>
          </cell>
          <cell r="I38">
            <v>362</v>
          </cell>
        </row>
        <row r="39">
          <cell r="E39" t="str">
            <v>10</v>
          </cell>
          <cell r="G39" t="str">
            <v>Сосна обыкновенная с комом 1,5х1,5х0,65 м (или эквивалент)</v>
          </cell>
          <cell r="H39" t="str">
            <v>шт.</v>
          </cell>
          <cell r="I39">
            <v>307</v>
          </cell>
        </row>
        <row r="40">
          <cell r="E40" t="str">
            <v>11</v>
          </cell>
          <cell r="G40" t="str">
            <v>Разработка грунта с погрузкой на автомобили-самосвалы экскаваторами с ковшом вместимостью 0,5 м3 группа грунтов 1-3 (Объем грунта на 1 дерево: (5,18 м3 - 1,46 м3) х 50% + 1,46 м3 = 3,32 м3; Общий объем грунта: 3,32 м3/дер. х 4625 дер. = 15355,0 м3)</v>
          </cell>
          <cell r="H40" t="str">
            <v>100 м3 грунта</v>
          </cell>
          <cell r="I40">
            <v>153.55000000000001</v>
          </cell>
        </row>
        <row r="41">
          <cell r="E41" t="str">
            <v>12</v>
          </cell>
          <cell r="G41" t="str">
            <v>Планировка участка вручную (разравнивание грунта от разработки ям, толщина слоя 0,1 м)</v>
          </cell>
          <cell r="H41" t="str">
            <v>100 м2</v>
          </cell>
          <cell r="I41">
            <v>1535.5</v>
          </cell>
        </row>
        <row r="73">
          <cell r="G73" t="str">
            <v>Восстановление отпада деревьев с комом земли 1,5х1,5х0,65 м - 229 шт.</v>
          </cell>
        </row>
        <row r="77">
          <cell r="E77" t="str">
            <v>13</v>
          </cell>
          <cell r="G77" t="str">
            <v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v>
          </cell>
          <cell r="H77" t="str">
            <v>10 ям</v>
          </cell>
          <cell r="I77">
            <v>17.175000000000001</v>
          </cell>
        </row>
        <row r="78">
          <cell r="E78" t="str">
            <v>14</v>
          </cell>
          <cell r="G78" t="str">
            <v>Подготовка стандартных посадочных мест вручную с квадратным комом земли размером 1,5х1,5х0,65 м в естественном грунте</v>
          </cell>
          <cell r="H78" t="str">
            <v>10 ям</v>
          </cell>
          <cell r="I78">
            <v>5.7249999999999996</v>
          </cell>
        </row>
        <row r="79">
          <cell r="E79" t="str">
            <v>15</v>
          </cell>
          <cell r="G79" t="str">
            <v>Посадка деревьев и кустарников с комом земли размером 1,5х1,5х0,65 м</v>
          </cell>
          <cell r="H79" t="str">
            <v>10 деревьев или кустарников</v>
          </cell>
          <cell r="I79">
            <v>22.9</v>
          </cell>
        </row>
        <row r="80">
          <cell r="E80" t="str">
            <v>16</v>
          </cell>
          <cell r="G80" t="str">
            <v>Груша плодовая с комом 1,5х1,5х0,65 м (или эквивалент)</v>
          </cell>
          <cell r="H80" t="str">
            <v>шт.</v>
          </cell>
          <cell r="I80">
            <v>3</v>
          </cell>
        </row>
        <row r="81">
          <cell r="E81" t="str">
            <v>17</v>
          </cell>
          <cell r="G81" t="str">
            <v>Ива белая с комом 1,5х1,5х0,65 м (или эквивалент)</v>
          </cell>
          <cell r="H81" t="str">
            <v>шт.</v>
          </cell>
          <cell r="I81">
            <v>32</v>
          </cell>
        </row>
        <row r="82">
          <cell r="E82" t="str">
            <v>18</v>
          </cell>
          <cell r="G82" t="str">
            <v>Клен остролистный 1,5х1,5х0,65 м (или эквивалент)</v>
          </cell>
          <cell r="H82" t="str">
            <v>шт.</v>
          </cell>
          <cell r="I82">
            <v>29</v>
          </cell>
        </row>
        <row r="83">
          <cell r="E83" t="str">
            <v>19</v>
          </cell>
          <cell r="G83" t="str">
            <v>Липа мелколистная с комом 1,5х1,5х0,65 м  (или эквивалент)</v>
          </cell>
          <cell r="H83" t="str">
            <v>шт.</v>
          </cell>
          <cell r="I83">
            <v>132</v>
          </cell>
        </row>
        <row r="84">
          <cell r="E84" t="str">
            <v>20</v>
          </cell>
          <cell r="G84" t="str">
            <v>Рябина обыкновенная 1,5х1,5х0,65 м (или эквивалент)</v>
          </cell>
          <cell r="H84" t="str">
            <v>шт.</v>
          </cell>
          <cell r="I84">
            <v>18</v>
          </cell>
        </row>
        <row r="85">
          <cell r="E85" t="str">
            <v>21</v>
          </cell>
          <cell r="G85" t="str">
            <v>Сосна обыкновенная с комом 1,5х1,5х0,65 м  (или эквивалент)</v>
          </cell>
          <cell r="H85" t="str">
            <v>шт.</v>
          </cell>
          <cell r="I85">
            <v>15</v>
          </cell>
        </row>
        <row r="117">
          <cell r="G117" t="str">
            <v>Уход за деревьями с комом земли 1,5х1,5х0,65 м - 4625 шт.</v>
          </cell>
        </row>
        <row r="121">
          <cell r="E121" t="str">
            <v>22</v>
          </cell>
          <cell r="G121" t="str">
            <v>Полив зеленых насаждений из шланга поливомоечной машины (К=4)</v>
          </cell>
          <cell r="H121" t="str">
            <v>1 м3 выливаемой воды</v>
          </cell>
          <cell r="I121">
            <v>799.2</v>
          </cell>
        </row>
        <row r="122">
          <cell r="E122" t="str">
            <v>23</v>
          </cell>
          <cell r="G122" t="str">
            <v>Прополка и рыхление лунок или канавок (К=4)</v>
          </cell>
          <cell r="H122" t="str">
            <v>100 м2 площади лунок или канавок</v>
          </cell>
          <cell r="I122">
            <v>266.39999999999998</v>
          </cell>
        </row>
        <row r="154">
          <cell r="G154" t="str">
            <v>Посадка деревьев с комом земли 1,0х1,0х0,6 м - 91 шт.</v>
          </cell>
        </row>
        <row r="158">
          <cell r="E158" t="str">
            <v>24</v>
          </cell>
          <cell r="G158" t="str">
            <v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v>
          </cell>
          <cell r="H158" t="str">
            <v>10 ям</v>
          </cell>
          <cell r="I158">
            <v>6.8250000000000002</v>
          </cell>
        </row>
        <row r="159">
          <cell r="E159" t="str">
            <v>24,1</v>
          </cell>
          <cell r="G159" t="str">
            <v>Земля растительная</v>
          </cell>
          <cell r="H159" t="str">
            <v>м3</v>
          </cell>
          <cell r="I159">
            <v>63.1995</v>
          </cell>
        </row>
        <row r="160">
          <cell r="E160" t="str">
            <v>25</v>
          </cell>
          <cell r="G160" t="str">
            <v>Подготовка стандартных посадочных мест вручную с квадратным комом земли размером 1,0х1,0х0,6 м с добавлением растительной земли 50%</v>
          </cell>
          <cell r="H160" t="str">
            <v>10 ям</v>
          </cell>
          <cell r="I160">
            <v>2.2749999999999999</v>
          </cell>
        </row>
        <row r="161">
          <cell r="E161" t="str">
            <v>25,1</v>
          </cell>
          <cell r="G161" t="str">
            <v>Земля растительная</v>
          </cell>
          <cell r="H161" t="str">
            <v>м3</v>
          </cell>
          <cell r="I161">
            <v>21.066500000000001</v>
          </cell>
        </row>
        <row r="162">
          <cell r="E162" t="str">
            <v>26</v>
          </cell>
          <cell r="G162" t="str">
            <v>Посадка деревьев и кустарников с комом земли размером 1,0х1,0х0,6 м</v>
          </cell>
          <cell r="H162" t="str">
            <v>10 деревьев или кустарников</v>
          </cell>
          <cell r="I162">
            <v>9.1</v>
          </cell>
        </row>
        <row r="163">
          <cell r="E163" t="str">
            <v>27</v>
          </cell>
          <cell r="G163" t="str">
            <v>Яблоня домашняя с комом 1,0х1,0х0,6 м (или эквивалент)</v>
          </cell>
          <cell r="H163" t="str">
            <v>шт.</v>
          </cell>
          <cell r="I163">
            <v>63</v>
          </cell>
        </row>
        <row r="164">
          <cell r="E164" t="str">
            <v>28</v>
          </cell>
          <cell r="G164" t="str">
            <v>Яблоня домашняя с комом 1,0х1,0х0,6 м (или эквивалент)</v>
          </cell>
          <cell r="H164" t="str">
            <v>шт.</v>
          </cell>
          <cell r="I164">
            <v>28</v>
          </cell>
        </row>
        <row r="165">
          <cell r="E165" t="str">
            <v>29</v>
          </cell>
          <cell r="G165" t="str">
            <v>Разработка грунта с погрузкой на автомобили-самосвалы экскаваторами с ковшом вместимостью 0,5 м3 группа грунтов 1-3 (Объем грунта на 1 дерево: (3,07 м3 - 0,6 м3) х 50% + 0,6 м3 = 1,835 м3; Общий объем грунта: 1,835 м3/дер. х 91 дер. = 166,985 м3)</v>
          </cell>
          <cell r="H165" t="str">
            <v>100 м3 грунта</v>
          </cell>
          <cell r="I165">
            <v>1.6698500000000001</v>
          </cell>
        </row>
        <row r="166">
          <cell r="E166" t="str">
            <v>30</v>
          </cell>
          <cell r="G166" t="str">
            <v>Планировка участка вручную (разравнивание грунта от разработки ям, толщина слоя 0,1 м)</v>
          </cell>
          <cell r="H166" t="str">
            <v>100 м2</v>
          </cell>
          <cell r="I166">
            <v>16.698499999999999</v>
          </cell>
        </row>
        <row r="198">
          <cell r="G198" t="str">
            <v>Восстановление отпада деревьев с комом земли 1,0х1,0х0,6 м - 4 шт.</v>
          </cell>
        </row>
        <row r="202">
          <cell r="E202" t="str">
            <v>31</v>
          </cell>
          <cell r="G202" t="str">
            <v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v>
          </cell>
          <cell r="H202" t="str">
            <v>10 ям</v>
          </cell>
          <cell r="I202">
            <v>0.3</v>
          </cell>
        </row>
        <row r="203">
          <cell r="E203" t="str">
            <v>32</v>
          </cell>
          <cell r="G203" t="str">
            <v>Подготовка стандартных посадочных мест вручную с квадратным комом земли размером 1,0х1,0х0,6 м в естественном грунте</v>
          </cell>
          <cell r="H203" t="str">
            <v>10 ям</v>
          </cell>
          <cell r="I203">
            <v>0.1</v>
          </cell>
        </row>
        <row r="204">
          <cell r="E204" t="str">
            <v>33</v>
          </cell>
          <cell r="G204" t="str">
            <v>Посадка деревьев и кустарников с комом земли размером 1,0х1,0х0,6 м</v>
          </cell>
          <cell r="H204" t="str">
            <v>10 деревьев или кустарников</v>
          </cell>
          <cell r="I204">
            <v>0.4</v>
          </cell>
        </row>
        <row r="205">
          <cell r="E205" t="str">
            <v>34</v>
          </cell>
          <cell r="G205" t="str">
            <v>Яблоня домашняя с комом 1,0х1,0х0,6 м (или эквивалент)</v>
          </cell>
          <cell r="H205" t="str">
            <v>шт.</v>
          </cell>
          <cell r="I205">
            <v>4</v>
          </cell>
        </row>
        <row r="237">
          <cell r="G237" t="str">
            <v>Уход за деревьями с комом 1,0х1,0х0,6 м - 91 шт.</v>
          </cell>
        </row>
        <row r="241">
          <cell r="E241" t="str">
            <v>35</v>
          </cell>
          <cell r="G241" t="str">
            <v>Полив зеленых насаждений из шланга поливомоечной машины (К=4)</v>
          </cell>
          <cell r="H241" t="str">
            <v>1 м3 выливаемой воды</v>
          </cell>
          <cell r="I241">
            <v>9.8552999999999997</v>
          </cell>
        </row>
        <row r="242">
          <cell r="E242" t="str">
            <v>36</v>
          </cell>
          <cell r="G242" t="str">
            <v>Прополка и рыхление лунок или канавок (К=4)</v>
          </cell>
          <cell r="H242" t="str">
            <v>100 м2 площади лунок или канавок</v>
          </cell>
          <cell r="I242">
            <v>3.2850999999999999</v>
          </cell>
        </row>
        <row r="304">
          <cell r="G304" t="str">
            <v>Затраты на перевозку отходов строительства и сноса, в т.ч. грунта, автотранспортными средствами</v>
          </cell>
        </row>
        <row r="308">
          <cell r="G308" t="str">
            <v>Посадка деревьев с комом земли 1,5х1,5х0,65 м - 4625 шт.</v>
          </cell>
        </row>
        <row r="312">
          <cell r="E312" t="str">
            <v>37</v>
          </cell>
          <cell r="G312" t="str">
            <v>Перевозка грунтов растительного слоя и торфов на расстояние до 1 км автосамосвалами грузоподъемностью до 20 т</v>
          </cell>
          <cell r="H312" t="str">
            <v>т</v>
          </cell>
          <cell r="I312">
            <v>21497</v>
          </cell>
        </row>
        <row r="344">
          <cell r="G344" t="str">
            <v>Посадка деревьев с комом земли 1,0х1,0х0,6 м - 91 шт.</v>
          </cell>
        </row>
        <row r="348">
          <cell r="E348" t="str">
            <v>38</v>
          </cell>
          <cell r="G348" t="str">
            <v>Перевозка грунтов растительного слоя и торфов на расстояние до 1 км автосамосвалами грузоподъемностью до 20 т</v>
          </cell>
          <cell r="H348" t="str">
            <v>т</v>
          </cell>
          <cell r="I348">
            <v>233.779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8"/>
  <sheetViews>
    <sheetView tabSelected="1" view="pageBreakPreview" topLeftCell="A27" zoomScale="85" zoomScaleNormal="100" zoomScaleSheetLayoutView="85" workbookViewId="0">
      <selection activeCell="B13" sqref="B13"/>
    </sheetView>
  </sheetViews>
  <sheetFormatPr defaultRowHeight="15.75" x14ac:dyDescent="0.25"/>
  <cols>
    <col min="1" max="1" width="37.28515625" style="128" customWidth="1"/>
    <col min="2" max="6" width="22" style="128" customWidth="1"/>
    <col min="7" max="7" width="22" style="128" hidden="1" customWidth="1"/>
    <col min="8" max="8" width="19.5703125" style="177" hidden="1" customWidth="1"/>
    <col min="9" max="9" width="17.42578125" style="177" customWidth="1"/>
    <col min="10" max="10" width="20" style="177" customWidth="1"/>
    <col min="11" max="251" width="9.140625" style="128"/>
    <col min="252" max="252" width="41.5703125" style="128" customWidth="1"/>
    <col min="253" max="253" width="23.85546875" style="128" customWidth="1"/>
    <col min="254" max="254" width="22.7109375" style="128" customWidth="1"/>
    <col min="255" max="257" width="23.85546875" style="128" customWidth="1"/>
    <col min="258" max="263" width="0" style="128" hidden="1" customWidth="1"/>
    <col min="264" max="507" width="9.140625" style="128"/>
    <col min="508" max="508" width="41.5703125" style="128" customWidth="1"/>
    <col min="509" max="509" width="23.85546875" style="128" customWidth="1"/>
    <col min="510" max="510" width="22.7109375" style="128" customWidth="1"/>
    <col min="511" max="513" width="23.85546875" style="128" customWidth="1"/>
    <col min="514" max="519" width="0" style="128" hidden="1" customWidth="1"/>
    <col min="520" max="763" width="9.140625" style="128"/>
    <col min="764" max="764" width="41.5703125" style="128" customWidth="1"/>
    <col min="765" max="765" width="23.85546875" style="128" customWidth="1"/>
    <col min="766" max="766" width="22.7109375" style="128" customWidth="1"/>
    <col min="767" max="769" width="23.85546875" style="128" customWidth="1"/>
    <col min="770" max="775" width="0" style="128" hidden="1" customWidth="1"/>
    <col min="776" max="1019" width="9.140625" style="128"/>
    <col min="1020" max="1020" width="41.5703125" style="128" customWidth="1"/>
    <col min="1021" max="1021" width="23.85546875" style="128" customWidth="1"/>
    <col min="1022" max="1022" width="22.7109375" style="128" customWidth="1"/>
    <col min="1023" max="1025" width="23.85546875" style="128" customWidth="1"/>
    <col min="1026" max="1031" width="0" style="128" hidden="1" customWidth="1"/>
    <col min="1032" max="1275" width="9.140625" style="128"/>
    <col min="1276" max="1276" width="41.5703125" style="128" customWidth="1"/>
    <col min="1277" max="1277" width="23.85546875" style="128" customWidth="1"/>
    <col min="1278" max="1278" width="22.7109375" style="128" customWidth="1"/>
    <col min="1279" max="1281" width="23.85546875" style="128" customWidth="1"/>
    <col min="1282" max="1287" width="0" style="128" hidden="1" customWidth="1"/>
    <col min="1288" max="1531" width="9.140625" style="128"/>
    <col min="1532" max="1532" width="41.5703125" style="128" customWidth="1"/>
    <col min="1533" max="1533" width="23.85546875" style="128" customWidth="1"/>
    <col min="1534" max="1534" width="22.7109375" style="128" customWidth="1"/>
    <col min="1535" max="1537" width="23.85546875" style="128" customWidth="1"/>
    <col min="1538" max="1543" width="0" style="128" hidden="1" customWidth="1"/>
    <col min="1544" max="1787" width="9.140625" style="128"/>
    <col min="1788" max="1788" width="41.5703125" style="128" customWidth="1"/>
    <col min="1789" max="1789" width="23.85546875" style="128" customWidth="1"/>
    <col min="1790" max="1790" width="22.7109375" style="128" customWidth="1"/>
    <col min="1791" max="1793" width="23.85546875" style="128" customWidth="1"/>
    <col min="1794" max="1799" width="0" style="128" hidden="1" customWidth="1"/>
    <col min="1800" max="2043" width="9.140625" style="128"/>
    <col min="2044" max="2044" width="41.5703125" style="128" customWidth="1"/>
    <col min="2045" max="2045" width="23.85546875" style="128" customWidth="1"/>
    <col min="2046" max="2046" width="22.7109375" style="128" customWidth="1"/>
    <col min="2047" max="2049" width="23.85546875" style="128" customWidth="1"/>
    <col min="2050" max="2055" width="0" style="128" hidden="1" customWidth="1"/>
    <col min="2056" max="2299" width="9.140625" style="128"/>
    <col min="2300" max="2300" width="41.5703125" style="128" customWidth="1"/>
    <col min="2301" max="2301" width="23.85546875" style="128" customWidth="1"/>
    <col min="2302" max="2302" width="22.7109375" style="128" customWidth="1"/>
    <col min="2303" max="2305" width="23.85546875" style="128" customWidth="1"/>
    <col min="2306" max="2311" width="0" style="128" hidden="1" customWidth="1"/>
    <col min="2312" max="2555" width="9.140625" style="128"/>
    <col min="2556" max="2556" width="41.5703125" style="128" customWidth="1"/>
    <col min="2557" max="2557" width="23.85546875" style="128" customWidth="1"/>
    <col min="2558" max="2558" width="22.7109375" style="128" customWidth="1"/>
    <col min="2559" max="2561" width="23.85546875" style="128" customWidth="1"/>
    <col min="2562" max="2567" width="0" style="128" hidden="1" customWidth="1"/>
    <col min="2568" max="2811" width="9.140625" style="128"/>
    <col min="2812" max="2812" width="41.5703125" style="128" customWidth="1"/>
    <col min="2813" max="2813" width="23.85546875" style="128" customWidth="1"/>
    <col min="2814" max="2814" width="22.7109375" style="128" customWidth="1"/>
    <col min="2815" max="2817" width="23.85546875" style="128" customWidth="1"/>
    <col min="2818" max="2823" width="0" style="128" hidden="1" customWidth="1"/>
    <col min="2824" max="3067" width="9.140625" style="128"/>
    <col min="3068" max="3068" width="41.5703125" style="128" customWidth="1"/>
    <col min="3069" max="3069" width="23.85546875" style="128" customWidth="1"/>
    <col min="3070" max="3070" width="22.7109375" style="128" customWidth="1"/>
    <col min="3071" max="3073" width="23.85546875" style="128" customWidth="1"/>
    <col min="3074" max="3079" width="0" style="128" hidden="1" customWidth="1"/>
    <col min="3080" max="3323" width="9.140625" style="128"/>
    <col min="3324" max="3324" width="41.5703125" style="128" customWidth="1"/>
    <col min="3325" max="3325" width="23.85546875" style="128" customWidth="1"/>
    <col min="3326" max="3326" width="22.7109375" style="128" customWidth="1"/>
    <col min="3327" max="3329" width="23.85546875" style="128" customWidth="1"/>
    <col min="3330" max="3335" width="0" style="128" hidden="1" customWidth="1"/>
    <col min="3336" max="3579" width="9.140625" style="128"/>
    <col min="3580" max="3580" width="41.5703125" style="128" customWidth="1"/>
    <col min="3581" max="3581" width="23.85546875" style="128" customWidth="1"/>
    <col min="3582" max="3582" width="22.7109375" style="128" customWidth="1"/>
    <col min="3583" max="3585" width="23.85546875" style="128" customWidth="1"/>
    <col min="3586" max="3591" width="0" style="128" hidden="1" customWidth="1"/>
    <col min="3592" max="3835" width="9.140625" style="128"/>
    <col min="3836" max="3836" width="41.5703125" style="128" customWidth="1"/>
    <col min="3837" max="3837" width="23.85546875" style="128" customWidth="1"/>
    <col min="3838" max="3838" width="22.7109375" style="128" customWidth="1"/>
    <col min="3839" max="3841" width="23.85546875" style="128" customWidth="1"/>
    <col min="3842" max="3847" width="0" style="128" hidden="1" customWidth="1"/>
    <col min="3848" max="4091" width="9.140625" style="128"/>
    <col min="4092" max="4092" width="41.5703125" style="128" customWidth="1"/>
    <col min="4093" max="4093" width="23.85546875" style="128" customWidth="1"/>
    <col min="4094" max="4094" width="22.7109375" style="128" customWidth="1"/>
    <col min="4095" max="4097" width="23.85546875" style="128" customWidth="1"/>
    <col min="4098" max="4103" width="0" style="128" hidden="1" customWidth="1"/>
    <col min="4104" max="4347" width="9.140625" style="128"/>
    <col min="4348" max="4348" width="41.5703125" style="128" customWidth="1"/>
    <col min="4349" max="4349" width="23.85546875" style="128" customWidth="1"/>
    <col min="4350" max="4350" width="22.7109375" style="128" customWidth="1"/>
    <col min="4351" max="4353" width="23.85546875" style="128" customWidth="1"/>
    <col min="4354" max="4359" width="0" style="128" hidden="1" customWidth="1"/>
    <col min="4360" max="4603" width="9.140625" style="128"/>
    <col min="4604" max="4604" width="41.5703125" style="128" customWidth="1"/>
    <col min="4605" max="4605" width="23.85546875" style="128" customWidth="1"/>
    <col min="4606" max="4606" width="22.7109375" style="128" customWidth="1"/>
    <col min="4607" max="4609" width="23.85546875" style="128" customWidth="1"/>
    <col min="4610" max="4615" width="0" style="128" hidden="1" customWidth="1"/>
    <col min="4616" max="4859" width="9.140625" style="128"/>
    <col min="4860" max="4860" width="41.5703125" style="128" customWidth="1"/>
    <col min="4861" max="4861" width="23.85546875" style="128" customWidth="1"/>
    <col min="4862" max="4862" width="22.7109375" style="128" customWidth="1"/>
    <col min="4863" max="4865" width="23.85546875" style="128" customWidth="1"/>
    <col min="4866" max="4871" width="0" style="128" hidden="1" customWidth="1"/>
    <col min="4872" max="5115" width="9.140625" style="128"/>
    <col min="5116" max="5116" width="41.5703125" style="128" customWidth="1"/>
    <col min="5117" max="5117" width="23.85546875" style="128" customWidth="1"/>
    <col min="5118" max="5118" width="22.7109375" style="128" customWidth="1"/>
    <col min="5119" max="5121" width="23.85546875" style="128" customWidth="1"/>
    <col min="5122" max="5127" width="0" style="128" hidden="1" customWidth="1"/>
    <col min="5128" max="5371" width="9.140625" style="128"/>
    <col min="5372" max="5372" width="41.5703125" style="128" customWidth="1"/>
    <col min="5373" max="5373" width="23.85546875" style="128" customWidth="1"/>
    <col min="5374" max="5374" width="22.7109375" style="128" customWidth="1"/>
    <col min="5375" max="5377" width="23.85546875" style="128" customWidth="1"/>
    <col min="5378" max="5383" width="0" style="128" hidden="1" customWidth="1"/>
    <col min="5384" max="5627" width="9.140625" style="128"/>
    <col min="5628" max="5628" width="41.5703125" style="128" customWidth="1"/>
    <col min="5629" max="5629" width="23.85546875" style="128" customWidth="1"/>
    <col min="5630" max="5630" width="22.7109375" style="128" customWidth="1"/>
    <col min="5631" max="5633" width="23.85546875" style="128" customWidth="1"/>
    <col min="5634" max="5639" width="0" style="128" hidden="1" customWidth="1"/>
    <col min="5640" max="5883" width="9.140625" style="128"/>
    <col min="5884" max="5884" width="41.5703125" style="128" customWidth="1"/>
    <col min="5885" max="5885" width="23.85546875" style="128" customWidth="1"/>
    <col min="5886" max="5886" width="22.7109375" style="128" customWidth="1"/>
    <col min="5887" max="5889" width="23.85546875" style="128" customWidth="1"/>
    <col min="5890" max="5895" width="0" style="128" hidden="1" customWidth="1"/>
    <col min="5896" max="6139" width="9.140625" style="128"/>
    <col min="6140" max="6140" width="41.5703125" style="128" customWidth="1"/>
    <col min="6141" max="6141" width="23.85546875" style="128" customWidth="1"/>
    <col min="6142" max="6142" width="22.7109375" style="128" customWidth="1"/>
    <col min="6143" max="6145" width="23.85546875" style="128" customWidth="1"/>
    <col min="6146" max="6151" width="0" style="128" hidden="1" customWidth="1"/>
    <col min="6152" max="6395" width="9.140625" style="128"/>
    <col min="6396" max="6396" width="41.5703125" style="128" customWidth="1"/>
    <col min="6397" max="6397" width="23.85546875" style="128" customWidth="1"/>
    <col min="6398" max="6398" width="22.7109375" style="128" customWidth="1"/>
    <col min="6399" max="6401" width="23.85546875" style="128" customWidth="1"/>
    <col min="6402" max="6407" width="0" style="128" hidden="1" customWidth="1"/>
    <col min="6408" max="6651" width="9.140625" style="128"/>
    <col min="6652" max="6652" width="41.5703125" style="128" customWidth="1"/>
    <col min="6653" max="6653" width="23.85546875" style="128" customWidth="1"/>
    <col min="6654" max="6654" width="22.7109375" style="128" customWidth="1"/>
    <col min="6655" max="6657" width="23.85546875" style="128" customWidth="1"/>
    <col min="6658" max="6663" width="0" style="128" hidden="1" customWidth="1"/>
    <col min="6664" max="6907" width="9.140625" style="128"/>
    <col min="6908" max="6908" width="41.5703125" style="128" customWidth="1"/>
    <col min="6909" max="6909" width="23.85546875" style="128" customWidth="1"/>
    <col min="6910" max="6910" width="22.7109375" style="128" customWidth="1"/>
    <col min="6911" max="6913" width="23.85546875" style="128" customWidth="1"/>
    <col min="6914" max="6919" width="0" style="128" hidden="1" customWidth="1"/>
    <col min="6920" max="7163" width="9.140625" style="128"/>
    <col min="7164" max="7164" width="41.5703125" style="128" customWidth="1"/>
    <col min="7165" max="7165" width="23.85546875" style="128" customWidth="1"/>
    <col min="7166" max="7166" width="22.7109375" style="128" customWidth="1"/>
    <col min="7167" max="7169" width="23.85546875" style="128" customWidth="1"/>
    <col min="7170" max="7175" width="0" style="128" hidden="1" customWidth="1"/>
    <col min="7176" max="7419" width="9.140625" style="128"/>
    <col min="7420" max="7420" width="41.5703125" style="128" customWidth="1"/>
    <col min="7421" max="7421" width="23.85546875" style="128" customWidth="1"/>
    <col min="7422" max="7422" width="22.7109375" style="128" customWidth="1"/>
    <col min="7423" max="7425" width="23.85546875" style="128" customWidth="1"/>
    <col min="7426" max="7431" width="0" style="128" hidden="1" customWidth="1"/>
    <col min="7432" max="7675" width="9.140625" style="128"/>
    <col min="7676" max="7676" width="41.5703125" style="128" customWidth="1"/>
    <col min="7677" max="7677" width="23.85546875" style="128" customWidth="1"/>
    <col min="7678" max="7678" width="22.7109375" style="128" customWidth="1"/>
    <col min="7679" max="7681" width="23.85546875" style="128" customWidth="1"/>
    <col min="7682" max="7687" width="0" style="128" hidden="1" customWidth="1"/>
    <col min="7688" max="7931" width="9.140625" style="128"/>
    <col min="7932" max="7932" width="41.5703125" style="128" customWidth="1"/>
    <col min="7933" max="7933" width="23.85546875" style="128" customWidth="1"/>
    <col min="7934" max="7934" width="22.7109375" style="128" customWidth="1"/>
    <col min="7935" max="7937" width="23.85546875" style="128" customWidth="1"/>
    <col min="7938" max="7943" width="0" style="128" hidden="1" customWidth="1"/>
    <col min="7944" max="8187" width="9.140625" style="128"/>
    <col min="8188" max="8188" width="41.5703125" style="128" customWidth="1"/>
    <col min="8189" max="8189" width="23.85546875" style="128" customWidth="1"/>
    <col min="8190" max="8190" width="22.7109375" style="128" customWidth="1"/>
    <col min="8191" max="8193" width="23.85546875" style="128" customWidth="1"/>
    <col min="8194" max="8199" width="0" style="128" hidden="1" customWidth="1"/>
    <col min="8200" max="8443" width="9.140625" style="128"/>
    <col min="8444" max="8444" width="41.5703125" style="128" customWidth="1"/>
    <col min="8445" max="8445" width="23.85546875" style="128" customWidth="1"/>
    <col min="8446" max="8446" width="22.7109375" style="128" customWidth="1"/>
    <col min="8447" max="8449" width="23.85546875" style="128" customWidth="1"/>
    <col min="8450" max="8455" width="0" style="128" hidden="1" customWidth="1"/>
    <col min="8456" max="8699" width="9.140625" style="128"/>
    <col min="8700" max="8700" width="41.5703125" style="128" customWidth="1"/>
    <col min="8701" max="8701" width="23.85546875" style="128" customWidth="1"/>
    <col min="8702" max="8702" width="22.7109375" style="128" customWidth="1"/>
    <col min="8703" max="8705" width="23.85546875" style="128" customWidth="1"/>
    <col min="8706" max="8711" width="0" style="128" hidden="1" customWidth="1"/>
    <col min="8712" max="8955" width="9.140625" style="128"/>
    <col min="8956" max="8956" width="41.5703125" style="128" customWidth="1"/>
    <col min="8957" max="8957" width="23.85546875" style="128" customWidth="1"/>
    <col min="8958" max="8958" width="22.7109375" style="128" customWidth="1"/>
    <col min="8959" max="8961" width="23.85546875" style="128" customWidth="1"/>
    <col min="8962" max="8967" width="0" style="128" hidden="1" customWidth="1"/>
    <col min="8968" max="9211" width="9.140625" style="128"/>
    <col min="9212" max="9212" width="41.5703125" style="128" customWidth="1"/>
    <col min="9213" max="9213" width="23.85546875" style="128" customWidth="1"/>
    <col min="9214" max="9214" width="22.7109375" style="128" customWidth="1"/>
    <col min="9215" max="9217" width="23.85546875" style="128" customWidth="1"/>
    <col min="9218" max="9223" width="0" style="128" hidden="1" customWidth="1"/>
    <col min="9224" max="9467" width="9.140625" style="128"/>
    <col min="9468" max="9468" width="41.5703125" style="128" customWidth="1"/>
    <col min="9469" max="9469" width="23.85546875" style="128" customWidth="1"/>
    <col min="9470" max="9470" width="22.7109375" style="128" customWidth="1"/>
    <col min="9471" max="9473" width="23.85546875" style="128" customWidth="1"/>
    <col min="9474" max="9479" width="0" style="128" hidden="1" customWidth="1"/>
    <col min="9480" max="9723" width="9.140625" style="128"/>
    <col min="9724" max="9724" width="41.5703125" style="128" customWidth="1"/>
    <col min="9725" max="9725" width="23.85546875" style="128" customWidth="1"/>
    <col min="9726" max="9726" width="22.7109375" style="128" customWidth="1"/>
    <col min="9727" max="9729" width="23.85546875" style="128" customWidth="1"/>
    <col min="9730" max="9735" width="0" style="128" hidden="1" customWidth="1"/>
    <col min="9736" max="9979" width="9.140625" style="128"/>
    <col min="9980" max="9980" width="41.5703125" style="128" customWidth="1"/>
    <col min="9981" max="9981" width="23.85546875" style="128" customWidth="1"/>
    <col min="9982" max="9982" width="22.7109375" style="128" customWidth="1"/>
    <col min="9983" max="9985" width="23.85546875" style="128" customWidth="1"/>
    <col min="9986" max="9991" width="0" style="128" hidden="1" customWidth="1"/>
    <col min="9992" max="10235" width="9.140625" style="128"/>
    <col min="10236" max="10236" width="41.5703125" style="128" customWidth="1"/>
    <col min="10237" max="10237" width="23.85546875" style="128" customWidth="1"/>
    <col min="10238" max="10238" width="22.7109375" style="128" customWidth="1"/>
    <col min="10239" max="10241" width="23.85546875" style="128" customWidth="1"/>
    <col min="10242" max="10247" width="0" style="128" hidden="1" customWidth="1"/>
    <col min="10248" max="10491" width="9.140625" style="128"/>
    <col min="10492" max="10492" width="41.5703125" style="128" customWidth="1"/>
    <col min="10493" max="10493" width="23.85546875" style="128" customWidth="1"/>
    <col min="10494" max="10494" width="22.7109375" style="128" customWidth="1"/>
    <col min="10495" max="10497" width="23.85546875" style="128" customWidth="1"/>
    <col min="10498" max="10503" width="0" style="128" hidden="1" customWidth="1"/>
    <col min="10504" max="10747" width="9.140625" style="128"/>
    <col min="10748" max="10748" width="41.5703125" style="128" customWidth="1"/>
    <col min="10749" max="10749" width="23.85546875" style="128" customWidth="1"/>
    <col min="10750" max="10750" width="22.7109375" style="128" customWidth="1"/>
    <col min="10751" max="10753" width="23.85546875" style="128" customWidth="1"/>
    <col min="10754" max="10759" width="0" style="128" hidden="1" customWidth="1"/>
    <col min="10760" max="11003" width="9.140625" style="128"/>
    <col min="11004" max="11004" width="41.5703125" style="128" customWidth="1"/>
    <col min="11005" max="11005" width="23.85546875" style="128" customWidth="1"/>
    <col min="11006" max="11006" width="22.7109375" style="128" customWidth="1"/>
    <col min="11007" max="11009" width="23.85546875" style="128" customWidth="1"/>
    <col min="11010" max="11015" width="0" style="128" hidden="1" customWidth="1"/>
    <col min="11016" max="11259" width="9.140625" style="128"/>
    <col min="11260" max="11260" width="41.5703125" style="128" customWidth="1"/>
    <col min="11261" max="11261" width="23.85546875" style="128" customWidth="1"/>
    <col min="11262" max="11262" width="22.7109375" style="128" customWidth="1"/>
    <col min="11263" max="11265" width="23.85546875" style="128" customWidth="1"/>
    <col min="11266" max="11271" width="0" style="128" hidden="1" customWidth="1"/>
    <col min="11272" max="11515" width="9.140625" style="128"/>
    <col min="11516" max="11516" width="41.5703125" style="128" customWidth="1"/>
    <col min="11517" max="11517" width="23.85546875" style="128" customWidth="1"/>
    <col min="11518" max="11518" width="22.7109375" style="128" customWidth="1"/>
    <col min="11519" max="11521" width="23.85546875" style="128" customWidth="1"/>
    <col min="11522" max="11527" width="0" style="128" hidden="1" customWidth="1"/>
    <col min="11528" max="11771" width="9.140625" style="128"/>
    <col min="11772" max="11772" width="41.5703125" style="128" customWidth="1"/>
    <col min="11773" max="11773" width="23.85546875" style="128" customWidth="1"/>
    <col min="11774" max="11774" width="22.7109375" style="128" customWidth="1"/>
    <col min="11775" max="11777" width="23.85546875" style="128" customWidth="1"/>
    <col min="11778" max="11783" width="0" style="128" hidden="1" customWidth="1"/>
    <col min="11784" max="12027" width="9.140625" style="128"/>
    <col min="12028" max="12028" width="41.5703125" style="128" customWidth="1"/>
    <col min="12029" max="12029" width="23.85546875" style="128" customWidth="1"/>
    <col min="12030" max="12030" width="22.7109375" style="128" customWidth="1"/>
    <col min="12031" max="12033" width="23.85546875" style="128" customWidth="1"/>
    <col min="12034" max="12039" width="0" style="128" hidden="1" customWidth="1"/>
    <col min="12040" max="12283" width="9.140625" style="128"/>
    <col min="12284" max="12284" width="41.5703125" style="128" customWidth="1"/>
    <col min="12285" max="12285" width="23.85546875" style="128" customWidth="1"/>
    <col min="12286" max="12286" width="22.7109375" style="128" customWidth="1"/>
    <col min="12287" max="12289" width="23.85546875" style="128" customWidth="1"/>
    <col min="12290" max="12295" width="0" style="128" hidden="1" customWidth="1"/>
    <col min="12296" max="12539" width="9.140625" style="128"/>
    <col min="12540" max="12540" width="41.5703125" style="128" customWidth="1"/>
    <col min="12541" max="12541" width="23.85546875" style="128" customWidth="1"/>
    <col min="12542" max="12542" width="22.7109375" style="128" customWidth="1"/>
    <col min="12543" max="12545" width="23.85546875" style="128" customWidth="1"/>
    <col min="12546" max="12551" width="0" style="128" hidden="1" customWidth="1"/>
    <col min="12552" max="12795" width="9.140625" style="128"/>
    <col min="12796" max="12796" width="41.5703125" style="128" customWidth="1"/>
    <col min="12797" max="12797" width="23.85546875" style="128" customWidth="1"/>
    <col min="12798" max="12798" width="22.7109375" style="128" customWidth="1"/>
    <col min="12799" max="12801" width="23.85546875" style="128" customWidth="1"/>
    <col min="12802" max="12807" width="0" style="128" hidden="1" customWidth="1"/>
    <col min="12808" max="13051" width="9.140625" style="128"/>
    <col min="13052" max="13052" width="41.5703125" style="128" customWidth="1"/>
    <col min="13053" max="13053" width="23.85546875" style="128" customWidth="1"/>
    <col min="13054" max="13054" width="22.7109375" style="128" customWidth="1"/>
    <col min="13055" max="13057" width="23.85546875" style="128" customWidth="1"/>
    <col min="13058" max="13063" width="0" style="128" hidden="1" customWidth="1"/>
    <col min="13064" max="13307" width="9.140625" style="128"/>
    <col min="13308" max="13308" width="41.5703125" style="128" customWidth="1"/>
    <col min="13309" max="13309" width="23.85546875" style="128" customWidth="1"/>
    <col min="13310" max="13310" width="22.7109375" style="128" customWidth="1"/>
    <col min="13311" max="13313" width="23.85546875" style="128" customWidth="1"/>
    <col min="13314" max="13319" width="0" style="128" hidden="1" customWidth="1"/>
    <col min="13320" max="13563" width="9.140625" style="128"/>
    <col min="13564" max="13564" width="41.5703125" style="128" customWidth="1"/>
    <col min="13565" max="13565" width="23.85546875" style="128" customWidth="1"/>
    <col min="13566" max="13566" width="22.7109375" style="128" customWidth="1"/>
    <col min="13567" max="13569" width="23.85546875" style="128" customWidth="1"/>
    <col min="13570" max="13575" width="0" style="128" hidden="1" customWidth="1"/>
    <col min="13576" max="13819" width="9.140625" style="128"/>
    <col min="13820" max="13820" width="41.5703125" style="128" customWidth="1"/>
    <col min="13821" max="13821" width="23.85546875" style="128" customWidth="1"/>
    <col min="13822" max="13822" width="22.7109375" style="128" customWidth="1"/>
    <col min="13823" max="13825" width="23.85546875" style="128" customWidth="1"/>
    <col min="13826" max="13831" width="0" style="128" hidden="1" customWidth="1"/>
    <col min="13832" max="14075" width="9.140625" style="128"/>
    <col min="14076" max="14076" width="41.5703125" style="128" customWidth="1"/>
    <col min="14077" max="14077" width="23.85546875" style="128" customWidth="1"/>
    <col min="14078" max="14078" width="22.7109375" style="128" customWidth="1"/>
    <col min="14079" max="14081" width="23.85546875" style="128" customWidth="1"/>
    <col min="14082" max="14087" width="0" style="128" hidden="1" customWidth="1"/>
    <col min="14088" max="14331" width="9.140625" style="128"/>
    <col min="14332" max="14332" width="41.5703125" style="128" customWidth="1"/>
    <col min="14333" max="14333" width="23.85546875" style="128" customWidth="1"/>
    <col min="14334" max="14334" width="22.7109375" style="128" customWidth="1"/>
    <col min="14335" max="14337" width="23.85546875" style="128" customWidth="1"/>
    <col min="14338" max="14343" width="0" style="128" hidden="1" customWidth="1"/>
    <col min="14344" max="14587" width="9.140625" style="128"/>
    <col min="14588" max="14588" width="41.5703125" style="128" customWidth="1"/>
    <col min="14589" max="14589" width="23.85546875" style="128" customWidth="1"/>
    <col min="14590" max="14590" width="22.7109375" style="128" customWidth="1"/>
    <col min="14591" max="14593" width="23.85546875" style="128" customWidth="1"/>
    <col min="14594" max="14599" width="0" style="128" hidden="1" customWidth="1"/>
    <col min="14600" max="14843" width="9.140625" style="128"/>
    <col min="14844" max="14844" width="41.5703125" style="128" customWidth="1"/>
    <col min="14845" max="14845" width="23.85546875" style="128" customWidth="1"/>
    <col min="14846" max="14846" width="22.7109375" style="128" customWidth="1"/>
    <col min="14847" max="14849" width="23.85546875" style="128" customWidth="1"/>
    <col min="14850" max="14855" width="0" style="128" hidden="1" customWidth="1"/>
    <col min="14856" max="15099" width="9.140625" style="128"/>
    <col min="15100" max="15100" width="41.5703125" style="128" customWidth="1"/>
    <col min="15101" max="15101" width="23.85546875" style="128" customWidth="1"/>
    <col min="15102" max="15102" width="22.7109375" style="128" customWidth="1"/>
    <col min="15103" max="15105" width="23.85546875" style="128" customWidth="1"/>
    <col min="15106" max="15111" width="0" style="128" hidden="1" customWidth="1"/>
    <col min="15112" max="15355" width="9.140625" style="128"/>
    <col min="15356" max="15356" width="41.5703125" style="128" customWidth="1"/>
    <col min="15357" max="15357" width="23.85546875" style="128" customWidth="1"/>
    <col min="15358" max="15358" width="22.7109375" style="128" customWidth="1"/>
    <col min="15359" max="15361" width="23.85546875" style="128" customWidth="1"/>
    <col min="15362" max="15367" width="0" style="128" hidden="1" customWidth="1"/>
    <col min="15368" max="15611" width="9.140625" style="128"/>
    <col min="15612" max="15612" width="41.5703125" style="128" customWidth="1"/>
    <col min="15613" max="15613" width="23.85546875" style="128" customWidth="1"/>
    <col min="15614" max="15614" width="22.7109375" style="128" customWidth="1"/>
    <col min="15615" max="15617" width="23.85546875" style="128" customWidth="1"/>
    <col min="15618" max="15623" width="0" style="128" hidden="1" customWidth="1"/>
    <col min="15624" max="15867" width="9.140625" style="128"/>
    <col min="15868" max="15868" width="41.5703125" style="128" customWidth="1"/>
    <col min="15869" max="15869" width="23.85546875" style="128" customWidth="1"/>
    <col min="15870" max="15870" width="22.7109375" style="128" customWidth="1"/>
    <col min="15871" max="15873" width="23.85546875" style="128" customWidth="1"/>
    <col min="15874" max="15879" width="0" style="128" hidden="1" customWidth="1"/>
    <col min="15880" max="16123" width="9.140625" style="128"/>
    <col min="16124" max="16124" width="41.5703125" style="128" customWidth="1"/>
    <col min="16125" max="16125" width="23.85546875" style="128" customWidth="1"/>
    <col min="16126" max="16126" width="22.7109375" style="128" customWidth="1"/>
    <col min="16127" max="16129" width="23.85546875" style="128" customWidth="1"/>
    <col min="16130" max="16135" width="0" style="128" hidden="1" customWidth="1"/>
    <col min="16136" max="16384" width="9.140625" style="128"/>
  </cols>
  <sheetData>
    <row r="1" spans="1:251" ht="69.75" customHeight="1" x14ac:dyDescent="0.25">
      <c r="E1" s="265" t="s">
        <v>480</v>
      </c>
      <c r="F1" s="265"/>
    </row>
    <row r="2" spans="1:251" ht="23.25" x14ac:dyDescent="0.35">
      <c r="A2" s="280" t="s">
        <v>308</v>
      </c>
      <c r="B2" s="280"/>
      <c r="C2" s="280"/>
      <c r="D2" s="280"/>
      <c r="E2" s="280"/>
      <c r="F2" s="280"/>
      <c r="G2" s="182"/>
      <c r="H2" s="126"/>
      <c r="I2" s="126"/>
      <c r="J2" s="126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7"/>
      <c r="HB2" s="127"/>
      <c r="HC2" s="127"/>
      <c r="HD2" s="127"/>
      <c r="HE2" s="127"/>
      <c r="HF2" s="127"/>
      <c r="HG2" s="127"/>
      <c r="HH2" s="127"/>
      <c r="HI2" s="127"/>
      <c r="HJ2" s="127"/>
      <c r="HK2" s="127"/>
      <c r="HL2" s="127"/>
      <c r="HM2" s="127"/>
      <c r="HN2" s="127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7"/>
      <c r="IK2" s="127"/>
      <c r="IL2" s="127"/>
      <c r="IM2" s="127"/>
      <c r="IN2" s="127"/>
      <c r="IO2" s="127"/>
      <c r="IP2" s="127"/>
      <c r="IQ2" s="127"/>
    </row>
    <row r="3" spans="1:251" ht="23.25" x14ac:dyDescent="0.35">
      <c r="A3" s="280" t="s">
        <v>309</v>
      </c>
      <c r="B3" s="280"/>
      <c r="C3" s="280"/>
      <c r="D3" s="280"/>
      <c r="E3" s="280"/>
      <c r="F3" s="280"/>
      <c r="G3" s="182"/>
      <c r="H3" s="126"/>
      <c r="I3" s="126"/>
      <c r="J3" s="126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127"/>
      <c r="CZ3" s="127"/>
      <c r="DA3" s="127"/>
      <c r="DB3" s="127"/>
      <c r="DC3" s="127"/>
      <c r="DD3" s="127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127"/>
      <c r="DX3" s="127"/>
      <c r="DY3" s="127"/>
      <c r="DZ3" s="127"/>
      <c r="EA3" s="127"/>
      <c r="EB3" s="127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127"/>
      <c r="EV3" s="127"/>
      <c r="EW3" s="127"/>
      <c r="EX3" s="127"/>
      <c r="EY3" s="127"/>
      <c r="EZ3" s="127"/>
      <c r="FA3" s="127"/>
      <c r="FB3" s="127"/>
      <c r="FC3" s="127"/>
      <c r="FD3" s="127"/>
      <c r="FE3" s="127"/>
      <c r="FF3" s="127"/>
      <c r="FG3" s="127"/>
      <c r="FH3" s="127"/>
      <c r="FI3" s="127"/>
      <c r="FJ3" s="127"/>
      <c r="FK3" s="127"/>
      <c r="FL3" s="127"/>
      <c r="FM3" s="127"/>
      <c r="FN3" s="127"/>
      <c r="FO3" s="127"/>
      <c r="FP3" s="127"/>
      <c r="FQ3" s="12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  <c r="GC3" s="127"/>
      <c r="GD3" s="127"/>
      <c r="GE3" s="127"/>
      <c r="GF3" s="127"/>
      <c r="GG3" s="127"/>
      <c r="GH3" s="127"/>
      <c r="GI3" s="127"/>
      <c r="GJ3" s="127"/>
      <c r="GK3" s="127"/>
      <c r="GL3" s="127"/>
      <c r="GM3" s="127"/>
      <c r="GN3" s="127"/>
      <c r="GO3" s="127"/>
      <c r="GP3" s="127"/>
      <c r="GQ3" s="127"/>
      <c r="GR3" s="127"/>
      <c r="GS3" s="127"/>
      <c r="GT3" s="127"/>
      <c r="GU3" s="127"/>
      <c r="GV3" s="127"/>
      <c r="GW3" s="127"/>
      <c r="GX3" s="127"/>
      <c r="GY3" s="127"/>
      <c r="GZ3" s="127"/>
      <c r="HA3" s="127"/>
      <c r="HB3" s="127"/>
      <c r="HC3" s="127"/>
      <c r="HD3" s="127"/>
      <c r="HE3" s="127"/>
      <c r="HF3" s="127"/>
      <c r="HG3" s="127"/>
      <c r="HH3" s="127"/>
      <c r="HI3" s="127"/>
      <c r="HJ3" s="127"/>
      <c r="HK3" s="127"/>
      <c r="HL3" s="127"/>
      <c r="HM3" s="127"/>
      <c r="HN3" s="127"/>
      <c r="HO3" s="127"/>
      <c r="HP3" s="127"/>
      <c r="HQ3" s="127"/>
      <c r="HR3" s="127"/>
      <c r="HS3" s="127"/>
      <c r="HT3" s="127"/>
      <c r="HU3" s="127"/>
      <c r="HV3" s="127"/>
      <c r="HW3" s="127"/>
      <c r="HX3" s="127"/>
      <c r="HY3" s="127"/>
      <c r="HZ3" s="127"/>
      <c r="IA3" s="127"/>
      <c r="IB3" s="127"/>
      <c r="IC3" s="127"/>
      <c r="ID3" s="127"/>
      <c r="IE3" s="127"/>
      <c r="IF3" s="127"/>
      <c r="IG3" s="127"/>
      <c r="IH3" s="127"/>
      <c r="II3" s="127"/>
      <c r="IJ3" s="127"/>
      <c r="IK3" s="127"/>
      <c r="IL3" s="127"/>
      <c r="IM3" s="127"/>
      <c r="IN3" s="127"/>
      <c r="IO3" s="127"/>
      <c r="IP3" s="127"/>
      <c r="IQ3" s="127"/>
    </row>
    <row r="4" spans="1:251" ht="23.25" x14ac:dyDescent="0.35">
      <c r="A4" s="280" t="s">
        <v>310</v>
      </c>
      <c r="B4" s="280"/>
      <c r="C4" s="280"/>
      <c r="D4" s="280"/>
      <c r="E4" s="280"/>
      <c r="F4" s="280"/>
      <c r="G4" s="182"/>
      <c r="H4" s="126"/>
      <c r="I4" s="126"/>
      <c r="J4" s="126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  <c r="GC4" s="127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7"/>
      <c r="GO4" s="127"/>
      <c r="GP4" s="127"/>
      <c r="GQ4" s="127"/>
      <c r="GR4" s="127"/>
      <c r="GS4" s="127"/>
      <c r="GT4" s="127"/>
      <c r="GU4" s="127"/>
      <c r="GV4" s="127"/>
      <c r="GW4" s="127"/>
      <c r="GX4" s="127"/>
      <c r="GY4" s="127"/>
      <c r="GZ4" s="127"/>
      <c r="HA4" s="127"/>
      <c r="HB4" s="127"/>
      <c r="HC4" s="127"/>
      <c r="HD4" s="127"/>
      <c r="HE4" s="127"/>
      <c r="HF4" s="127"/>
      <c r="HG4" s="127"/>
      <c r="HH4" s="127"/>
      <c r="HI4" s="127"/>
      <c r="HJ4" s="127"/>
      <c r="HK4" s="127"/>
      <c r="HL4" s="127"/>
      <c r="HM4" s="127"/>
      <c r="HN4" s="127"/>
      <c r="HO4" s="127"/>
      <c r="HP4" s="127"/>
      <c r="HQ4" s="127"/>
      <c r="HR4" s="127"/>
      <c r="HS4" s="127"/>
      <c r="HT4" s="127"/>
      <c r="HU4" s="127"/>
      <c r="HV4" s="127"/>
      <c r="HW4" s="127"/>
      <c r="HX4" s="127"/>
      <c r="HY4" s="127"/>
      <c r="HZ4" s="127"/>
      <c r="IA4" s="127"/>
      <c r="IB4" s="127"/>
      <c r="IC4" s="127"/>
      <c r="ID4" s="127"/>
      <c r="IE4" s="127"/>
      <c r="IF4" s="127"/>
      <c r="IG4" s="127"/>
      <c r="IH4" s="127"/>
      <c r="II4" s="127"/>
      <c r="IJ4" s="127"/>
      <c r="IK4" s="127"/>
      <c r="IL4" s="127"/>
      <c r="IM4" s="127"/>
      <c r="IN4" s="127"/>
      <c r="IO4" s="127"/>
      <c r="IP4" s="127"/>
      <c r="IQ4" s="127"/>
    </row>
    <row r="5" spans="1:251" ht="23.25" x14ac:dyDescent="0.35">
      <c r="A5" s="280" t="s">
        <v>311</v>
      </c>
      <c r="B5" s="280"/>
      <c r="C5" s="280"/>
      <c r="D5" s="280"/>
      <c r="E5" s="280"/>
      <c r="F5" s="280"/>
      <c r="G5" s="182"/>
      <c r="H5" s="126"/>
      <c r="I5" s="126"/>
      <c r="J5" s="126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  <c r="EM5" s="127"/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/>
      <c r="FK5" s="127"/>
      <c r="FL5" s="127"/>
      <c r="FM5" s="127"/>
      <c r="FN5" s="127"/>
      <c r="FO5" s="127"/>
      <c r="FP5" s="127"/>
      <c r="FQ5" s="12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  <c r="GC5" s="127"/>
      <c r="GD5" s="127"/>
      <c r="GE5" s="127"/>
      <c r="GF5" s="127"/>
      <c r="GG5" s="127"/>
      <c r="GH5" s="127"/>
      <c r="GI5" s="127"/>
      <c r="GJ5" s="127"/>
      <c r="GK5" s="127"/>
      <c r="GL5" s="127"/>
      <c r="GM5" s="127"/>
      <c r="GN5" s="127"/>
      <c r="GO5" s="127"/>
      <c r="GP5" s="127"/>
      <c r="GQ5" s="127"/>
      <c r="GR5" s="127"/>
      <c r="GS5" s="127"/>
      <c r="GT5" s="127"/>
      <c r="GU5" s="127"/>
      <c r="GV5" s="127"/>
      <c r="GW5" s="127"/>
      <c r="GX5" s="127"/>
      <c r="GY5" s="127"/>
      <c r="GZ5" s="127"/>
      <c r="HA5" s="127"/>
      <c r="HB5" s="127"/>
      <c r="HC5" s="127"/>
      <c r="HD5" s="127"/>
      <c r="HE5" s="127"/>
      <c r="HF5" s="127"/>
      <c r="HG5" s="127"/>
      <c r="HH5" s="127"/>
      <c r="HI5" s="127"/>
      <c r="HJ5" s="127"/>
      <c r="HK5" s="127"/>
      <c r="HL5" s="127"/>
      <c r="HM5" s="127"/>
      <c r="HN5" s="127"/>
      <c r="HO5" s="127"/>
      <c r="HP5" s="127"/>
      <c r="HQ5" s="127"/>
      <c r="HR5" s="127"/>
      <c r="HS5" s="127"/>
      <c r="HT5" s="127"/>
      <c r="HU5" s="127"/>
      <c r="HV5" s="127"/>
      <c r="HW5" s="127"/>
      <c r="HX5" s="127"/>
      <c r="HY5" s="127"/>
      <c r="HZ5" s="127"/>
      <c r="IA5" s="127"/>
      <c r="IB5" s="127"/>
      <c r="IC5" s="127"/>
      <c r="ID5" s="127"/>
      <c r="IE5" s="127"/>
      <c r="IF5" s="127"/>
      <c r="IG5" s="127"/>
      <c r="IH5" s="127"/>
      <c r="II5" s="127"/>
      <c r="IJ5" s="127"/>
      <c r="IK5" s="127"/>
      <c r="IL5" s="127"/>
      <c r="IM5" s="127"/>
      <c r="IN5" s="127"/>
      <c r="IO5" s="127"/>
      <c r="IP5" s="127"/>
      <c r="IQ5" s="127"/>
    </row>
    <row r="6" spans="1:251" ht="23.25" x14ac:dyDescent="0.35">
      <c r="A6" s="279" t="s">
        <v>312</v>
      </c>
      <c r="B6" s="279"/>
      <c r="C6" s="279"/>
      <c r="D6" s="279"/>
      <c r="E6" s="279"/>
      <c r="F6" s="279"/>
      <c r="G6" s="129"/>
      <c r="H6" s="126"/>
      <c r="I6" s="126"/>
      <c r="J6" s="126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7"/>
      <c r="DT6" s="127"/>
      <c r="DU6" s="127"/>
      <c r="DV6" s="127"/>
      <c r="DW6" s="127"/>
      <c r="DX6" s="127"/>
      <c r="DY6" s="127"/>
      <c r="DZ6" s="127"/>
      <c r="EA6" s="127"/>
      <c r="EB6" s="127"/>
      <c r="EC6" s="127"/>
      <c r="ED6" s="127"/>
      <c r="EE6" s="127"/>
      <c r="EF6" s="127"/>
      <c r="EG6" s="127"/>
      <c r="EH6" s="127"/>
      <c r="EI6" s="127"/>
      <c r="EJ6" s="127"/>
      <c r="EK6" s="127"/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127"/>
      <c r="FM6" s="127"/>
      <c r="FN6" s="127"/>
      <c r="FO6" s="127"/>
      <c r="FP6" s="127"/>
      <c r="FQ6" s="12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7"/>
      <c r="GL6" s="127"/>
      <c r="GM6" s="127"/>
      <c r="GN6" s="127"/>
      <c r="GO6" s="127"/>
      <c r="GP6" s="127"/>
      <c r="GQ6" s="127"/>
      <c r="GR6" s="127"/>
      <c r="GS6" s="127"/>
      <c r="GT6" s="127"/>
      <c r="GU6" s="127"/>
      <c r="GV6" s="127"/>
      <c r="GW6" s="127"/>
      <c r="GX6" s="127"/>
      <c r="GY6" s="127"/>
      <c r="GZ6" s="127"/>
      <c r="HA6" s="127"/>
      <c r="HB6" s="127"/>
      <c r="HC6" s="127"/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  <c r="HR6" s="127"/>
      <c r="HS6" s="127"/>
      <c r="HT6" s="127"/>
      <c r="HU6" s="127"/>
      <c r="HV6" s="127"/>
      <c r="HW6" s="127"/>
      <c r="HX6" s="127"/>
      <c r="HY6" s="127"/>
      <c r="HZ6" s="127"/>
      <c r="IA6" s="127"/>
      <c r="IB6" s="127"/>
      <c r="IC6" s="127"/>
      <c r="ID6" s="127"/>
      <c r="IE6" s="127"/>
      <c r="IF6" s="127"/>
      <c r="IG6" s="127"/>
      <c r="IH6" s="127"/>
      <c r="II6" s="127"/>
      <c r="IJ6" s="127"/>
      <c r="IK6" s="127"/>
      <c r="IL6" s="127"/>
      <c r="IM6" s="127"/>
      <c r="IN6" s="127"/>
      <c r="IO6" s="127"/>
      <c r="IP6" s="127"/>
      <c r="IQ6" s="127"/>
    </row>
    <row r="7" spans="1:251" ht="23.25" x14ac:dyDescent="0.35">
      <c r="A7" s="279" t="s">
        <v>313</v>
      </c>
      <c r="B7" s="279"/>
      <c r="C7" s="279"/>
      <c r="D7" s="279"/>
      <c r="E7" s="279"/>
      <c r="F7" s="279"/>
      <c r="G7" s="129"/>
      <c r="H7" s="126"/>
      <c r="I7" s="126"/>
      <c r="J7" s="126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7"/>
      <c r="DW7" s="127"/>
      <c r="DX7" s="127"/>
      <c r="DY7" s="127"/>
      <c r="DZ7" s="127"/>
      <c r="EA7" s="127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7"/>
      <c r="GL7" s="127"/>
      <c r="GM7" s="127"/>
      <c r="GN7" s="127"/>
      <c r="GO7" s="127"/>
      <c r="GP7" s="127"/>
      <c r="GQ7" s="127"/>
      <c r="GR7" s="127"/>
      <c r="GS7" s="127"/>
      <c r="GT7" s="127"/>
      <c r="GU7" s="127"/>
      <c r="GV7" s="127"/>
      <c r="GW7" s="127"/>
      <c r="GX7" s="127"/>
      <c r="GY7" s="127"/>
      <c r="GZ7" s="127"/>
      <c r="HA7" s="127"/>
      <c r="HB7" s="127"/>
      <c r="HC7" s="127"/>
      <c r="HD7" s="127"/>
      <c r="HE7" s="127"/>
      <c r="HF7" s="127"/>
      <c r="HG7" s="127"/>
      <c r="HH7" s="127"/>
      <c r="HI7" s="127"/>
      <c r="HJ7" s="127"/>
      <c r="HK7" s="127"/>
      <c r="HL7" s="127"/>
      <c r="HM7" s="127"/>
      <c r="HN7" s="127"/>
      <c r="HO7" s="127"/>
      <c r="HP7" s="127"/>
      <c r="HQ7" s="127"/>
      <c r="HR7" s="127"/>
      <c r="HS7" s="127"/>
      <c r="HT7" s="127"/>
      <c r="HU7" s="127"/>
      <c r="HV7" s="127"/>
      <c r="HW7" s="127"/>
      <c r="HX7" s="127"/>
      <c r="HY7" s="127"/>
      <c r="HZ7" s="127"/>
      <c r="IA7" s="127"/>
      <c r="IB7" s="127"/>
      <c r="IC7" s="127"/>
      <c r="ID7" s="127"/>
      <c r="IE7" s="127"/>
      <c r="IF7" s="127"/>
      <c r="IG7" s="127"/>
      <c r="IH7" s="127"/>
      <c r="II7" s="127"/>
      <c r="IJ7" s="127"/>
      <c r="IK7" s="127"/>
      <c r="IL7" s="127"/>
      <c r="IM7" s="127"/>
      <c r="IN7" s="127"/>
      <c r="IO7" s="127"/>
      <c r="IP7" s="127"/>
      <c r="IQ7" s="127"/>
    </row>
    <row r="8" spans="1:251" ht="23.25" hidden="1" x14ac:dyDescent="0.35">
      <c r="A8" s="129"/>
      <c r="B8" s="129"/>
      <c r="C8" s="129"/>
      <c r="D8" s="129"/>
      <c r="E8" s="129"/>
      <c r="F8" s="129"/>
      <c r="G8" s="129"/>
      <c r="H8" s="126"/>
      <c r="I8" s="126"/>
      <c r="J8" s="126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  <c r="DO8" s="127"/>
      <c r="DP8" s="127"/>
      <c r="DQ8" s="127"/>
      <c r="DR8" s="127"/>
      <c r="DS8" s="127"/>
      <c r="DT8" s="127"/>
      <c r="DU8" s="127"/>
      <c r="DV8" s="127"/>
      <c r="DW8" s="127"/>
      <c r="DX8" s="127"/>
      <c r="DY8" s="127"/>
      <c r="DZ8" s="127"/>
      <c r="EA8" s="127"/>
      <c r="EB8" s="127"/>
      <c r="EC8" s="127"/>
      <c r="ED8" s="127"/>
      <c r="EE8" s="127"/>
      <c r="EF8" s="127"/>
      <c r="EG8" s="127"/>
      <c r="EH8" s="127"/>
      <c r="EI8" s="127"/>
      <c r="EJ8" s="127"/>
      <c r="EK8" s="127"/>
      <c r="EL8" s="127"/>
      <c r="EM8" s="127"/>
      <c r="EN8" s="127"/>
      <c r="EO8" s="127"/>
      <c r="EP8" s="127"/>
      <c r="EQ8" s="127"/>
      <c r="ER8" s="127"/>
      <c r="ES8" s="127"/>
      <c r="ET8" s="127"/>
      <c r="EU8" s="127"/>
      <c r="EV8" s="127"/>
      <c r="EW8" s="127"/>
      <c r="EX8" s="127"/>
      <c r="EY8" s="127"/>
      <c r="EZ8" s="127"/>
      <c r="FA8" s="127"/>
      <c r="FB8" s="127"/>
      <c r="FC8" s="127"/>
      <c r="FD8" s="127"/>
      <c r="FE8" s="127"/>
      <c r="FF8" s="127"/>
      <c r="FG8" s="127"/>
      <c r="FH8" s="127"/>
      <c r="FI8" s="127"/>
      <c r="FJ8" s="127"/>
      <c r="FK8" s="127"/>
      <c r="FL8" s="127"/>
      <c r="FM8" s="127"/>
      <c r="FN8" s="127"/>
      <c r="FO8" s="127"/>
      <c r="FP8" s="127"/>
      <c r="FQ8" s="127"/>
      <c r="FR8" s="127"/>
      <c r="FS8" s="127"/>
      <c r="FT8" s="127"/>
      <c r="FU8" s="127"/>
      <c r="FV8" s="127"/>
      <c r="FW8" s="127"/>
      <c r="FX8" s="127"/>
      <c r="FY8" s="127"/>
      <c r="FZ8" s="127"/>
      <c r="GA8" s="127"/>
      <c r="GB8" s="127"/>
      <c r="GC8" s="127"/>
      <c r="GD8" s="127"/>
      <c r="GE8" s="127"/>
      <c r="GF8" s="127"/>
      <c r="GG8" s="127"/>
      <c r="GH8" s="127"/>
      <c r="GI8" s="127"/>
      <c r="GJ8" s="127"/>
      <c r="GK8" s="127"/>
      <c r="GL8" s="127"/>
      <c r="GM8" s="127"/>
      <c r="GN8" s="127"/>
      <c r="GO8" s="127"/>
      <c r="GP8" s="127"/>
      <c r="GQ8" s="127"/>
      <c r="GR8" s="127"/>
      <c r="GS8" s="127"/>
      <c r="GT8" s="127"/>
      <c r="GU8" s="127"/>
      <c r="GV8" s="127"/>
      <c r="GW8" s="127"/>
      <c r="GX8" s="127"/>
      <c r="GY8" s="127"/>
      <c r="GZ8" s="127"/>
      <c r="HA8" s="127"/>
      <c r="HB8" s="127"/>
      <c r="HC8" s="127"/>
      <c r="HD8" s="127"/>
      <c r="HE8" s="127"/>
      <c r="HF8" s="127"/>
      <c r="HG8" s="127"/>
      <c r="HH8" s="127"/>
      <c r="HI8" s="127"/>
      <c r="HJ8" s="127"/>
      <c r="HK8" s="127"/>
      <c r="HL8" s="127"/>
      <c r="HM8" s="127"/>
      <c r="HN8" s="127"/>
      <c r="HO8" s="127"/>
      <c r="HP8" s="127"/>
      <c r="HQ8" s="127"/>
      <c r="HR8" s="127"/>
      <c r="HS8" s="127"/>
      <c r="HT8" s="127"/>
      <c r="HU8" s="127"/>
      <c r="HV8" s="127"/>
      <c r="HW8" s="127"/>
      <c r="HX8" s="127"/>
      <c r="HY8" s="127"/>
      <c r="HZ8" s="127"/>
      <c r="IA8" s="127"/>
      <c r="IB8" s="127"/>
      <c r="IC8" s="127"/>
      <c r="ID8" s="127"/>
      <c r="IE8" s="127"/>
      <c r="IF8" s="127"/>
      <c r="IG8" s="127"/>
      <c r="IH8" s="127"/>
      <c r="II8" s="127"/>
      <c r="IJ8" s="127"/>
      <c r="IK8" s="127"/>
      <c r="IL8" s="127"/>
      <c r="IM8" s="127"/>
      <c r="IN8" s="127"/>
      <c r="IO8" s="127"/>
      <c r="IP8" s="127"/>
      <c r="IQ8" s="127"/>
    </row>
    <row r="9" spans="1:251" ht="23.25" x14ac:dyDescent="0.35">
      <c r="A9" s="129"/>
      <c r="B9" s="129"/>
      <c r="C9" s="129"/>
      <c r="D9" s="129"/>
      <c r="E9" s="129"/>
      <c r="F9" s="129"/>
      <c r="G9" s="129"/>
      <c r="H9" s="126"/>
      <c r="I9" s="126"/>
      <c r="J9" s="126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  <c r="DO9" s="127"/>
      <c r="DP9" s="127"/>
      <c r="DQ9" s="127"/>
      <c r="DR9" s="127"/>
      <c r="DS9" s="127"/>
      <c r="DT9" s="127"/>
      <c r="DU9" s="127"/>
      <c r="DV9" s="127"/>
      <c r="DW9" s="127"/>
      <c r="DX9" s="127"/>
      <c r="DY9" s="127"/>
      <c r="DZ9" s="127"/>
      <c r="EA9" s="127"/>
      <c r="EB9" s="127"/>
      <c r="EC9" s="127"/>
      <c r="ED9" s="127"/>
      <c r="EE9" s="127"/>
      <c r="EF9" s="127"/>
      <c r="EG9" s="127"/>
      <c r="EH9" s="127"/>
      <c r="EI9" s="127"/>
      <c r="EJ9" s="127"/>
      <c r="EK9" s="127"/>
      <c r="EL9" s="127"/>
      <c r="EM9" s="127"/>
      <c r="EN9" s="127"/>
      <c r="EO9" s="127"/>
      <c r="EP9" s="127"/>
      <c r="EQ9" s="127"/>
      <c r="ER9" s="127"/>
      <c r="ES9" s="127"/>
      <c r="ET9" s="127"/>
      <c r="EU9" s="127"/>
      <c r="EV9" s="127"/>
      <c r="EW9" s="127"/>
      <c r="EX9" s="127"/>
      <c r="EY9" s="127"/>
      <c r="EZ9" s="127"/>
      <c r="FA9" s="127"/>
      <c r="FB9" s="127"/>
      <c r="FC9" s="127"/>
      <c r="FD9" s="127"/>
      <c r="FE9" s="127"/>
      <c r="FF9" s="127"/>
      <c r="FG9" s="127"/>
      <c r="FH9" s="127"/>
      <c r="FI9" s="127"/>
      <c r="FJ9" s="127"/>
      <c r="FK9" s="127"/>
      <c r="FL9" s="127"/>
      <c r="FM9" s="127"/>
      <c r="FN9" s="127"/>
      <c r="FO9" s="127"/>
      <c r="FP9" s="127"/>
      <c r="FQ9" s="127"/>
      <c r="FR9" s="127"/>
      <c r="FS9" s="127"/>
      <c r="FT9" s="127"/>
      <c r="FU9" s="127"/>
      <c r="FV9" s="127"/>
      <c r="FW9" s="127"/>
      <c r="FX9" s="127"/>
      <c r="FY9" s="127"/>
      <c r="FZ9" s="127"/>
      <c r="GA9" s="127"/>
      <c r="GB9" s="127"/>
      <c r="GC9" s="127"/>
      <c r="GD9" s="127"/>
      <c r="GE9" s="127"/>
      <c r="GF9" s="127"/>
      <c r="GG9" s="127"/>
      <c r="GH9" s="127"/>
      <c r="GI9" s="127"/>
      <c r="GJ9" s="127"/>
      <c r="GK9" s="127"/>
      <c r="GL9" s="127"/>
      <c r="GM9" s="127"/>
      <c r="GN9" s="127"/>
      <c r="GO9" s="127"/>
      <c r="GP9" s="127"/>
      <c r="GQ9" s="127"/>
      <c r="GR9" s="127"/>
      <c r="GS9" s="127"/>
      <c r="GT9" s="127"/>
      <c r="GU9" s="127"/>
      <c r="GV9" s="127"/>
      <c r="GW9" s="127"/>
      <c r="GX9" s="127"/>
      <c r="GY9" s="127"/>
      <c r="GZ9" s="127"/>
      <c r="HA9" s="127"/>
      <c r="HB9" s="127"/>
      <c r="HC9" s="127"/>
      <c r="HD9" s="127"/>
      <c r="HE9" s="127"/>
      <c r="HF9" s="127"/>
      <c r="HG9" s="127"/>
      <c r="HH9" s="127"/>
      <c r="HI9" s="127"/>
      <c r="HJ9" s="127"/>
      <c r="HK9" s="127"/>
      <c r="HL9" s="127"/>
      <c r="HM9" s="127"/>
      <c r="HN9" s="127"/>
      <c r="HO9" s="127"/>
      <c r="HP9" s="127"/>
      <c r="HQ9" s="127"/>
      <c r="HR9" s="127"/>
      <c r="HS9" s="127"/>
      <c r="HT9" s="127"/>
      <c r="HU9" s="127"/>
      <c r="HV9" s="127"/>
      <c r="HW9" s="127"/>
      <c r="HX9" s="127"/>
      <c r="HY9" s="127"/>
      <c r="HZ9" s="127"/>
      <c r="IA9" s="127"/>
      <c r="IB9" s="127"/>
      <c r="IC9" s="127"/>
      <c r="ID9" s="127"/>
      <c r="IE9" s="127"/>
      <c r="IF9" s="127"/>
      <c r="IG9" s="127"/>
      <c r="IH9" s="127"/>
      <c r="II9" s="127"/>
      <c r="IJ9" s="127"/>
      <c r="IK9" s="127"/>
      <c r="IL9" s="127"/>
      <c r="IM9" s="127"/>
      <c r="IN9" s="127"/>
      <c r="IO9" s="127"/>
      <c r="IP9" s="127"/>
      <c r="IQ9" s="127"/>
    </row>
    <row r="10" spans="1:251" ht="54.75" customHeight="1" x14ac:dyDescent="0.4">
      <c r="A10" s="271" t="s">
        <v>481</v>
      </c>
      <c r="B10" s="271"/>
      <c r="C10" s="271"/>
      <c r="D10" s="271"/>
      <c r="E10" s="271"/>
      <c r="F10" s="271"/>
      <c r="G10" s="183"/>
      <c r="H10" s="126"/>
      <c r="I10" s="126"/>
      <c r="J10" s="126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  <c r="EN10" s="130"/>
      <c r="EO10" s="130"/>
      <c r="EP10" s="130"/>
      <c r="EQ10" s="130"/>
      <c r="ER10" s="130"/>
      <c r="ES10" s="130"/>
      <c r="ET10" s="130"/>
      <c r="EU10" s="130"/>
      <c r="EV10" s="130"/>
      <c r="EW10" s="130"/>
      <c r="EX10" s="130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0"/>
      <c r="FT10" s="130"/>
      <c r="FU10" s="130"/>
      <c r="FV10" s="130"/>
      <c r="FW10" s="130"/>
      <c r="FX10" s="130"/>
      <c r="FY10" s="130"/>
      <c r="FZ10" s="130"/>
      <c r="GA10" s="130"/>
      <c r="GB10" s="130"/>
      <c r="GC10" s="130"/>
      <c r="GD10" s="130"/>
      <c r="GE10" s="130"/>
      <c r="GF10" s="130"/>
      <c r="GG10" s="130"/>
      <c r="GH10" s="130"/>
      <c r="GI10" s="130"/>
      <c r="GJ10" s="130"/>
      <c r="GK10" s="130"/>
      <c r="GL10" s="130"/>
      <c r="GM10" s="130"/>
      <c r="GN10" s="130"/>
      <c r="GO10" s="130"/>
      <c r="GP10" s="130"/>
      <c r="GQ10" s="130"/>
      <c r="GR10" s="130"/>
      <c r="GS10" s="130"/>
      <c r="GT10" s="130"/>
      <c r="GU10" s="130"/>
      <c r="GV10" s="130"/>
      <c r="GW10" s="130"/>
      <c r="GX10" s="130"/>
      <c r="GY10" s="130"/>
      <c r="GZ10" s="130"/>
      <c r="HA10" s="130"/>
      <c r="HB10" s="130"/>
      <c r="HC10" s="130"/>
      <c r="HD10" s="130"/>
      <c r="HE10" s="130"/>
      <c r="HF10" s="130"/>
      <c r="HG10" s="130"/>
      <c r="HH10" s="130"/>
      <c r="HI10" s="130"/>
      <c r="HJ10" s="130"/>
      <c r="HK10" s="130"/>
      <c r="HL10" s="130"/>
      <c r="HM10" s="130"/>
      <c r="HN10" s="130"/>
      <c r="HO10" s="130"/>
      <c r="HP10" s="130"/>
      <c r="HQ10" s="130"/>
      <c r="HR10" s="130"/>
      <c r="HS10" s="130"/>
      <c r="HT10" s="130"/>
      <c r="HU10" s="130"/>
      <c r="HV10" s="130"/>
      <c r="HW10" s="130"/>
      <c r="HX10" s="130"/>
      <c r="HY10" s="130"/>
      <c r="HZ10" s="130"/>
      <c r="IA10" s="130"/>
      <c r="IB10" s="130"/>
      <c r="IC10" s="130"/>
      <c r="ID10" s="130"/>
      <c r="IE10" s="130"/>
      <c r="IF10" s="130"/>
      <c r="IG10" s="130"/>
      <c r="IH10" s="130"/>
      <c r="II10" s="130"/>
      <c r="IJ10" s="130"/>
      <c r="IK10" s="130"/>
      <c r="IL10" s="130"/>
      <c r="IM10" s="130"/>
      <c r="IN10" s="130"/>
      <c r="IO10" s="130"/>
      <c r="IP10" s="130"/>
      <c r="IQ10" s="130"/>
    </row>
    <row r="11" spans="1:251" ht="18.75" x14ac:dyDescent="0.3">
      <c r="A11" s="131"/>
      <c r="B11" s="132"/>
      <c r="C11" s="132"/>
      <c r="D11" s="132"/>
      <c r="E11" s="132"/>
      <c r="F11" s="132"/>
      <c r="G11" s="132"/>
      <c r="H11" s="126"/>
      <c r="I11" s="126"/>
      <c r="J11" s="126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</row>
    <row r="12" spans="1:251" ht="20.25" x14ac:dyDescent="0.3">
      <c r="A12" s="133" t="s">
        <v>314</v>
      </c>
      <c r="B12" s="132"/>
      <c r="C12" s="132"/>
      <c r="D12" s="132"/>
      <c r="E12" s="132"/>
      <c r="F12" s="132"/>
      <c r="G12" s="132"/>
      <c r="H12" s="126"/>
      <c r="I12" s="126"/>
      <c r="J12" s="126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</row>
    <row r="13" spans="1:251" ht="20.25" x14ac:dyDescent="0.3">
      <c r="A13" s="133"/>
      <c r="B13" s="132"/>
      <c r="C13" s="132"/>
      <c r="D13" s="132"/>
      <c r="E13" s="132"/>
      <c r="F13" s="132"/>
      <c r="G13" s="132"/>
      <c r="H13" s="126"/>
      <c r="I13" s="126"/>
      <c r="J13" s="126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  <c r="CT13" s="132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32"/>
      <c r="DQ13" s="132"/>
      <c r="DR13" s="132"/>
      <c r="DS13" s="132"/>
      <c r="DT13" s="132"/>
      <c r="DU13" s="132"/>
      <c r="DV13" s="132"/>
      <c r="DW13" s="132"/>
      <c r="DX13" s="132"/>
      <c r="DY13" s="132"/>
      <c r="DZ13" s="132"/>
      <c r="EA13" s="132"/>
      <c r="EB13" s="132"/>
      <c r="EC13" s="132"/>
      <c r="ED13" s="132"/>
      <c r="EE13" s="132"/>
      <c r="EF13" s="132"/>
      <c r="EG13" s="132"/>
      <c r="EH13" s="132"/>
      <c r="EI13" s="132"/>
      <c r="EJ13" s="132"/>
      <c r="EK13" s="132"/>
      <c r="EL13" s="132"/>
      <c r="EM13" s="132"/>
      <c r="EN13" s="132"/>
      <c r="EO13" s="132"/>
      <c r="EP13" s="132"/>
      <c r="EQ13" s="132"/>
      <c r="ER13" s="132"/>
      <c r="ES13" s="132"/>
      <c r="ET13" s="132"/>
      <c r="EU13" s="132"/>
      <c r="EV13" s="132"/>
      <c r="EW13" s="132"/>
      <c r="EX13" s="132"/>
      <c r="EY13" s="132"/>
      <c r="EZ13" s="132"/>
      <c r="FA13" s="132"/>
      <c r="FB13" s="132"/>
      <c r="FC13" s="132"/>
      <c r="FD13" s="132"/>
      <c r="FE13" s="132"/>
      <c r="FF13" s="132"/>
      <c r="FG13" s="132"/>
      <c r="FH13" s="132"/>
      <c r="FI13" s="132"/>
      <c r="FJ13" s="132"/>
      <c r="FK13" s="132"/>
      <c r="FL13" s="132"/>
      <c r="FM13" s="132"/>
      <c r="FN13" s="132"/>
      <c r="FO13" s="132"/>
      <c r="FP13" s="132"/>
      <c r="FQ13" s="132"/>
      <c r="FR13" s="132"/>
      <c r="FS13" s="132"/>
      <c r="FT13" s="132"/>
      <c r="FU13" s="132"/>
      <c r="FV13" s="132"/>
      <c r="FW13" s="132"/>
      <c r="FX13" s="132"/>
      <c r="FY13" s="132"/>
      <c r="FZ13" s="132"/>
      <c r="GA13" s="132"/>
      <c r="GB13" s="132"/>
      <c r="GC13" s="132"/>
      <c r="GD13" s="132"/>
      <c r="GE13" s="132"/>
      <c r="GF13" s="132"/>
      <c r="GG13" s="132"/>
      <c r="GH13" s="132"/>
      <c r="GI13" s="132"/>
      <c r="GJ13" s="132"/>
      <c r="GK13" s="132"/>
      <c r="GL13" s="132"/>
      <c r="GM13" s="132"/>
      <c r="GN13" s="132"/>
      <c r="GO13" s="132"/>
      <c r="GP13" s="132"/>
      <c r="GQ13" s="132"/>
      <c r="GR13" s="132"/>
      <c r="GS13" s="132"/>
      <c r="GT13" s="132"/>
      <c r="GU13" s="132"/>
      <c r="GV13" s="132"/>
      <c r="GW13" s="132"/>
      <c r="GX13" s="132"/>
      <c r="GY13" s="132"/>
      <c r="GZ13" s="132"/>
      <c r="HA13" s="132"/>
      <c r="HB13" s="132"/>
      <c r="HC13" s="132"/>
      <c r="HD13" s="132"/>
      <c r="HE13" s="132"/>
      <c r="HF13" s="132"/>
      <c r="HG13" s="132"/>
      <c r="HH13" s="132"/>
      <c r="HI13" s="132"/>
      <c r="HJ13" s="132"/>
      <c r="HK13" s="132"/>
      <c r="HL13" s="132"/>
      <c r="HM13" s="132"/>
      <c r="HN13" s="132"/>
      <c r="HO13" s="132"/>
      <c r="HP13" s="132"/>
      <c r="HQ13" s="132"/>
      <c r="HR13" s="132"/>
      <c r="HS13" s="132"/>
      <c r="HT13" s="132"/>
      <c r="HU13" s="132"/>
      <c r="HV13" s="132"/>
      <c r="HW13" s="132"/>
      <c r="HX13" s="132"/>
      <c r="HY13" s="132"/>
      <c r="HZ13" s="132"/>
      <c r="IA13" s="132"/>
      <c r="IB13" s="132"/>
      <c r="IC13" s="132"/>
      <c r="ID13" s="132"/>
      <c r="IE13" s="132"/>
      <c r="IF13" s="132"/>
      <c r="IG13" s="132"/>
      <c r="IH13" s="132"/>
      <c r="II13" s="132"/>
      <c r="IJ13" s="132"/>
      <c r="IK13" s="132"/>
      <c r="IL13" s="132"/>
      <c r="IM13" s="132"/>
      <c r="IN13" s="132"/>
      <c r="IO13" s="132"/>
      <c r="IP13" s="132"/>
      <c r="IQ13" s="132"/>
    </row>
    <row r="14" spans="1:251" ht="20.25" x14ac:dyDescent="0.3">
      <c r="A14" s="272" t="s">
        <v>330</v>
      </c>
      <c r="B14" s="272"/>
      <c r="C14" s="272"/>
      <c r="D14" s="272"/>
      <c r="E14" s="272"/>
      <c r="F14" s="272"/>
      <c r="G14" s="184"/>
      <c r="H14" s="126"/>
      <c r="I14" s="126"/>
      <c r="J14" s="126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  <c r="CT14" s="133"/>
      <c r="CU14" s="133"/>
      <c r="CV14" s="133"/>
      <c r="CW14" s="133"/>
      <c r="CX14" s="133"/>
      <c r="CY14" s="133"/>
      <c r="CZ14" s="133"/>
      <c r="DA14" s="133"/>
      <c r="DB14" s="133"/>
      <c r="DC14" s="133"/>
      <c r="DD14" s="133"/>
      <c r="DE14" s="133"/>
      <c r="DF14" s="133"/>
      <c r="DG14" s="133"/>
      <c r="DH14" s="133"/>
      <c r="DI14" s="133"/>
      <c r="DJ14" s="133"/>
      <c r="DK14" s="133"/>
      <c r="DL14" s="133"/>
      <c r="DM14" s="133"/>
      <c r="DN14" s="133"/>
      <c r="DO14" s="133"/>
      <c r="DP14" s="133"/>
      <c r="DQ14" s="133"/>
      <c r="DR14" s="133"/>
      <c r="DS14" s="133"/>
      <c r="DT14" s="133"/>
      <c r="DU14" s="133"/>
      <c r="DV14" s="133"/>
      <c r="DW14" s="133"/>
      <c r="DX14" s="133"/>
      <c r="DY14" s="133"/>
      <c r="DZ14" s="133"/>
      <c r="EA14" s="133"/>
      <c r="EB14" s="133"/>
      <c r="EC14" s="133"/>
      <c r="ED14" s="133"/>
      <c r="EE14" s="133"/>
      <c r="EF14" s="133"/>
      <c r="EG14" s="133"/>
      <c r="EH14" s="133"/>
      <c r="EI14" s="133"/>
      <c r="EJ14" s="133"/>
      <c r="EK14" s="133"/>
      <c r="EL14" s="133"/>
      <c r="EM14" s="133"/>
      <c r="EN14" s="133"/>
      <c r="EO14" s="133"/>
      <c r="EP14" s="133"/>
      <c r="EQ14" s="133"/>
      <c r="ER14" s="133"/>
      <c r="ES14" s="133"/>
      <c r="ET14" s="133"/>
      <c r="EU14" s="133"/>
      <c r="EV14" s="133"/>
      <c r="EW14" s="133"/>
      <c r="EX14" s="133"/>
      <c r="EY14" s="133"/>
      <c r="EZ14" s="133"/>
      <c r="FA14" s="133"/>
      <c r="FB14" s="133"/>
      <c r="FC14" s="133"/>
      <c r="FD14" s="133"/>
      <c r="FE14" s="133"/>
      <c r="FF14" s="133"/>
      <c r="FG14" s="133"/>
      <c r="FH14" s="133"/>
      <c r="FI14" s="133"/>
      <c r="FJ14" s="133"/>
      <c r="FK14" s="133"/>
      <c r="FL14" s="133"/>
      <c r="FM14" s="133"/>
      <c r="FN14" s="133"/>
      <c r="FO14" s="133"/>
      <c r="FP14" s="133"/>
      <c r="FQ14" s="133"/>
      <c r="FR14" s="133"/>
      <c r="FS14" s="133"/>
      <c r="FT14" s="133"/>
      <c r="FU14" s="133"/>
      <c r="FV14" s="133"/>
      <c r="FW14" s="133"/>
      <c r="FX14" s="133"/>
      <c r="FY14" s="133"/>
      <c r="FZ14" s="133"/>
      <c r="GA14" s="133"/>
      <c r="GB14" s="133"/>
      <c r="GC14" s="133"/>
      <c r="GD14" s="133"/>
      <c r="GE14" s="133"/>
      <c r="GF14" s="133"/>
      <c r="GG14" s="133"/>
      <c r="GH14" s="133"/>
      <c r="GI14" s="133"/>
      <c r="GJ14" s="133"/>
      <c r="GK14" s="133"/>
      <c r="GL14" s="133"/>
      <c r="GM14" s="133"/>
      <c r="GN14" s="133"/>
      <c r="GO14" s="133"/>
      <c r="GP14" s="133"/>
      <c r="GQ14" s="133"/>
      <c r="GR14" s="133"/>
      <c r="GS14" s="133"/>
      <c r="GT14" s="133"/>
      <c r="GU14" s="133"/>
      <c r="GV14" s="133"/>
      <c r="GW14" s="133"/>
      <c r="GX14" s="133"/>
      <c r="GY14" s="133"/>
      <c r="GZ14" s="133"/>
      <c r="HA14" s="133"/>
      <c r="HB14" s="133"/>
      <c r="HC14" s="133"/>
      <c r="HD14" s="133"/>
      <c r="HE14" s="133"/>
      <c r="HF14" s="133"/>
      <c r="HG14" s="133"/>
      <c r="HH14" s="133"/>
      <c r="HI14" s="133"/>
      <c r="HJ14" s="133"/>
      <c r="HK14" s="133"/>
      <c r="HL14" s="133"/>
      <c r="HM14" s="133"/>
      <c r="HN14" s="133"/>
      <c r="HO14" s="133"/>
      <c r="HP14" s="133"/>
      <c r="HQ14" s="133"/>
      <c r="HR14" s="133"/>
      <c r="HS14" s="133"/>
      <c r="HT14" s="133"/>
      <c r="HU14" s="133"/>
      <c r="HV14" s="133"/>
      <c r="HW14" s="133"/>
      <c r="HX14" s="133"/>
      <c r="HY14" s="133"/>
      <c r="HZ14" s="133"/>
      <c r="IA14" s="133"/>
      <c r="IB14" s="133"/>
      <c r="IC14" s="133"/>
      <c r="ID14" s="133"/>
      <c r="IE14" s="133"/>
      <c r="IF14" s="133"/>
      <c r="IG14" s="133"/>
      <c r="IH14" s="133"/>
      <c r="II14" s="133"/>
      <c r="IJ14" s="133"/>
      <c r="IK14" s="133"/>
      <c r="IL14" s="133"/>
      <c r="IM14" s="133"/>
      <c r="IN14" s="133"/>
      <c r="IO14" s="133"/>
      <c r="IP14" s="133"/>
      <c r="IQ14" s="133"/>
    </row>
    <row r="15" spans="1:251" ht="18.75" x14ac:dyDescent="0.3">
      <c r="A15" s="273"/>
      <c r="B15" s="273"/>
      <c r="C15" s="273"/>
      <c r="D15" s="273"/>
      <c r="E15" s="132"/>
      <c r="F15" s="132"/>
      <c r="G15" s="132"/>
      <c r="H15" s="126"/>
      <c r="I15" s="126"/>
      <c r="J15" s="126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  <c r="DQ15" s="132"/>
      <c r="DR15" s="132"/>
      <c r="DS15" s="132"/>
      <c r="DT15" s="132"/>
      <c r="DU15" s="132"/>
      <c r="DV15" s="132"/>
      <c r="DW15" s="132"/>
      <c r="DX15" s="132"/>
      <c r="DY15" s="132"/>
      <c r="DZ15" s="132"/>
      <c r="EA15" s="132"/>
      <c r="EB15" s="132"/>
      <c r="EC15" s="132"/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32"/>
      <c r="ER15" s="132"/>
      <c r="ES15" s="132"/>
      <c r="ET15" s="132"/>
      <c r="EU15" s="132"/>
      <c r="EV15" s="132"/>
      <c r="EW15" s="132"/>
      <c r="EX15" s="132"/>
      <c r="EY15" s="132"/>
      <c r="EZ15" s="132"/>
      <c r="FA15" s="132"/>
      <c r="FB15" s="132"/>
      <c r="FC15" s="132"/>
      <c r="FD15" s="132"/>
      <c r="FE15" s="132"/>
      <c r="FF15" s="132"/>
      <c r="FG15" s="132"/>
      <c r="FH15" s="132"/>
      <c r="FI15" s="132"/>
      <c r="FJ15" s="132"/>
      <c r="FK15" s="132"/>
      <c r="FL15" s="132"/>
      <c r="FM15" s="132"/>
      <c r="FN15" s="132"/>
      <c r="FO15" s="132"/>
      <c r="FP15" s="132"/>
      <c r="FQ15" s="132"/>
      <c r="FR15" s="132"/>
      <c r="FS15" s="132"/>
      <c r="FT15" s="132"/>
      <c r="FU15" s="132"/>
      <c r="FV15" s="132"/>
      <c r="FW15" s="132"/>
      <c r="FX15" s="132"/>
      <c r="FY15" s="132"/>
      <c r="FZ15" s="132"/>
      <c r="GA15" s="132"/>
      <c r="GB15" s="132"/>
      <c r="GC15" s="132"/>
      <c r="GD15" s="132"/>
      <c r="GE15" s="132"/>
      <c r="GF15" s="132"/>
      <c r="GG15" s="132"/>
      <c r="GH15" s="132"/>
      <c r="GI15" s="132"/>
      <c r="GJ15" s="132"/>
      <c r="GK15" s="132"/>
      <c r="GL15" s="132"/>
      <c r="GM15" s="132"/>
      <c r="GN15" s="132"/>
      <c r="GO15" s="132"/>
      <c r="GP15" s="132"/>
      <c r="GQ15" s="132"/>
      <c r="GR15" s="132"/>
      <c r="GS15" s="132"/>
      <c r="GT15" s="132"/>
      <c r="GU15" s="132"/>
      <c r="GV15" s="132"/>
      <c r="GW15" s="132"/>
      <c r="GX15" s="132"/>
      <c r="GY15" s="132"/>
      <c r="GZ15" s="132"/>
      <c r="HA15" s="132"/>
      <c r="HB15" s="132"/>
      <c r="HC15" s="132"/>
      <c r="HD15" s="132"/>
      <c r="HE15" s="132"/>
      <c r="HF15" s="132"/>
      <c r="HG15" s="132"/>
      <c r="HH15" s="132"/>
      <c r="HI15" s="132"/>
      <c r="HJ15" s="132"/>
      <c r="HK15" s="132"/>
      <c r="HL15" s="132"/>
      <c r="HM15" s="132"/>
      <c r="HN15" s="132"/>
      <c r="HO15" s="132"/>
      <c r="HP15" s="132"/>
      <c r="HQ15" s="132"/>
      <c r="HR15" s="132"/>
      <c r="HS15" s="132"/>
      <c r="HT15" s="132"/>
      <c r="HU15" s="132"/>
      <c r="HV15" s="132"/>
      <c r="HW15" s="132"/>
      <c r="HX15" s="132"/>
      <c r="HY15" s="132"/>
      <c r="HZ15" s="132"/>
      <c r="IA15" s="132"/>
      <c r="IB15" s="132"/>
      <c r="IC15" s="132"/>
      <c r="ID15" s="132"/>
      <c r="IE15" s="132"/>
      <c r="IF15" s="132"/>
      <c r="IG15" s="132"/>
      <c r="IH15" s="132"/>
      <c r="II15" s="132"/>
      <c r="IJ15" s="132"/>
      <c r="IK15" s="132"/>
      <c r="IL15" s="132"/>
      <c r="IM15" s="132"/>
      <c r="IN15" s="132"/>
      <c r="IO15" s="132"/>
      <c r="IP15" s="132"/>
      <c r="IQ15" s="132"/>
    </row>
    <row r="16" spans="1:251" ht="18.75" x14ac:dyDescent="0.3">
      <c r="A16" s="132"/>
      <c r="B16" s="132"/>
      <c r="C16" s="134"/>
      <c r="D16" s="135"/>
      <c r="E16" s="136">
        <f>F23</f>
        <v>404526737.91000003</v>
      </c>
      <c r="F16" s="137" t="s">
        <v>231</v>
      </c>
      <c r="G16" s="185"/>
      <c r="H16" s="126"/>
      <c r="I16" s="126"/>
      <c r="J16" s="126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  <c r="EK16" s="132"/>
      <c r="EL16" s="132"/>
      <c r="EM16" s="132"/>
      <c r="EN16" s="132"/>
      <c r="EO16" s="132"/>
      <c r="EP16" s="132"/>
      <c r="EQ16" s="132"/>
      <c r="ER16" s="132"/>
      <c r="ES16" s="132"/>
      <c r="ET16" s="132"/>
      <c r="EU16" s="132"/>
      <c r="EV16" s="132"/>
      <c r="EW16" s="132"/>
      <c r="EX16" s="132"/>
      <c r="EY16" s="132"/>
      <c r="EZ16" s="132"/>
      <c r="FA16" s="132"/>
      <c r="FB16" s="132"/>
      <c r="FC16" s="132"/>
      <c r="FD16" s="132"/>
      <c r="FE16" s="132"/>
      <c r="FF16" s="132"/>
      <c r="FG16" s="132"/>
      <c r="FH16" s="132"/>
      <c r="FI16" s="132"/>
      <c r="FJ16" s="132"/>
      <c r="FK16" s="132"/>
      <c r="FL16" s="132"/>
      <c r="FM16" s="132"/>
      <c r="FN16" s="132"/>
      <c r="FO16" s="132"/>
      <c r="FP16" s="132"/>
      <c r="FQ16" s="132"/>
      <c r="FR16" s="132"/>
      <c r="FS16" s="132"/>
      <c r="FT16" s="132"/>
      <c r="FU16" s="132"/>
      <c r="FV16" s="132"/>
      <c r="FW16" s="132"/>
      <c r="FX16" s="132"/>
      <c r="FY16" s="132"/>
      <c r="FZ16" s="132"/>
      <c r="GA16" s="132"/>
      <c r="GB16" s="132"/>
      <c r="GC16" s="132"/>
      <c r="GD16" s="132"/>
      <c r="GE16" s="132"/>
      <c r="GF16" s="132"/>
      <c r="GG16" s="132"/>
      <c r="GH16" s="132"/>
      <c r="GI16" s="132"/>
      <c r="GJ16" s="132"/>
      <c r="GK16" s="132"/>
      <c r="GL16" s="132"/>
      <c r="GM16" s="132"/>
      <c r="GN16" s="132"/>
      <c r="GO16" s="132"/>
      <c r="GP16" s="132"/>
      <c r="GQ16" s="132"/>
      <c r="GR16" s="132"/>
      <c r="GS16" s="132"/>
      <c r="GT16" s="132"/>
      <c r="GU16" s="132"/>
      <c r="GV16" s="132"/>
      <c r="GW16" s="132"/>
      <c r="GX16" s="132"/>
      <c r="GY16" s="132"/>
      <c r="GZ16" s="132"/>
      <c r="HA16" s="132"/>
      <c r="HB16" s="132"/>
      <c r="HC16" s="132"/>
      <c r="HD16" s="132"/>
      <c r="HE16" s="132"/>
      <c r="HF16" s="132"/>
      <c r="HG16" s="132"/>
      <c r="HH16" s="132"/>
      <c r="HI16" s="132"/>
      <c r="HJ16" s="132"/>
      <c r="HK16" s="132"/>
      <c r="HL16" s="132"/>
      <c r="HM16" s="132"/>
      <c r="HN16" s="132"/>
      <c r="HO16" s="132"/>
      <c r="HP16" s="132"/>
      <c r="HQ16" s="132"/>
      <c r="HR16" s="132"/>
      <c r="HS16" s="132"/>
      <c r="HT16" s="132"/>
      <c r="HU16" s="132"/>
      <c r="HV16" s="132"/>
      <c r="HW16" s="132"/>
      <c r="HX16" s="132"/>
      <c r="HY16" s="132"/>
      <c r="HZ16" s="132"/>
      <c r="IA16" s="132"/>
      <c r="IB16" s="132"/>
      <c r="IC16" s="132"/>
      <c r="ID16" s="132"/>
      <c r="IE16" s="132"/>
      <c r="IF16" s="132"/>
      <c r="IG16" s="132"/>
      <c r="IH16" s="132"/>
      <c r="II16" s="132"/>
      <c r="IJ16" s="132"/>
      <c r="IK16" s="132"/>
      <c r="IL16" s="132"/>
      <c r="IM16" s="132"/>
      <c r="IN16" s="132"/>
      <c r="IO16" s="132"/>
      <c r="IP16" s="132"/>
      <c r="IQ16" s="132"/>
    </row>
    <row r="17" spans="1:251" ht="68.25" customHeight="1" x14ac:dyDescent="0.3">
      <c r="A17" s="274" t="s">
        <v>315</v>
      </c>
      <c r="B17" s="274" t="s">
        <v>316</v>
      </c>
      <c r="C17" s="274" t="s">
        <v>317</v>
      </c>
      <c r="D17" s="276" t="s">
        <v>318</v>
      </c>
      <c r="E17" s="277"/>
      <c r="F17" s="278"/>
      <c r="G17" s="186"/>
      <c r="H17" s="126"/>
      <c r="I17" s="126"/>
      <c r="J17" s="126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132"/>
      <c r="FQ17" s="132"/>
      <c r="FR17" s="132"/>
      <c r="FS17" s="132"/>
      <c r="FT17" s="132"/>
      <c r="FU17" s="132"/>
      <c r="FV17" s="132"/>
      <c r="FW17" s="132"/>
      <c r="FX17" s="132"/>
      <c r="FY17" s="132"/>
      <c r="FZ17" s="132"/>
      <c r="GA17" s="132"/>
      <c r="GB17" s="132"/>
      <c r="GC17" s="132"/>
      <c r="GD17" s="132"/>
      <c r="GE17" s="132"/>
      <c r="GF17" s="132"/>
      <c r="GG17" s="132"/>
      <c r="GH17" s="132"/>
      <c r="GI17" s="132"/>
      <c r="GJ17" s="132"/>
      <c r="GK17" s="132"/>
      <c r="GL17" s="132"/>
      <c r="GM17" s="132"/>
      <c r="GN17" s="132"/>
      <c r="GO17" s="132"/>
      <c r="GP17" s="132"/>
      <c r="GQ17" s="132"/>
      <c r="GR17" s="132"/>
      <c r="GS17" s="132"/>
      <c r="GT17" s="132"/>
      <c r="GU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HM17" s="132"/>
      <c r="HN17" s="132"/>
      <c r="HO17" s="132"/>
      <c r="HP17" s="132"/>
      <c r="HQ17" s="132"/>
      <c r="HR17" s="132"/>
      <c r="HS17" s="132"/>
      <c r="HT17" s="132"/>
      <c r="HU17" s="132"/>
      <c r="HV17" s="132"/>
      <c r="HW17" s="132"/>
      <c r="HX17" s="132"/>
      <c r="HY17" s="132"/>
      <c r="HZ17" s="132"/>
      <c r="IA17" s="132"/>
      <c r="IB17" s="132"/>
      <c r="IC17" s="132"/>
      <c r="ID17" s="132"/>
      <c r="IE17" s="132"/>
      <c r="IF17" s="132"/>
      <c r="IG17" s="132"/>
      <c r="IH17" s="132"/>
      <c r="II17" s="132"/>
      <c r="IJ17" s="132"/>
      <c r="IK17" s="132"/>
      <c r="IL17" s="132"/>
      <c r="IM17" s="132"/>
      <c r="IN17" s="132"/>
      <c r="IO17" s="132"/>
      <c r="IP17" s="132"/>
      <c r="IQ17" s="132"/>
    </row>
    <row r="18" spans="1:251" ht="113.25" customHeight="1" x14ac:dyDescent="0.3">
      <c r="A18" s="275"/>
      <c r="B18" s="275"/>
      <c r="C18" s="275"/>
      <c r="D18" s="138" t="s">
        <v>319</v>
      </c>
      <c r="E18" s="138" t="s">
        <v>482</v>
      </c>
      <c r="F18" s="139" t="s">
        <v>320</v>
      </c>
      <c r="G18" s="187"/>
      <c r="H18" s="126"/>
      <c r="I18" s="126"/>
      <c r="J18" s="126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  <c r="DA18" s="132"/>
      <c r="DB18" s="132"/>
      <c r="DC18" s="132"/>
      <c r="DD18" s="132"/>
      <c r="DE18" s="132"/>
      <c r="DF18" s="132"/>
      <c r="DG18" s="132"/>
      <c r="DH18" s="132"/>
      <c r="DI18" s="132"/>
      <c r="DJ18" s="132"/>
      <c r="DK18" s="132"/>
      <c r="DL18" s="132"/>
      <c r="DM18" s="132"/>
      <c r="DN18" s="132"/>
      <c r="DO18" s="132"/>
      <c r="DP18" s="132"/>
      <c r="DQ18" s="132"/>
      <c r="DR18" s="132"/>
      <c r="DS18" s="132"/>
      <c r="DT18" s="132"/>
      <c r="DU18" s="132"/>
      <c r="DV18" s="132"/>
      <c r="DW18" s="132"/>
      <c r="DX18" s="132"/>
      <c r="DY18" s="132"/>
      <c r="DZ18" s="132"/>
      <c r="EA18" s="132"/>
      <c r="EB18" s="132"/>
      <c r="EC18" s="132"/>
      <c r="ED18" s="132"/>
      <c r="EE18" s="132"/>
      <c r="EF18" s="132"/>
      <c r="EG18" s="132"/>
      <c r="EH18" s="132"/>
      <c r="EI18" s="132"/>
      <c r="EJ18" s="132"/>
      <c r="EK18" s="132"/>
      <c r="EL18" s="132"/>
      <c r="EM18" s="132"/>
      <c r="EN18" s="132"/>
      <c r="EO18" s="132"/>
      <c r="EP18" s="132"/>
      <c r="EQ18" s="132"/>
      <c r="ER18" s="132"/>
      <c r="ES18" s="132"/>
      <c r="ET18" s="132"/>
      <c r="EU18" s="132"/>
      <c r="EV18" s="132"/>
      <c r="EW18" s="132"/>
      <c r="EX18" s="132"/>
      <c r="EY18" s="132"/>
      <c r="EZ18" s="132"/>
      <c r="FA18" s="132"/>
      <c r="FB18" s="132"/>
      <c r="FC18" s="132"/>
      <c r="FD18" s="132"/>
      <c r="FE18" s="132"/>
      <c r="FF18" s="132"/>
      <c r="FG18" s="132"/>
      <c r="FH18" s="132"/>
      <c r="FI18" s="132"/>
      <c r="FJ18" s="132"/>
      <c r="FK18" s="132"/>
      <c r="FL18" s="132"/>
      <c r="FM18" s="132"/>
      <c r="FN18" s="132"/>
      <c r="FO18" s="132"/>
      <c r="FP18" s="132"/>
      <c r="FQ18" s="132"/>
      <c r="FR18" s="132"/>
      <c r="FS18" s="132"/>
      <c r="FT18" s="132"/>
      <c r="FU18" s="132"/>
      <c r="FV18" s="132"/>
      <c r="FW18" s="132"/>
      <c r="FX18" s="132"/>
      <c r="FY18" s="132"/>
      <c r="FZ18" s="132"/>
      <c r="GA18" s="132"/>
      <c r="GB18" s="132"/>
      <c r="GC18" s="132"/>
      <c r="GD18" s="132"/>
      <c r="GE18" s="132"/>
      <c r="GF18" s="132"/>
      <c r="GG18" s="132"/>
      <c r="GH18" s="132"/>
      <c r="GI18" s="132"/>
      <c r="GJ18" s="132"/>
      <c r="GK18" s="132"/>
      <c r="GL18" s="132"/>
      <c r="GM18" s="132"/>
      <c r="GN18" s="132"/>
      <c r="GO18" s="132"/>
      <c r="GP18" s="132"/>
      <c r="GQ18" s="132"/>
      <c r="GR18" s="132"/>
      <c r="GS18" s="132"/>
      <c r="GT18" s="132"/>
      <c r="GU18" s="132"/>
      <c r="GV18" s="132"/>
      <c r="GW18" s="132"/>
      <c r="GX18" s="132"/>
      <c r="GY18" s="132"/>
      <c r="GZ18" s="132"/>
      <c r="HA18" s="132"/>
      <c r="HB18" s="132"/>
      <c r="HC18" s="132"/>
      <c r="HD18" s="132"/>
      <c r="HE18" s="132"/>
      <c r="HF18" s="132"/>
      <c r="HG18" s="132"/>
      <c r="HH18" s="132"/>
      <c r="HI18" s="132"/>
      <c r="HJ18" s="132"/>
      <c r="HK18" s="132"/>
      <c r="HL18" s="132"/>
      <c r="HM18" s="132"/>
      <c r="HN18" s="132"/>
      <c r="HO18" s="132"/>
      <c r="HP18" s="132"/>
      <c r="HQ18" s="132"/>
      <c r="HR18" s="132"/>
      <c r="HS18" s="132"/>
      <c r="HT18" s="132"/>
      <c r="HU18" s="132"/>
      <c r="HV18" s="132"/>
      <c r="HW18" s="132"/>
      <c r="HX18" s="132"/>
      <c r="HY18" s="132"/>
      <c r="HZ18" s="132"/>
      <c r="IA18" s="132"/>
      <c r="IB18" s="132"/>
      <c r="IC18" s="132"/>
      <c r="ID18" s="132"/>
      <c r="IE18" s="132"/>
      <c r="IF18" s="132"/>
      <c r="IG18" s="132"/>
      <c r="IH18" s="132"/>
      <c r="II18" s="132"/>
      <c r="IJ18" s="132"/>
      <c r="IK18" s="132"/>
      <c r="IL18" s="132"/>
      <c r="IM18" s="132"/>
      <c r="IN18" s="132"/>
      <c r="IO18" s="132"/>
      <c r="IP18" s="132"/>
      <c r="IQ18" s="132"/>
    </row>
    <row r="19" spans="1:251" ht="18.75" x14ac:dyDescent="0.3">
      <c r="A19" s="140">
        <v>1</v>
      </c>
      <c r="B19" s="140">
        <v>2</v>
      </c>
      <c r="C19" s="140">
        <v>3</v>
      </c>
      <c r="D19" s="140">
        <v>4</v>
      </c>
      <c r="E19" s="140">
        <v>5</v>
      </c>
      <c r="F19" s="140">
        <v>6</v>
      </c>
      <c r="G19" s="188"/>
      <c r="H19" s="126"/>
      <c r="I19" s="126"/>
      <c r="J19" s="126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  <c r="EK19" s="132"/>
      <c r="EL19" s="132"/>
      <c r="EM19" s="132"/>
      <c r="EN19" s="132"/>
      <c r="EO19" s="132"/>
      <c r="EP19" s="132"/>
      <c r="EQ19" s="132"/>
      <c r="ER19" s="132"/>
      <c r="ES19" s="132"/>
      <c r="ET19" s="132"/>
      <c r="EU19" s="132"/>
      <c r="EV19" s="132"/>
      <c r="EW19" s="132"/>
      <c r="EX19" s="132"/>
      <c r="EY19" s="132"/>
      <c r="EZ19" s="132"/>
      <c r="FA19" s="132"/>
      <c r="FB19" s="132"/>
      <c r="FC19" s="132"/>
      <c r="FD19" s="132"/>
      <c r="FE19" s="132"/>
      <c r="FF19" s="132"/>
      <c r="FG19" s="132"/>
      <c r="FH19" s="132"/>
      <c r="FI19" s="132"/>
      <c r="FJ19" s="132"/>
      <c r="FK19" s="132"/>
      <c r="FL19" s="132"/>
      <c r="FM19" s="132"/>
      <c r="FN19" s="132"/>
      <c r="FO19" s="132"/>
      <c r="FP19" s="132"/>
      <c r="FQ19" s="132"/>
      <c r="FR19" s="132"/>
      <c r="FS19" s="132"/>
      <c r="FT19" s="132"/>
      <c r="FU19" s="132"/>
      <c r="FV19" s="132"/>
      <c r="FW19" s="132"/>
      <c r="FX19" s="132"/>
      <c r="FY19" s="132"/>
      <c r="FZ19" s="132"/>
      <c r="GA19" s="132"/>
      <c r="GB19" s="132"/>
      <c r="GC19" s="132"/>
      <c r="GD19" s="132"/>
      <c r="GE19" s="132"/>
      <c r="GF19" s="132"/>
      <c r="GG19" s="132"/>
      <c r="GH19" s="132"/>
      <c r="GI19" s="132"/>
      <c r="GJ19" s="132"/>
      <c r="GK19" s="132"/>
      <c r="GL19" s="132"/>
      <c r="GM19" s="132"/>
      <c r="GN19" s="132"/>
      <c r="GO19" s="132"/>
      <c r="GP19" s="132"/>
      <c r="GQ19" s="132"/>
      <c r="GR19" s="132"/>
      <c r="GS19" s="132"/>
      <c r="GT19" s="132"/>
      <c r="GU19" s="132"/>
      <c r="GV19" s="132"/>
      <c r="GW19" s="132"/>
      <c r="GX19" s="132"/>
      <c r="GY19" s="132"/>
      <c r="GZ19" s="132"/>
      <c r="HA19" s="132"/>
      <c r="HB19" s="132"/>
      <c r="HC19" s="132"/>
      <c r="HD19" s="132"/>
      <c r="HE19" s="132"/>
      <c r="HF19" s="132"/>
      <c r="HG19" s="132"/>
      <c r="HH19" s="132"/>
      <c r="HI19" s="132"/>
      <c r="HJ19" s="132"/>
      <c r="HK19" s="132"/>
      <c r="HL19" s="132"/>
      <c r="HM19" s="132"/>
      <c r="HN19" s="132"/>
      <c r="HO19" s="132"/>
      <c r="HP19" s="132"/>
      <c r="HQ19" s="132"/>
      <c r="HR19" s="132"/>
      <c r="HS19" s="132"/>
      <c r="HT19" s="132"/>
      <c r="HU19" s="132"/>
      <c r="HV19" s="132"/>
      <c r="HW19" s="132"/>
      <c r="HX19" s="132"/>
      <c r="HY19" s="132"/>
      <c r="HZ19" s="132"/>
      <c r="IA19" s="132"/>
      <c r="IB19" s="132"/>
      <c r="IC19" s="132"/>
      <c r="ID19" s="132"/>
      <c r="IE19" s="132"/>
      <c r="IF19" s="132"/>
      <c r="IG19" s="132"/>
      <c r="IH19" s="132"/>
      <c r="II19" s="132"/>
      <c r="IJ19" s="132"/>
      <c r="IK19" s="132"/>
      <c r="IL19" s="132"/>
      <c r="IM19" s="132"/>
      <c r="IN19" s="132"/>
      <c r="IO19" s="132"/>
      <c r="IP19" s="132"/>
      <c r="IQ19" s="132"/>
    </row>
    <row r="20" spans="1:251" ht="60.75" x14ac:dyDescent="0.3">
      <c r="A20" s="141" t="s">
        <v>325</v>
      </c>
      <c r="B20" s="142">
        <v>98898121.400000006</v>
      </c>
      <c r="C20" s="143">
        <f>B20</f>
        <v>98898121.400000006</v>
      </c>
      <c r="D20" s="142">
        <v>87348176.579999998</v>
      </c>
      <c r="E20" s="143">
        <v>11549944.82</v>
      </c>
      <c r="F20" s="143">
        <f t="shared" ref="F20:F25" si="0">D20+E20</f>
        <v>98898121.400000006</v>
      </c>
      <c r="G20" s="189"/>
      <c r="H20" s="144">
        <f>'Смета по ТСН-2001'!J284</f>
        <v>98898121.399999976</v>
      </c>
      <c r="I20" s="145"/>
      <c r="J20" s="145"/>
      <c r="K20" s="146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32"/>
      <c r="ER20" s="132"/>
      <c r="ES20" s="132"/>
      <c r="ET20" s="132"/>
      <c r="EU20" s="132"/>
      <c r="EV20" s="132"/>
      <c r="EW20" s="132"/>
      <c r="EX20" s="132"/>
      <c r="EY20" s="132"/>
      <c r="EZ20" s="132"/>
      <c r="FA20" s="132"/>
      <c r="FB20" s="132"/>
      <c r="FC20" s="132"/>
      <c r="FD20" s="132"/>
      <c r="FE20" s="132"/>
      <c r="FF20" s="132"/>
      <c r="FG20" s="132"/>
      <c r="FH20" s="132"/>
      <c r="FI20" s="132"/>
      <c r="FJ20" s="132"/>
      <c r="FK20" s="132"/>
      <c r="FL20" s="132"/>
      <c r="FM20" s="132"/>
      <c r="FN20" s="132"/>
      <c r="FO20" s="132"/>
      <c r="FP20" s="132"/>
      <c r="FQ20" s="132"/>
      <c r="FR20" s="132"/>
      <c r="FS20" s="132"/>
      <c r="FT20" s="132"/>
      <c r="FU20" s="132"/>
      <c r="FV20" s="132"/>
      <c r="FW20" s="132"/>
      <c r="FX20" s="132"/>
      <c r="FY20" s="132"/>
      <c r="FZ20" s="132"/>
      <c r="GA20" s="132"/>
      <c r="GB20" s="132"/>
      <c r="GC20" s="132"/>
      <c r="GD20" s="132"/>
      <c r="GE20" s="132"/>
      <c r="GF20" s="132"/>
      <c r="GG20" s="132"/>
      <c r="GH20" s="132"/>
      <c r="GI20" s="132"/>
      <c r="GJ20" s="132"/>
      <c r="GK20" s="132"/>
      <c r="GL20" s="132"/>
      <c r="GM20" s="132"/>
      <c r="GN20" s="132"/>
      <c r="GO20" s="132"/>
      <c r="GP20" s="132"/>
      <c r="GQ20" s="132"/>
      <c r="GR20" s="132"/>
      <c r="GS20" s="132"/>
      <c r="GT20" s="132"/>
      <c r="GU20" s="132"/>
      <c r="GV20" s="132"/>
      <c r="GW20" s="132"/>
      <c r="GX20" s="132"/>
      <c r="GY20" s="132"/>
      <c r="GZ20" s="132"/>
      <c r="HA20" s="132"/>
      <c r="HB20" s="132"/>
      <c r="HC20" s="132"/>
      <c r="HD20" s="132"/>
      <c r="HE20" s="132"/>
      <c r="HF20" s="132"/>
      <c r="HG20" s="132"/>
      <c r="HH20" s="132"/>
      <c r="HI20" s="132"/>
      <c r="HJ20" s="132"/>
      <c r="HK20" s="132"/>
      <c r="HL20" s="132"/>
      <c r="HM20" s="132"/>
      <c r="HN20" s="132"/>
      <c r="HO20" s="132"/>
      <c r="HP20" s="132"/>
      <c r="HQ20" s="132"/>
      <c r="HR20" s="132"/>
      <c r="HS20" s="132"/>
      <c r="HT20" s="132"/>
      <c r="HU20" s="132"/>
      <c r="HV20" s="132"/>
      <c r="HW20" s="132"/>
      <c r="HX20" s="132"/>
      <c r="HY20" s="132"/>
      <c r="HZ20" s="132"/>
      <c r="IA20" s="132"/>
      <c r="IB20" s="132"/>
      <c r="IC20" s="132"/>
      <c r="ID20" s="132"/>
      <c r="IE20" s="132"/>
      <c r="IF20" s="132"/>
      <c r="IG20" s="132"/>
      <c r="IH20" s="132"/>
      <c r="II20" s="132"/>
      <c r="IJ20" s="132"/>
      <c r="IK20" s="132"/>
      <c r="IL20" s="132"/>
      <c r="IM20" s="132"/>
      <c r="IN20" s="132"/>
      <c r="IO20" s="132"/>
      <c r="IP20" s="132"/>
      <c r="IQ20" s="132"/>
    </row>
    <row r="21" spans="1:251" ht="40.5" x14ac:dyDescent="0.3">
      <c r="A21" s="141" t="s">
        <v>327</v>
      </c>
      <c r="B21" s="142">
        <v>1581044.51</v>
      </c>
      <c r="C21" s="143">
        <f t="shared" ref="C21:C22" si="1">B21</f>
        <v>1581044.51</v>
      </c>
      <c r="D21" s="142">
        <v>1581044.51</v>
      </c>
      <c r="E21" s="143">
        <v>0</v>
      </c>
      <c r="F21" s="143">
        <f t="shared" si="0"/>
        <v>1581044.51</v>
      </c>
      <c r="G21" s="189"/>
      <c r="H21" s="144">
        <f>'Смета по ТСН-2001'!J356</f>
        <v>1581044.51</v>
      </c>
      <c r="I21" s="145"/>
      <c r="J21" s="145"/>
      <c r="K21" s="146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  <c r="EK21" s="132"/>
      <c r="EL21" s="132"/>
      <c r="EM21" s="132"/>
      <c r="EN21" s="132"/>
      <c r="EO21" s="132"/>
      <c r="EP21" s="132"/>
      <c r="EQ21" s="132"/>
      <c r="ER21" s="132"/>
      <c r="ES21" s="132"/>
      <c r="ET21" s="132"/>
      <c r="EU21" s="132"/>
      <c r="EV21" s="132"/>
      <c r="EW21" s="132"/>
      <c r="EX21" s="132"/>
      <c r="EY21" s="132"/>
      <c r="EZ21" s="132"/>
      <c r="FA21" s="132"/>
      <c r="FB21" s="132"/>
      <c r="FC21" s="132"/>
      <c r="FD21" s="132"/>
      <c r="FE21" s="132"/>
      <c r="FF21" s="132"/>
      <c r="FG21" s="132"/>
      <c r="FH21" s="132"/>
      <c r="FI21" s="132"/>
      <c r="FJ21" s="132"/>
      <c r="FK21" s="132"/>
      <c r="FL21" s="132"/>
      <c r="FM21" s="132"/>
      <c r="FN21" s="132"/>
      <c r="FO21" s="132"/>
      <c r="FP21" s="132"/>
      <c r="FQ21" s="132"/>
      <c r="FR21" s="132"/>
      <c r="FS21" s="132"/>
      <c r="FT21" s="132"/>
      <c r="FU21" s="132"/>
      <c r="FV21" s="132"/>
      <c r="FW21" s="132"/>
      <c r="FX21" s="132"/>
      <c r="FY21" s="132"/>
      <c r="FZ21" s="132"/>
      <c r="GA21" s="132"/>
      <c r="GB21" s="132"/>
      <c r="GC21" s="132"/>
      <c r="GD21" s="132"/>
      <c r="GE21" s="132"/>
      <c r="GF21" s="132"/>
      <c r="GG21" s="132"/>
      <c r="GH21" s="132"/>
      <c r="GI21" s="132"/>
      <c r="GJ21" s="132"/>
      <c r="GK21" s="132"/>
      <c r="GL21" s="132"/>
      <c r="GM21" s="132"/>
      <c r="GN21" s="132"/>
      <c r="GO21" s="132"/>
      <c r="GP21" s="132"/>
      <c r="GQ21" s="132"/>
      <c r="GR21" s="132"/>
      <c r="GS21" s="132"/>
      <c r="GT21" s="132"/>
      <c r="GU21" s="132"/>
      <c r="GV21" s="132"/>
      <c r="GW21" s="132"/>
      <c r="GX21" s="132"/>
      <c r="GY21" s="132"/>
      <c r="GZ21" s="132"/>
      <c r="HA21" s="132"/>
      <c r="HB21" s="132"/>
      <c r="HC21" s="132"/>
      <c r="HD21" s="132"/>
      <c r="HE21" s="132"/>
      <c r="HF21" s="132"/>
      <c r="HG21" s="132"/>
      <c r="HH21" s="132"/>
      <c r="HI21" s="132"/>
      <c r="HJ21" s="132"/>
      <c r="HK21" s="132"/>
      <c r="HL21" s="132"/>
      <c r="HM21" s="132"/>
      <c r="HN21" s="132"/>
      <c r="HO21" s="132"/>
      <c r="HP21" s="132"/>
      <c r="HQ21" s="132"/>
      <c r="HR21" s="132"/>
      <c r="HS21" s="132"/>
      <c r="HT21" s="132"/>
      <c r="HU21" s="132"/>
      <c r="HV21" s="132"/>
      <c r="HW21" s="132"/>
      <c r="HX21" s="132"/>
      <c r="HY21" s="132"/>
      <c r="HZ21" s="132"/>
      <c r="IA21" s="132"/>
      <c r="IB21" s="132"/>
      <c r="IC21" s="132"/>
      <c r="ID21" s="132"/>
      <c r="IE21" s="132"/>
      <c r="IF21" s="132"/>
      <c r="IG21" s="132"/>
      <c r="IH21" s="132"/>
      <c r="II21" s="132"/>
      <c r="IJ21" s="132"/>
      <c r="IK21" s="132"/>
      <c r="IL21" s="132"/>
      <c r="IM21" s="132"/>
      <c r="IN21" s="132"/>
      <c r="IO21" s="132"/>
      <c r="IP21" s="132"/>
      <c r="IQ21" s="132"/>
    </row>
    <row r="22" spans="1:251" ht="60.75" x14ac:dyDescent="0.3">
      <c r="A22" s="141" t="s">
        <v>326</v>
      </c>
      <c r="B22" s="142">
        <v>304047572</v>
      </c>
      <c r="C22" s="143">
        <f t="shared" si="1"/>
        <v>304047572</v>
      </c>
      <c r="D22" s="142">
        <v>289647810.39999998</v>
      </c>
      <c r="E22" s="143">
        <v>14399761.6</v>
      </c>
      <c r="F22" s="143">
        <f t="shared" si="0"/>
        <v>304047572</v>
      </c>
      <c r="G22" s="189"/>
      <c r="H22" s="144">
        <f>'Смета по ТСН-2001'!J438</f>
        <v>304047572</v>
      </c>
      <c r="I22" s="145"/>
      <c r="J22" s="145"/>
      <c r="K22" s="146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</row>
    <row r="23" spans="1:251" ht="40.5" x14ac:dyDescent="0.3">
      <c r="A23" s="181" t="s">
        <v>328</v>
      </c>
      <c r="B23" s="149">
        <f>B20+B21+B22</f>
        <v>404526737.91000003</v>
      </c>
      <c r="C23" s="149">
        <f>C20+C21+C22</f>
        <v>404526737.91000003</v>
      </c>
      <c r="D23" s="149">
        <f>D20+D21+D22</f>
        <v>378577031.49000001</v>
      </c>
      <c r="E23" s="149">
        <f>E20+E21+E22</f>
        <v>25949706.420000002</v>
      </c>
      <c r="F23" s="149">
        <f t="shared" si="0"/>
        <v>404526737.91000003</v>
      </c>
      <c r="G23" s="192">
        <f>F20+F21+F22</f>
        <v>404526737.91000003</v>
      </c>
      <c r="H23" s="144">
        <f>'Смета по ТСН-2001'!J442</f>
        <v>404526737.90999997</v>
      </c>
      <c r="I23" s="145"/>
      <c r="J23" s="145"/>
      <c r="K23" s="148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M23" s="131"/>
      <c r="HN23" s="131"/>
      <c r="HO23" s="131"/>
      <c r="HP23" s="131"/>
      <c r="HQ23" s="131"/>
      <c r="HR23" s="131"/>
      <c r="HS23" s="131"/>
      <c r="HT23" s="131"/>
      <c r="HU23" s="131"/>
      <c r="HV23" s="131"/>
      <c r="HW23" s="131"/>
      <c r="HX23" s="131"/>
      <c r="HY23" s="131"/>
      <c r="HZ23" s="131"/>
      <c r="IA23" s="131"/>
      <c r="IB23" s="131"/>
      <c r="IC23" s="131"/>
      <c r="ID23" s="131"/>
      <c r="IE23" s="131"/>
      <c r="IF23" s="131"/>
      <c r="IG23" s="131"/>
      <c r="IH23" s="131"/>
      <c r="II23" s="131"/>
      <c r="IJ23" s="131"/>
      <c r="IK23" s="131"/>
      <c r="IL23" s="131"/>
      <c r="IM23" s="131"/>
      <c r="IN23" s="131"/>
      <c r="IO23" s="131"/>
      <c r="IP23" s="131"/>
      <c r="IQ23" s="131"/>
    </row>
    <row r="24" spans="1:251" ht="40.5" customHeight="1" x14ac:dyDescent="0.3">
      <c r="A24" s="147" t="s">
        <v>329</v>
      </c>
      <c r="B24" s="143">
        <f>ROUND(B23/1.2*0.2,2)</f>
        <v>67421122.989999995</v>
      </c>
      <c r="C24" s="143">
        <f>B24</f>
        <v>67421122.989999995</v>
      </c>
      <c r="D24" s="143">
        <f>ROUND(D23/1.2*0.2,2)</f>
        <v>63096171.920000002</v>
      </c>
      <c r="E24" s="143">
        <f>ROUND(E23/1.2*0.2,2)</f>
        <v>4324951.07</v>
      </c>
      <c r="F24" s="143">
        <f t="shared" si="0"/>
        <v>67421122.99000001</v>
      </c>
      <c r="G24" s="189"/>
      <c r="H24" s="144">
        <f>'Смета по ТСН-2001'!J443</f>
        <v>67421122.989999995</v>
      </c>
      <c r="I24" s="145"/>
      <c r="J24" s="145"/>
      <c r="K24" s="148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M24" s="131"/>
      <c r="HN24" s="131"/>
      <c r="HO24" s="131"/>
      <c r="HP24" s="131"/>
      <c r="HQ24" s="131"/>
      <c r="HR24" s="131"/>
      <c r="HS24" s="131"/>
      <c r="HT24" s="131"/>
      <c r="HU24" s="131"/>
      <c r="HV24" s="131"/>
      <c r="HW24" s="131"/>
      <c r="HX24" s="131"/>
      <c r="HY24" s="131"/>
      <c r="HZ24" s="131"/>
      <c r="IA24" s="131"/>
      <c r="IB24" s="131"/>
      <c r="IC24" s="131"/>
      <c r="ID24" s="131"/>
      <c r="IE24" s="131"/>
      <c r="IF24" s="131"/>
      <c r="IG24" s="131"/>
      <c r="IH24" s="131"/>
      <c r="II24" s="131"/>
      <c r="IJ24" s="131"/>
      <c r="IK24" s="131"/>
      <c r="IL24" s="131"/>
      <c r="IM24" s="131"/>
      <c r="IN24" s="131"/>
      <c r="IO24" s="131"/>
      <c r="IP24" s="131"/>
      <c r="IQ24" s="131"/>
    </row>
    <row r="25" spans="1:251" ht="56.25" hidden="1" x14ac:dyDescent="0.3">
      <c r="A25" s="150" t="s">
        <v>321</v>
      </c>
      <c r="B25" s="151"/>
      <c r="C25" s="151"/>
      <c r="D25" s="151"/>
      <c r="E25" s="151"/>
      <c r="F25" s="152">
        <f t="shared" si="0"/>
        <v>0</v>
      </c>
      <c r="G25" s="190"/>
      <c r="H25" s="153"/>
      <c r="I25" s="153"/>
      <c r="J25" s="153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  <c r="GT25" s="131"/>
      <c r="GU25" s="131"/>
      <c r="GV25" s="131"/>
      <c r="GW25" s="131"/>
      <c r="GX25" s="131"/>
      <c r="GY25" s="131"/>
      <c r="GZ25" s="131"/>
      <c r="HA25" s="131"/>
      <c r="HB25" s="131"/>
      <c r="HC25" s="131"/>
      <c r="HD25" s="131"/>
      <c r="HE25" s="131"/>
      <c r="HF25" s="131"/>
      <c r="HG25" s="131"/>
      <c r="HH25" s="131"/>
      <c r="HI25" s="131"/>
      <c r="HJ25" s="131"/>
      <c r="HK25" s="131"/>
      <c r="HL25" s="131"/>
      <c r="HM25" s="131"/>
      <c r="HN25" s="131"/>
      <c r="HO25" s="131"/>
      <c r="HP25" s="131"/>
      <c r="HQ25" s="131"/>
      <c r="HR25" s="131"/>
      <c r="HS25" s="131"/>
      <c r="HT25" s="131"/>
      <c r="HU25" s="131"/>
      <c r="HV25" s="131"/>
      <c r="HW25" s="131"/>
      <c r="HX25" s="131"/>
      <c r="HY25" s="131"/>
      <c r="HZ25" s="131"/>
      <c r="IA25" s="131"/>
      <c r="IB25" s="131"/>
      <c r="IC25" s="131"/>
      <c r="ID25" s="131"/>
      <c r="IE25" s="131"/>
      <c r="IF25" s="131"/>
      <c r="IG25" s="131"/>
      <c r="IH25" s="131"/>
      <c r="II25" s="131"/>
      <c r="IJ25" s="131"/>
      <c r="IK25" s="131"/>
      <c r="IL25" s="131"/>
      <c r="IM25" s="131"/>
      <c r="IN25" s="131"/>
      <c r="IO25" s="131"/>
      <c r="IP25" s="131"/>
      <c r="IQ25" s="131"/>
    </row>
    <row r="26" spans="1:251" ht="18.75" hidden="1" x14ac:dyDescent="0.3">
      <c r="A26" s="154" t="s">
        <v>322</v>
      </c>
      <c r="B26" s="155">
        <f>ROUND(B25/1.2*0.2,2)</f>
        <v>0</v>
      </c>
      <c r="C26" s="155">
        <f>B26</f>
        <v>0</v>
      </c>
      <c r="D26" s="155">
        <f>ROUND(D25/1.2*0.2,2)</f>
        <v>0</v>
      </c>
      <c r="E26" s="155">
        <f>ROUND(E25/1.2*0.2,2)</f>
        <v>0</v>
      </c>
      <c r="F26" s="155">
        <f t="shared" ref="F26" si="2">D26+E26</f>
        <v>0</v>
      </c>
      <c r="G26" s="191"/>
      <c r="H26" s="153"/>
      <c r="I26" s="153"/>
      <c r="J26" s="153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1"/>
      <c r="ED26" s="131"/>
      <c r="EE26" s="131"/>
      <c r="EF26" s="131"/>
      <c r="EG26" s="131"/>
      <c r="EH26" s="131"/>
      <c r="EI26" s="131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  <c r="GT26" s="131"/>
      <c r="GU26" s="131"/>
      <c r="GV26" s="131"/>
      <c r="GW26" s="131"/>
      <c r="GX26" s="131"/>
      <c r="GY26" s="131"/>
      <c r="GZ26" s="131"/>
      <c r="HA26" s="131"/>
      <c r="HB26" s="131"/>
      <c r="HC26" s="131"/>
      <c r="HD26" s="131"/>
      <c r="HE26" s="131"/>
      <c r="HF26" s="131"/>
      <c r="HG26" s="131"/>
      <c r="HH26" s="131"/>
      <c r="HI26" s="131"/>
      <c r="HJ26" s="131"/>
      <c r="HK26" s="131"/>
      <c r="HL26" s="131"/>
      <c r="HM26" s="131"/>
      <c r="HN26" s="131"/>
      <c r="HO26" s="131"/>
      <c r="HP26" s="131"/>
      <c r="HQ26" s="131"/>
      <c r="HR26" s="131"/>
      <c r="HS26" s="131"/>
      <c r="HT26" s="131"/>
      <c r="HU26" s="131"/>
      <c r="HV26" s="131"/>
      <c r="HW26" s="131"/>
      <c r="HX26" s="131"/>
      <c r="HY26" s="131"/>
      <c r="HZ26" s="131"/>
      <c r="IA26" s="131"/>
      <c r="IB26" s="131"/>
      <c r="IC26" s="131"/>
      <c r="ID26" s="131"/>
      <c r="IE26" s="131"/>
      <c r="IF26" s="131"/>
      <c r="IG26" s="131"/>
      <c r="IH26" s="131"/>
      <c r="II26" s="131"/>
      <c r="IJ26" s="131"/>
      <c r="IK26" s="131"/>
      <c r="IL26" s="131"/>
      <c r="IM26" s="131"/>
      <c r="IN26" s="131"/>
      <c r="IO26" s="131"/>
      <c r="IP26" s="131"/>
      <c r="IQ26" s="131"/>
    </row>
    <row r="27" spans="1:251" ht="48" customHeight="1" x14ac:dyDescent="0.3">
      <c r="A27" s="156"/>
      <c r="B27" s="157"/>
      <c r="C27" s="157"/>
      <c r="D27" s="158"/>
      <c r="E27" s="159"/>
      <c r="F27" s="132"/>
      <c r="G27" s="132"/>
      <c r="H27" s="160"/>
      <c r="I27" s="126"/>
      <c r="J27" s="12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</row>
    <row r="28" spans="1:251" ht="18" customHeight="1" x14ac:dyDescent="0.3">
      <c r="A28" s="266"/>
      <c r="B28" s="266"/>
      <c r="C28" s="161"/>
      <c r="D28" s="161"/>
      <c r="E28" s="161"/>
      <c r="F28" s="132"/>
      <c r="G28" s="132"/>
      <c r="H28" s="126"/>
      <c r="I28" s="126"/>
      <c r="J28" s="126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</row>
    <row r="29" spans="1:251" ht="20.25" hidden="1" x14ac:dyDescent="0.3">
      <c r="A29" s="266"/>
      <c r="B29" s="266"/>
      <c r="C29" s="161"/>
      <c r="D29" s="161"/>
      <c r="E29" s="161"/>
      <c r="F29" s="133"/>
      <c r="G29" s="133"/>
      <c r="H29" s="126"/>
      <c r="I29" s="126"/>
      <c r="J29" s="126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  <c r="CT29" s="133"/>
      <c r="CU29" s="133"/>
      <c r="CV29" s="133"/>
      <c r="CW29" s="133"/>
      <c r="CX29" s="133"/>
      <c r="CY29" s="133"/>
      <c r="CZ29" s="133"/>
      <c r="DA29" s="133"/>
      <c r="DB29" s="133"/>
      <c r="DC29" s="133"/>
      <c r="DD29" s="133"/>
      <c r="DE29" s="133"/>
      <c r="DF29" s="133"/>
      <c r="DG29" s="133"/>
      <c r="DH29" s="133"/>
      <c r="DI29" s="133"/>
      <c r="DJ29" s="133"/>
      <c r="DK29" s="133"/>
      <c r="DL29" s="133"/>
      <c r="DM29" s="133"/>
      <c r="DN29" s="133"/>
      <c r="DO29" s="133"/>
      <c r="DP29" s="133"/>
      <c r="DQ29" s="133"/>
      <c r="DR29" s="133"/>
      <c r="DS29" s="133"/>
      <c r="DT29" s="133"/>
      <c r="DU29" s="133"/>
      <c r="DV29" s="133"/>
      <c r="DW29" s="133"/>
      <c r="DX29" s="133"/>
      <c r="DY29" s="133"/>
      <c r="DZ29" s="133"/>
      <c r="EA29" s="133"/>
      <c r="EB29" s="133"/>
      <c r="EC29" s="133"/>
      <c r="ED29" s="133"/>
      <c r="EE29" s="133"/>
      <c r="EF29" s="133"/>
      <c r="EG29" s="133"/>
      <c r="EH29" s="133"/>
      <c r="EI29" s="133"/>
      <c r="EJ29" s="133"/>
      <c r="EK29" s="133"/>
      <c r="EL29" s="133"/>
      <c r="EM29" s="133"/>
      <c r="EN29" s="133"/>
      <c r="EO29" s="133"/>
      <c r="EP29" s="133"/>
      <c r="EQ29" s="133"/>
      <c r="ER29" s="133"/>
      <c r="ES29" s="133"/>
      <c r="ET29" s="133"/>
      <c r="EU29" s="133"/>
      <c r="EV29" s="133"/>
      <c r="EW29" s="133"/>
      <c r="EX29" s="133"/>
      <c r="EY29" s="133"/>
      <c r="EZ29" s="133"/>
      <c r="FA29" s="133"/>
      <c r="FB29" s="133"/>
      <c r="FC29" s="133"/>
      <c r="FD29" s="133"/>
      <c r="FE29" s="133"/>
      <c r="FF29" s="133"/>
      <c r="FG29" s="133"/>
      <c r="FH29" s="133"/>
      <c r="FI29" s="133"/>
      <c r="FJ29" s="133"/>
      <c r="FK29" s="133"/>
      <c r="FL29" s="133"/>
      <c r="FM29" s="133"/>
      <c r="FN29" s="133"/>
      <c r="FO29" s="133"/>
      <c r="FP29" s="133"/>
      <c r="FQ29" s="133"/>
      <c r="FR29" s="133"/>
      <c r="FS29" s="133"/>
      <c r="FT29" s="133"/>
      <c r="FU29" s="133"/>
      <c r="FV29" s="133"/>
      <c r="FW29" s="133"/>
      <c r="FX29" s="133"/>
      <c r="FY29" s="133"/>
      <c r="FZ29" s="133"/>
      <c r="GA29" s="133"/>
      <c r="GB29" s="133"/>
      <c r="GC29" s="133"/>
      <c r="GD29" s="133"/>
      <c r="GE29" s="133"/>
      <c r="GF29" s="133"/>
      <c r="GG29" s="133"/>
      <c r="GH29" s="133"/>
      <c r="GI29" s="133"/>
      <c r="GJ29" s="133"/>
      <c r="GK29" s="133"/>
      <c r="GL29" s="133"/>
      <c r="GM29" s="133"/>
      <c r="GN29" s="133"/>
      <c r="GO29" s="133"/>
      <c r="GP29" s="133"/>
      <c r="GQ29" s="133"/>
      <c r="GR29" s="133"/>
      <c r="GS29" s="133"/>
      <c r="GT29" s="133"/>
      <c r="GU29" s="133"/>
      <c r="GV29" s="133"/>
      <c r="GW29" s="133"/>
      <c r="GX29" s="133"/>
      <c r="GY29" s="133"/>
      <c r="GZ29" s="133"/>
      <c r="HA29" s="133"/>
      <c r="HB29" s="133"/>
      <c r="HC29" s="133"/>
      <c r="HD29" s="133"/>
      <c r="HE29" s="133"/>
      <c r="HF29" s="133"/>
      <c r="HG29" s="133"/>
      <c r="HH29" s="133"/>
      <c r="HI29" s="133"/>
      <c r="HJ29" s="133"/>
      <c r="HK29" s="133"/>
      <c r="HL29" s="133"/>
      <c r="HM29" s="133"/>
      <c r="HN29" s="133"/>
      <c r="HO29" s="133"/>
      <c r="HP29" s="133"/>
      <c r="HQ29" s="133"/>
      <c r="HR29" s="133"/>
      <c r="HS29" s="133"/>
      <c r="HT29" s="133"/>
      <c r="HU29" s="133"/>
      <c r="HV29" s="133"/>
      <c r="HW29" s="133"/>
      <c r="HX29" s="133"/>
      <c r="HY29" s="133"/>
      <c r="HZ29" s="133"/>
      <c r="IA29" s="133"/>
      <c r="IB29" s="133"/>
      <c r="IC29" s="133"/>
      <c r="ID29" s="133"/>
      <c r="IE29" s="133"/>
      <c r="IF29" s="133"/>
      <c r="IG29" s="133"/>
      <c r="IH29" s="133"/>
      <c r="II29" s="133"/>
      <c r="IJ29" s="133"/>
      <c r="IK29" s="133"/>
      <c r="IL29" s="133"/>
      <c r="IM29" s="133"/>
      <c r="IN29" s="133"/>
      <c r="IO29" s="133"/>
      <c r="IP29" s="133"/>
      <c r="IQ29" s="133"/>
    </row>
    <row r="30" spans="1:251" s="133" customFormat="1" ht="20.25" hidden="1" x14ac:dyDescent="0.3">
      <c r="A30" s="164"/>
      <c r="B30" s="164"/>
      <c r="C30" s="161"/>
      <c r="D30" s="161"/>
      <c r="E30" s="161"/>
      <c r="F30" s="162"/>
      <c r="G30" s="162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 s="163"/>
      <c r="EZ30" s="163"/>
      <c r="FA30" s="163"/>
      <c r="FB30" s="163"/>
      <c r="FC30" s="163"/>
      <c r="FD30" s="163"/>
      <c r="FE30" s="163"/>
      <c r="FF30" s="163"/>
      <c r="FG30" s="163"/>
      <c r="FH30" s="163"/>
      <c r="FI30" s="163"/>
      <c r="FJ30" s="163"/>
      <c r="FK30" s="163"/>
      <c r="FL30" s="163"/>
      <c r="FM30" s="163"/>
      <c r="FN30" s="163"/>
      <c r="FO30" s="163"/>
      <c r="FP30" s="163"/>
      <c r="FQ30" s="163"/>
      <c r="FR30" s="163"/>
      <c r="FS30" s="163"/>
      <c r="FT30" s="163"/>
      <c r="FU30" s="163"/>
      <c r="FV30" s="163"/>
      <c r="FW30" s="163"/>
      <c r="FX30" s="163"/>
      <c r="FY30" s="163"/>
      <c r="FZ30" s="163"/>
      <c r="GA30" s="163"/>
      <c r="GB30" s="163"/>
      <c r="GC30" s="163"/>
      <c r="GD30" s="163"/>
      <c r="GE30" s="163"/>
      <c r="GF30" s="163"/>
      <c r="GG30" s="163"/>
      <c r="GH30" s="163"/>
      <c r="GI30" s="163"/>
      <c r="GJ30" s="163"/>
      <c r="GK30" s="163"/>
      <c r="GL30" s="163"/>
      <c r="GM30" s="163"/>
      <c r="GN30" s="163"/>
      <c r="GO30" s="163"/>
      <c r="GP30" s="163"/>
      <c r="GQ30" s="163"/>
      <c r="GR30" s="163"/>
      <c r="GS30" s="163"/>
      <c r="GT30" s="163"/>
      <c r="GU30" s="163"/>
      <c r="GV30" s="163"/>
      <c r="GW30" s="163"/>
      <c r="GX30" s="163"/>
      <c r="GY30" s="163"/>
      <c r="GZ30" s="163"/>
      <c r="HA30" s="163"/>
      <c r="HB30" s="163"/>
      <c r="HC30" s="163"/>
      <c r="HD30" s="163"/>
      <c r="HE30" s="163"/>
      <c r="HF30" s="163"/>
      <c r="HG30" s="163"/>
      <c r="HH30" s="163"/>
      <c r="HI30" s="163"/>
      <c r="HJ30" s="163"/>
      <c r="HK30" s="163"/>
      <c r="HL30" s="163"/>
      <c r="HM30" s="163"/>
      <c r="HN30" s="163"/>
      <c r="HO30" s="163"/>
      <c r="HP30" s="163"/>
      <c r="HQ30" s="163"/>
      <c r="HR30" s="163"/>
      <c r="HS30" s="163"/>
      <c r="HT30" s="163"/>
      <c r="HU30" s="163"/>
      <c r="HV30" s="163"/>
      <c r="HW30" s="163"/>
      <c r="HX30" s="163"/>
      <c r="HY30" s="163"/>
      <c r="HZ30" s="163"/>
      <c r="IA30" s="163"/>
      <c r="IB30" s="163"/>
      <c r="IC30" s="163"/>
      <c r="ID30" s="163"/>
      <c r="IE30" s="163"/>
      <c r="IF30" s="163"/>
      <c r="IG30" s="163"/>
      <c r="IH30" s="163"/>
      <c r="II30" s="163"/>
      <c r="IJ30" s="163"/>
      <c r="IK30" s="163"/>
      <c r="IL30" s="163"/>
      <c r="IM30" s="163"/>
      <c r="IN30" s="163"/>
      <c r="IO30" s="163"/>
      <c r="IP30" s="163"/>
      <c r="IQ30" s="163"/>
    </row>
    <row r="31" spans="1:251" s="133" customFormat="1" ht="20.25" hidden="1" x14ac:dyDescent="0.3">
      <c r="A31" s="164"/>
      <c r="B31" s="164"/>
      <c r="C31" s="161"/>
      <c r="D31" s="161"/>
      <c r="E31" s="161"/>
      <c r="F31" s="162"/>
      <c r="G31" s="162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3"/>
      <c r="DI31" s="163"/>
      <c r="DJ31" s="163"/>
      <c r="DK31" s="163"/>
      <c r="DL31" s="163"/>
      <c r="DM31" s="163"/>
      <c r="DN31" s="163"/>
      <c r="DO31" s="163"/>
      <c r="DP31" s="163"/>
      <c r="DQ31" s="163"/>
      <c r="DR31" s="163"/>
      <c r="DS31" s="163"/>
      <c r="DT31" s="163"/>
      <c r="DU31" s="163"/>
      <c r="DV31" s="163"/>
      <c r="DW31" s="163"/>
      <c r="DX31" s="163"/>
      <c r="DY31" s="163"/>
      <c r="DZ31" s="163"/>
      <c r="EA31" s="163"/>
      <c r="EB31" s="163"/>
      <c r="EC31" s="163"/>
      <c r="ED31" s="163"/>
      <c r="EE31" s="163"/>
      <c r="EF31" s="163"/>
      <c r="EG31" s="163"/>
      <c r="EH31" s="163"/>
      <c r="EI31" s="163"/>
      <c r="EJ31" s="163"/>
      <c r="EK31" s="163"/>
      <c r="EL31" s="163"/>
      <c r="EM31" s="163"/>
      <c r="EN31" s="163"/>
      <c r="EO31" s="163"/>
      <c r="EP31" s="163"/>
      <c r="EQ31" s="163"/>
      <c r="ER31" s="163"/>
      <c r="ES31" s="163"/>
      <c r="ET31" s="163"/>
      <c r="EU31" s="163"/>
      <c r="EV31" s="163"/>
      <c r="EW31" s="163"/>
      <c r="EX31" s="163"/>
      <c r="EY31" s="163"/>
      <c r="EZ31" s="163"/>
      <c r="FA31" s="163"/>
      <c r="FB31" s="163"/>
      <c r="FC31" s="163"/>
      <c r="FD31" s="163"/>
      <c r="FE31" s="163"/>
      <c r="FF31" s="163"/>
      <c r="FG31" s="163"/>
      <c r="FH31" s="163"/>
      <c r="FI31" s="163"/>
      <c r="FJ31" s="163"/>
      <c r="FK31" s="163"/>
      <c r="FL31" s="163"/>
      <c r="FM31" s="163"/>
      <c r="FN31" s="163"/>
      <c r="FO31" s="163"/>
      <c r="FP31" s="163"/>
      <c r="FQ31" s="163"/>
      <c r="FR31" s="163"/>
      <c r="FS31" s="163"/>
      <c r="FT31" s="163"/>
      <c r="FU31" s="163"/>
      <c r="FV31" s="163"/>
      <c r="FW31" s="163"/>
      <c r="FX31" s="163"/>
      <c r="FY31" s="163"/>
      <c r="FZ31" s="163"/>
      <c r="GA31" s="163"/>
      <c r="GB31" s="163"/>
      <c r="GC31" s="163"/>
      <c r="GD31" s="163"/>
      <c r="GE31" s="163"/>
      <c r="GF31" s="163"/>
      <c r="GG31" s="163"/>
      <c r="GH31" s="163"/>
      <c r="GI31" s="163"/>
      <c r="GJ31" s="163"/>
      <c r="GK31" s="163"/>
      <c r="GL31" s="163"/>
      <c r="GM31" s="163"/>
      <c r="GN31" s="163"/>
      <c r="GO31" s="163"/>
      <c r="GP31" s="163"/>
      <c r="GQ31" s="163"/>
      <c r="GR31" s="163"/>
      <c r="GS31" s="163"/>
      <c r="GT31" s="163"/>
      <c r="GU31" s="163"/>
      <c r="GV31" s="163"/>
      <c r="GW31" s="163"/>
      <c r="GX31" s="163"/>
      <c r="GY31" s="163"/>
      <c r="GZ31" s="163"/>
      <c r="HA31" s="163"/>
      <c r="HB31" s="163"/>
      <c r="HC31" s="163"/>
      <c r="HD31" s="163"/>
      <c r="HE31" s="163"/>
      <c r="HF31" s="163"/>
      <c r="HG31" s="163"/>
      <c r="HH31" s="163"/>
      <c r="HI31" s="163"/>
      <c r="HJ31" s="163"/>
      <c r="HK31" s="163"/>
      <c r="HL31" s="163"/>
      <c r="HM31" s="163"/>
      <c r="HN31" s="163"/>
      <c r="HO31" s="163"/>
      <c r="HP31" s="163"/>
      <c r="HQ31" s="163"/>
      <c r="HR31" s="163"/>
      <c r="HS31" s="163"/>
      <c r="HT31" s="163"/>
      <c r="HU31" s="163"/>
      <c r="HV31" s="163"/>
      <c r="HW31" s="163"/>
      <c r="HX31" s="163"/>
      <c r="HY31" s="163"/>
      <c r="HZ31" s="163"/>
      <c r="IA31" s="163"/>
      <c r="IB31" s="163"/>
      <c r="IC31" s="163"/>
      <c r="ID31" s="163"/>
      <c r="IE31" s="163"/>
      <c r="IF31" s="163"/>
      <c r="IG31" s="163"/>
      <c r="IH31" s="163"/>
      <c r="II31" s="163"/>
      <c r="IJ31" s="163"/>
      <c r="IK31" s="163"/>
      <c r="IL31" s="163"/>
      <c r="IM31" s="163"/>
      <c r="IN31" s="163"/>
      <c r="IO31" s="163"/>
      <c r="IP31" s="163"/>
      <c r="IQ31" s="163"/>
    </row>
    <row r="32" spans="1:251" s="133" customFormat="1" ht="20.25" x14ac:dyDescent="0.3">
      <c r="A32" s="164"/>
      <c r="B32" s="164"/>
      <c r="C32" s="161"/>
      <c r="D32" s="161"/>
      <c r="E32" s="161"/>
      <c r="F32" s="162"/>
      <c r="G32" s="162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/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3"/>
      <c r="DI32" s="163"/>
      <c r="DJ32" s="163"/>
      <c r="DK32" s="163"/>
      <c r="DL32" s="163"/>
      <c r="DM32" s="163"/>
      <c r="DN32" s="163"/>
      <c r="DO32" s="163"/>
      <c r="DP32" s="163"/>
      <c r="DQ32" s="163"/>
      <c r="DR32" s="163"/>
      <c r="DS32" s="163"/>
      <c r="DT32" s="163"/>
      <c r="DU32" s="163"/>
      <c r="DV32" s="163"/>
      <c r="DW32" s="163"/>
      <c r="DX32" s="163"/>
      <c r="DY32" s="163"/>
      <c r="DZ32" s="163"/>
      <c r="EA32" s="163"/>
      <c r="EB32" s="163"/>
      <c r="EC32" s="163"/>
      <c r="ED32" s="163"/>
      <c r="EE32" s="163"/>
      <c r="EF32" s="163"/>
      <c r="EG32" s="163"/>
      <c r="EH32" s="163"/>
      <c r="EI32" s="163"/>
      <c r="EJ32" s="163"/>
      <c r="EK32" s="163"/>
      <c r="EL32" s="163"/>
      <c r="EM32" s="163"/>
      <c r="EN32" s="163"/>
      <c r="EO32" s="163"/>
      <c r="EP32" s="163"/>
      <c r="EQ32" s="163"/>
      <c r="ER32" s="163"/>
      <c r="ES32" s="163"/>
      <c r="ET32" s="163"/>
      <c r="EU32" s="163"/>
      <c r="EV32" s="163"/>
      <c r="EW32" s="163"/>
      <c r="EX32" s="163"/>
      <c r="EY32" s="163"/>
      <c r="EZ32" s="163"/>
      <c r="FA32" s="163"/>
      <c r="FB32" s="163"/>
      <c r="FC32" s="163"/>
      <c r="FD32" s="163"/>
      <c r="FE32" s="163"/>
      <c r="FF32" s="163"/>
      <c r="FG32" s="163"/>
      <c r="FH32" s="163"/>
      <c r="FI32" s="163"/>
      <c r="FJ32" s="163"/>
      <c r="FK32" s="163"/>
      <c r="FL32" s="163"/>
      <c r="FM32" s="163"/>
      <c r="FN32" s="163"/>
      <c r="FO32" s="163"/>
      <c r="FP32" s="163"/>
      <c r="FQ32" s="163"/>
      <c r="FR32" s="163"/>
      <c r="FS32" s="163"/>
      <c r="FT32" s="163"/>
      <c r="FU32" s="163"/>
      <c r="FV32" s="163"/>
      <c r="FW32" s="163"/>
      <c r="FX32" s="163"/>
      <c r="FY32" s="163"/>
      <c r="FZ32" s="163"/>
      <c r="GA32" s="163"/>
      <c r="GB32" s="163"/>
      <c r="GC32" s="163"/>
      <c r="GD32" s="163"/>
      <c r="GE32" s="163"/>
      <c r="GF32" s="163"/>
      <c r="GG32" s="163"/>
      <c r="GH32" s="163"/>
      <c r="GI32" s="163"/>
      <c r="GJ32" s="163"/>
      <c r="GK32" s="163"/>
      <c r="GL32" s="163"/>
      <c r="GM32" s="163"/>
      <c r="GN32" s="163"/>
      <c r="GO32" s="163"/>
      <c r="GP32" s="163"/>
      <c r="GQ32" s="163"/>
      <c r="GR32" s="163"/>
      <c r="GS32" s="163"/>
      <c r="GT32" s="163"/>
      <c r="GU32" s="163"/>
      <c r="GV32" s="163"/>
      <c r="GW32" s="163"/>
      <c r="GX32" s="163"/>
      <c r="GY32" s="163"/>
      <c r="GZ32" s="163"/>
      <c r="HA32" s="163"/>
      <c r="HB32" s="163"/>
      <c r="HC32" s="163"/>
      <c r="HD32" s="163"/>
      <c r="HE32" s="163"/>
      <c r="HF32" s="163"/>
      <c r="HG32" s="163"/>
      <c r="HH32" s="163"/>
      <c r="HI32" s="163"/>
      <c r="HJ32" s="163"/>
      <c r="HK32" s="163"/>
      <c r="HL32" s="163"/>
      <c r="HM32" s="163"/>
      <c r="HN32" s="163"/>
      <c r="HO32" s="163"/>
      <c r="HP32" s="163"/>
      <c r="HQ32" s="163"/>
      <c r="HR32" s="163"/>
      <c r="HS32" s="163"/>
      <c r="HT32" s="163"/>
      <c r="HU32" s="163"/>
      <c r="HV32" s="163"/>
      <c r="HW32" s="163"/>
      <c r="HX32" s="163"/>
      <c r="HY32" s="163"/>
      <c r="HZ32" s="163"/>
      <c r="IA32" s="163"/>
      <c r="IB32" s="163"/>
      <c r="IC32" s="163"/>
      <c r="ID32" s="163"/>
      <c r="IE32" s="163"/>
      <c r="IF32" s="163"/>
      <c r="IG32" s="163"/>
      <c r="IH32" s="163"/>
      <c r="II32" s="163"/>
      <c r="IJ32" s="163"/>
      <c r="IK32" s="163"/>
      <c r="IL32" s="163"/>
      <c r="IM32" s="163"/>
      <c r="IN32" s="163"/>
      <c r="IO32" s="163"/>
      <c r="IP32" s="163"/>
      <c r="IQ32" s="163"/>
    </row>
    <row r="33" spans="1:251" s="133" customFormat="1" ht="20.25" x14ac:dyDescent="0.3">
      <c r="A33" s="164"/>
      <c r="B33" s="164"/>
      <c r="C33" s="161"/>
      <c r="D33" s="161"/>
      <c r="E33" s="161"/>
      <c r="F33" s="162"/>
      <c r="G33" s="162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3"/>
      <c r="DV33" s="163"/>
      <c r="DW33" s="163"/>
      <c r="DX33" s="163"/>
      <c r="DY33" s="163"/>
      <c r="DZ33" s="163"/>
      <c r="EA33" s="163"/>
      <c r="EB33" s="163"/>
      <c r="EC33" s="163"/>
      <c r="ED33" s="163"/>
      <c r="EE33" s="163"/>
      <c r="EF33" s="163"/>
      <c r="EG33" s="163"/>
      <c r="EH33" s="163"/>
      <c r="EI33" s="163"/>
      <c r="EJ33" s="163"/>
      <c r="EK33" s="163"/>
      <c r="EL33" s="163"/>
      <c r="EM33" s="163"/>
      <c r="EN33" s="163"/>
      <c r="EO33" s="163"/>
      <c r="EP33" s="163"/>
      <c r="EQ33" s="163"/>
      <c r="ER33" s="163"/>
      <c r="ES33" s="163"/>
      <c r="ET33" s="163"/>
      <c r="EU33" s="163"/>
      <c r="EV33" s="163"/>
      <c r="EW33" s="163"/>
      <c r="EX33" s="163"/>
      <c r="EY33" s="163"/>
      <c r="EZ33" s="163"/>
      <c r="FA33" s="163"/>
      <c r="FB33" s="163"/>
      <c r="FC33" s="163"/>
      <c r="FD33" s="163"/>
      <c r="FE33" s="163"/>
      <c r="FF33" s="163"/>
      <c r="FG33" s="163"/>
      <c r="FH33" s="163"/>
      <c r="FI33" s="163"/>
      <c r="FJ33" s="163"/>
      <c r="FK33" s="163"/>
      <c r="FL33" s="163"/>
      <c r="FM33" s="163"/>
      <c r="FN33" s="163"/>
      <c r="FO33" s="163"/>
      <c r="FP33" s="163"/>
      <c r="FQ33" s="163"/>
      <c r="FR33" s="163"/>
      <c r="FS33" s="163"/>
      <c r="FT33" s="163"/>
      <c r="FU33" s="163"/>
      <c r="FV33" s="163"/>
      <c r="FW33" s="163"/>
      <c r="FX33" s="163"/>
      <c r="FY33" s="163"/>
      <c r="FZ33" s="163"/>
      <c r="GA33" s="163"/>
      <c r="GB33" s="163"/>
      <c r="GC33" s="163"/>
      <c r="GD33" s="163"/>
      <c r="GE33" s="163"/>
      <c r="GF33" s="163"/>
      <c r="GG33" s="163"/>
      <c r="GH33" s="163"/>
      <c r="GI33" s="163"/>
      <c r="GJ33" s="163"/>
      <c r="GK33" s="163"/>
      <c r="GL33" s="163"/>
      <c r="GM33" s="163"/>
      <c r="GN33" s="163"/>
      <c r="GO33" s="163"/>
      <c r="GP33" s="163"/>
      <c r="GQ33" s="163"/>
      <c r="GR33" s="163"/>
      <c r="GS33" s="163"/>
      <c r="GT33" s="163"/>
      <c r="GU33" s="163"/>
      <c r="GV33" s="163"/>
      <c r="GW33" s="163"/>
      <c r="GX33" s="163"/>
      <c r="GY33" s="163"/>
      <c r="GZ33" s="163"/>
      <c r="HA33" s="163"/>
      <c r="HB33" s="163"/>
      <c r="HC33" s="163"/>
      <c r="HD33" s="163"/>
      <c r="HE33" s="163"/>
      <c r="HF33" s="163"/>
      <c r="HG33" s="163"/>
      <c r="HH33" s="163"/>
      <c r="HI33" s="163"/>
      <c r="HJ33" s="163"/>
      <c r="HK33" s="163"/>
      <c r="HL33" s="163"/>
      <c r="HM33" s="163"/>
      <c r="HN33" s="163"/>
      <c r="HO33" s="163"/>
      <c r="HP33" s="163"/>
      <c r="HQ33" s="163"/>
      <c r="HR33" s="163"/>
      <c r="HS33" s="163"/>
      <c r="HT33" s="163"/>
      <c r="HU33" s="163"/>
      <c r="HV33" s="163"/>
      <c r="HW33" s="163"/>
      <c r="HX33" s="163"/>
      <c r="HY33" s="163"/>
      <c r="HZ33" s="163"/>
      <c r="IA33" s="163"/>
      <c r="IB33" s="163"/>
      <c r="IC33" s="163"/>
      <c r="ID33" s="163"/>
      <c r="IE33" s="163"/>
      <c r="IF33" s="163"/>
      <c r="IG33" s="163"/>
      <c r="IH33" s="163"/>
      <c r="II33" s="163"/>
      <c r="IJ33" s="163"/>
      <c r="IK33" s="163"/>
      <c r="IL33" s="163"/>
      <c r="IM33" s="163"/>
      <c r="IN33" s="163"/>
      <c r="IO33" s="163"/>
      <c r="IP33" s="163"/>
      <c r="IQ33" s="163"/>
    </row>
    <row r="34" spans="1:251" s="170" customFormat="1" ht="23.25" x14ac:dyDescent="0.35">
      <c r="A34" s="165" t="s">
        <v>323</v>
      </c>
      <c r="B34" s="166"/>
      <c r="C34" s="166"/>
      <c r="D34" s="166"/>
      <c r="E34" s="167"/>
      <c r="F34" s="167"/>
      <c r="G34" s="167"/>
      <c r="H34" s="168"/>
      <c r="I34" s="168"/>
      <c r="J34" s="168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  <c r="CT34" s="169"/>
      <c r="CU34" s="169"/>
      <c r="CV34" s="169"/>
      <c r="CW34" s="169"/>
      <c r="CX34" s="169"/>
      <c r="CY34" s="169"/>
      <c r="CZ34" s="169"/>
      <c r="DA34" s="169"/>
      <c r="DB34" s="169"/>
      <c r="DC34" s="169"/>
      <c r="DD34" s="169"/>
      <c r="DE34" s="169"/>
      <c r="DF34" s="169"/>
      <c r="DG34" s="169"/>
      <c r="DH34" s="169"/>
      <c r="DI34" s="169"/>
      <c r="DJ34" s="169"/>
      <c r="DK34" s="169"/>
      <c r="DL34" s="169"/>
      <c r="DM34" s="169"/>
      <c r="DN34" s="169"/>
      <c r="DO34" s="169"/>
      <c r="DP34" s="169"/>
      <c r="DQ34" s="169"/>
      <c r="DR34" s="169"/>
      <c r="DS34" s="169"/>
      <c r="DT34" s="169"/>
      <c r="DU34" s="169"/>
      <c r="DV34" s="169"/>
      <c r="DW34" s="169"/>
      <c r="DX34" s="169"/>
      <c r="DY34" s="169"/>
      <c r="DZ34" s="169"/>
      <c r="EA34" s="169"/>
      <c r="EB34" s="169"/>
      <c r="EC34" s="169"/>
      <c r="ED34" s="169"/>
      <c r="EE34" s="169"/>
      <c r="EF34" s="169"/>
      <c r="EG34" s="169"/>
      <c r="EH34" s="169"/>
      <c r="EI34" s="169"/>
      <c r="EJ34" s="169"/>
      <c r="EK34" s="169"/>
      <c r="EL34" s="169"/>
      <c r="EM34" s="169"/>
      <c r="EN34" s="169"/>
      <c r="EO34" s="169"/>
      <c r="EP34" s="169"/>
      <c r="EQ34" s="169"/>
      <c r="ER34" s="169"/>
      <c r="ES34" s="169"/>
      <c r="ET34" s="169"/>
      <c r="EU34" s="169"/>
      <c r="EV34" s="169"/>
      <c r="EW34" s="169"/>
      <c r="EX34" s="169"/>
      <c r="EY34" s="169"/>
      <c r="EZ34" s="169"/>
      <c r="FA34" s="169"/>
      <c r="FB34" s="169"/>
      <c r="FC34" s="169"/>
      <c r="FD34" s="169"/>
      <c r="FE34" s="169"/>
      <c r="FF34" s="169"/>
      <c r="FG34" s="169"/>
      <c r="FH34" s="169"/>
      <c r="FI34" s="169"/>
      <c r="FJ34" s="169"/>
      <c r="FK34" s="169"/>
      <c r="FL34" s="169"/>
      <c r="FM34" s="169"/>
      <c r="FN34" s="169"/>
      <c r="FO34" s="169"/>
      <c r="FP34" s="169"/>
      <c r="FQ34" s="169"/>
      <c r="FR34" s="169"/>
      <c r="FS34" s="169"/>
      <c r="FT34" s="169"/>
      <c r="FU34" s="169"/>
      <c r="FV34" s="169"/>
      <c r="FW34" s="169"/>
      <c r="FX34" s="169"/>
      <c r="FY34" s="169"/>
      <c r="FZ34" s="169"/>
      <c r="GA34" s="169"/>
      <c r="GB34" s="169"/>
      <c r="GC34" s="169"/>
      <c r="GD34" s="169"/>
      <c r="GE34" s="169"/>
      <c r="GF34" s="169"/>
      <c r="GG34" s="169"/>
      <c r="GH34" s="169"/>
      <c r="GI34" s="169"/>
      <c r="GJ34" s="169"/>
      <c r="GK34" s="169"/>
      <c r="GL34" s="169"/>
      <c r="GM34" s="169"/>
      <c r="GN34" s="169"/>
      <c r="GO34" s="169"/>
      <c r="GP34" s="169"/>
      <c r="GQ34" s="169"/>
      <c r="GR34" s="169"/>
      <c r="GS34" s="169"/>
      <c r="GT34" s="169"/>
      <c r="GU34" s="169"/>
      <c r="GV34" s="169"/>
      <c r="GW34" s="169"/>
      <c r="GX34" s="169"/>
      <c r="GY34" s="169"/>
      <c r="GZ34" s="169"/>
      <c r="HA34" s="169"/>
      <c r="HB34" s="169"/>
      <c r="HC34" s="169"/>
      <c r="HD34" s="169"/>
      <c r="HE34" s="169"/>
      <c r="HF34" s="169"/>
      <c r="HG34" s="169"/>
      <c r="HH34" s="169"/>
      <c r="HI34" s="169"/>
      <c r="HJ34" s="169"/>
      <c r="HK34" s="169"/>
      <c r="HL34" s="169"/>
      <c r="HM34" s="169"/>
      <c r="HN34" s="169"/>
      <c r="HO34" s="169"/>
      <c r="HP34" s="169"/>
      <c r="HQ34" s="169"/>
      <c r="HR34" s="169"/>
      <c r="HS34" s="169"/>
      <c r="HT34" s="169"/>
      <c r="HU34" s="169"/>
      <c r="HV34" s="169"/>
      <c r="HW34" s="169"/>
      <c r="HX34" s="169"/>
      <c r="HY34" s="169"/>
      <c r="HZ34" s="169"/>
      <c r="IA34" s="169"/>
      <c r="IB34" s="169"/>
      <c r="IC34" s="169"/>
      <c r="ID34" s="169"/>
      <c r="IE34" s="169"/>
      <c r="IF34" s="169"/>
      <c r="IG34" s="169"/>
      <c r="IH34" s="169"/>
      <c r="II34" s="169"/>
      <c r="IJ34" s="169"/>
      <c r="IK34" s="169"/>
      <c r="IL34" s="169"/>
      <c r="IM34" s="169"/>
      <c r="IN34" s="169"/>
      <c r="IO34" s="169"/>
      <c r="IP34" s="169"/>
      <c r="IQ34" s="169"/>
    </row>
    <row r="35" spans="1:251" s="175" customFormat="1" ht="86.25" customHeight="1" x14ac:dyDescent="0.35">
      <c r="A35" s="267" t="s">
        <v>300</v>
      </c>
      <c r="B35" s="268"/>
      <c r="C35" s="171"/>
      <c r="D35" s="172" t="s">
        <v>324</v>
      </c>
      <c r="E35" s="173"/>
      <c r="F35" s="173"/>
      <c r="G35" s="173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4"/>
      <c r="DE35" s="174"/>
      <c r="DF35" s="174"/>
      <c r="DG35" s="174"/>
      <c r="DH35" s="174"/>
      <c r="DI35" s="174"/>
      <c r="DJ35" s="174"/>
      <c r="DK35" s="174"/>
      <c r="DL35" s="174"/>
      <c r="DM35" s="174"/>
      <c r="DN35" s="174"/>
      <c r="DO35" s="174"/>
      <c r="DP35" s="174"/>
      <c r="DQ35" s="174"/>
      <c r="DR35" s="174"/>
      <c r="DS35" s="174"/>
      <c r="DT35" s="174"/>
      <c r="DU35" s="174"/>
      <c r="DV35" s="174"/>
      <c r="DW35" s="174"/>
      <c r="DX35" s="174"/>
      <c r="DY35" s="174"/>
      <c r="DZ35" s="174"/>
      <c r="EA35" s="174"/>
      <c r="EB35" s="174"/>
      <c r="EC35" s="174"/>
      <c r="ED35" s="174"/>
      <c r="EE35" s="174"/>
      <c r="EF35" s="174"/>
      <c r="EG35" s="174"/>
      <c r="EH35" s="174"/>
      <c r="EI35" s="174"/>
      <c r="EJ35" s="174"/>
      <c r="EK35" s="174"/>
      <c r="EL35" s="174"/>
      <c r="EM35" s="174"/>
      <c r="EN35" s="174"/>
      <c r="EO35" s="174"/>
      <c r="EP35" s="174"/>
      <c r="EQ35" s="174"/>
      <c r="ER35" s="174"/>
      <c r="ES35" s="174"/>
      <c r="ET35" s="174"/>
      <c r="EU35" s="174"/>
      <c r="EV35" s="174"/>
      <c r="EW35" s="174"/>
      <c r="EX35" s="174"/>
      <c r="EY35" s="174"/>
      <c r="EZ35" s="174"/>
      <c r="FA35" s="174"/>
      <c r="FB35" s="174"/>
      <c r="FC35" s="174"/>
      <c r="FD35" s="174"/>
      <c r="FE35" s="174"/>
      <c r="FF35" s="174"/>
      <c r="FG35" s="174"/>
      <c r="FH35" s="174"/>
      <c r="FI35" s="174"/>
      <c r="FJ35" s="174"/>
      <c r="FK35" s="174"/>
      <c r="FL35" s="174"/>
      <c r="FM35" s="174"/>
      <c r="FN35" s="174"/>
      <c r="FO35" s="174"/>
      <c r="FP35" s="174"/>
      <c r="FQ35" s="174"/>
      <c r="FR35" s="174"/>
      <c r="FS35" s="174"/>
      <c r="FT35" s="174"/>
      <c r="FU35" s="174"/>
      <c r="FV35" s="174"/>
      <c r="FW35" s="174"/>
      <c r="FX35" s="174"/>
      <c r="FY35" s="174"/>
      <c r="FZ35" s="174"/>
      <c r="GA35" s="174"/>
      <c r="GB35" s="174"/>
      <c r="GC35" s="174"/>
      <c r="GD35" s="174"/>
      <c r="GE35" s="174"/>
      <c r="GF35" s="174"/>
      <c r="GG35" s="174"/>
      <c r="GH35" s="174"/>
      <c r="GI35" s="174"/>
      <c r="GJ35" s="174"/>
      <c r="GK35" s="174"/>
      <c r="GL35" s="174"/>
      <c r="GM35" s="174"/>
      <c r="GN35" s="174"/>
      <c r="GO35" s="174"/>
      <c r="GP35" s="174"/>
      <c r="GQ35" s="174"/>
      <c r="GR35" s="174"/>
      <c r="GS35" s="174"/>
      <c r="GT35" s="174"/>
      <c r="GU35" s="174"/>
      <c r="GV35" s="174"/>
      <c r="GW35" s="174"/>
      <c r="GX35" s="174"/>
      <c r="GY35" s="174"/>
      <c r="GZ35" s="174"/>
      <c r="HA35" s="174"/>
      <c r="HB35" s="174"/>
      <c r="HC35" s="174"/>
      <c r="HD35" s="174"/>
      <c r="HE35" s="174"/>
      <c r="HF35" s="174"/>
      <c r="HG35" s="174"/>
      <c r="HH35" s="174"/>
      <c r="HI35" s="174"/>
      <c r="HJ35" s="174"/>
      <c r="HK35" s="174"/>
      <c r="HL35" s="174"/>
      <c r="HM35" s="174"/>
      <c r="HN35" s="174"/>
      <c r="HO35" s="174"/>
      <c r="HP35" s="174"/>
      <c r="HQ35" s="174"/>
      <c r="HR35" s="174"/>
      <c r="HS35" s="174"/>
      <c r="HT35" s="174"/>
      <c r="HU35" s="174"/>
      <c r="HV35" s="174"/>
      <c r="HW35" s="174"/>
      <c r="HX35" s="174"/>
      <c r="HY35" s="174"/>
      <c r="HZ35" s="174"/>
      <c r="IA35" s="174"/>
      <c r="IB35" s="174"/>
      <c r="IC35" s="174"/>
      <c r="ID35" s="174"/>
      <c r="IE35" s="174"/>
      <c r="IF35" s="174"/>
      <c r="IG35" s="174"/>
      <c r="IH35" s="174"/>
      <c r="II35" s="174"/>
      <c r="IJ35" s="174"/>
      <c r="IK35" s="174"/>
      <c r="IL35" s="174"/>
      <c r="IM35" s="174"/>
      <c r="IN35" s="174"/>
      <c r="IO35" s="174"/>
      <c r="IP35" s="174"/>
      <c r="IQ35" s="174"/>
    </row>
    <row r="36" spans="1:251" ht="20.25" x14ac:dyDescent="0.25">
      <c r="A36" s="176"/>
      <c r="B36" s="176"/>
      <c r="C36" s="176"/>
      <c r="D36" s="176"/>
      <c r="E36" s="163"/>
    </row>
    <row r="37" spans="1:251" ht="20.25" x14ac:dyDescent="0.25">
      <c r="A37" s="163"/>
      <c r="B37" s="163"/>
      <c r="C37" s="163"/>
      <c r="D37" s="163"/>
      <c r="E37" s="163"/>
    </row>
    <row r="38" spans="1:251" ht="20.25" x14ac:dyDescent="0.3">
      <c r="A38" s="269"/>
      <c r="B38" s="270"/>
      <c r="C38" s="178"/>
      <c r="D38" s="179"/>
      <c r="E38" s="179"/>
      <c r="F38" s="163"/>
      <c r="G38" s="163"/>
      <c r="H38" s="180"/>
      <c r="I38" s="180"/>
      <c r="J38" s="180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3"/>
      <c r="DI38" s="163"/>
      <c r="DJ38" s="163"/>
      <c r="DK38" s="163"/>
      <c r="DL38" s="163"/>
      <c r="DM38" s="163"/>
      <c r="DN38" s="163"/>
      <c r="DO38" s="163"/>
      <c r="DP38" s="163"/>
      <c r="DQ38" s="163"/>
      <c r="DR38" s="163"/>
      <c r="DS38" s="163"/>
      <c r="DT38" s="163"/>
      <c r="DU38" s="163"/>
      <c r="DV38" s="163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  <c r="FJ38" s="163"/>
      <c r="FK38" s="163"/>
      <c r="FL38" s="163"/>
      <c r="FM38" s="163"/>
      <c r="FN38" s="163"/>
      <c r="FO38" s="163"/>
      <c r="FP38" s="163"/>
      <c r="FQ38" s="163"/>
      <c r="FR38" s="163"/>
      <c r="FS38" s="163"/>
      <c r="FT38" s="163"/>
      <c r="FU38" s="163"/>
      <c r="FV38" s="163"/>
      <c r="FW38" s="163"/>
      <c r="FX38" s="163"/>
      <c r="FY38" s="163"/>
      <c r="FZ38" s="163"/>
      <c r="GA38" s="163"/>
      <c r="GB38" s="163"/>
      <c r="GC38" s="163"/>
      <c r="GD38" s="163"/>
      <c r="GE38" s="163"/>
      <c r="GF38" s="163"/>
      <c r="GG38" s="163"/>
      <c r="GH38" s="163"/>
      <c r="GI38" s="163"/>
      <c r="GJ38" s="163"/>
      <c r="GK38" s="163"/>
      <c r="GL38" s="163"/>
      <c r="GM38" s="163"/>
      <c r="GN38" s="163"/>
      <c r="GO38" s="163"/>
      <c r="GP38" s="163"/>
      <c r="GQ38" s="163"/>
      <c r="GR38" s="163"/>
      <c r="GS38" s="163"/>
      <c r="GT38" s="163"/>
      <c r="GU38" s="163"/>
      <c r="GV38" s="163"/>
      <c r="GW38" s="163"/>
      <c r="GX38" s="163"/>
      <c r="GY38" s="163"/>
      <c r="GZ38" s="163"/>
      <c r="HA38" s="163"/>
      <c r="HB38" s="163"/>
      <c r="HC38" s="163"/>
      <c r="HD38" s="163"/>
      <c r="HE38" s="163"/>
      <c r="HF38" s="163"/>
      <c r="HG38" s="163"/>
      <c r="HH38" s="163"/>
      <c r="HI38" s="163"/>
      <c r="HJ38" s="163"/>
      <c r="HK38" s="163"/>
      <c r="HL38" s="163"/>
      <c r="HM38" s="163"/>
      <c r="HN38" s="163"/>
      <c r="HO38" s="163"/>
      <c r="HP38" s="163"/>
      <c r="HQ38" s="163"/>
      <c r="HR38" s="163"/>
      <c r="HS38" s="163"/>
      <c r="HT38" s="163"/>
      <c r="HU38" s="163"/>
      <c r="HV38" s="163"/>
      <c r="HW38" s="163"/>
      <c r="HX38" s="163"/>
      <c r="HY38" s="163"/>
      <c r="HZ38" s="163"/>
      <c r="IA38" s="163"/>
      <c r="IB38" s="163"/>
      <c r="IC38" s="163"/>
      <c r="ID38" s="163"/>
      <c r="IE38" s="163"/>
      <c r="IF38" s="163"/>
      <c r="IG38" s="163"/>
      <c r="IH38" s="163"/>
      <c r="II38" s="163"/>
      <c r="IJ38" s="163"/>
      <c r="IK38" s="163"/>
      <c r="IL38" s="163"/>
      <c r="IM38" s="163"/>
      <c r="IN38" s="163"/>
      <c r="IO38" s="163"/>
      <c r="IP38" s="163"/>
      <c r="IQ38" s="163"/>
    </row>
  </sheetData>
  <mergeCells count="18">
    <mergeCell ref="A5:F5"/>
    <mergeCell ref="A6:F6"/>
    <mergeCell ref="E1:F1"/>
    <mergeCell ref="A28:B28"/>
    <mergeCell ref="A29:B29"/>
    <mergeCell ref="A35:B35"/>
    <mergeCell ref="A38:B38"/>
    <mergeCell ref="A10:F10"/>
    <mergeCell ref="A14:F14"/>
    <mergeCell ref="A15:D15"/>
    <mergeCell ref="A17:A18"/>
    <mergeCell ref="B17:B18"/>
    <mergeCell ref="C17:C18"/>
    <mergeCell ref="D17:F17"/>
    <mergeCell ref="A7:F7"/>
    <mergeCell ref="A2:F2"/>
    <mergeCell ref="A3:F3"/>
    <mergeCell ref="A4:F4"/>
  </mergeCells>
  <pageMargins left="0.39370078740157483" right="0.39370078740157483" top="0.59055118110236227" bottom="0.39370078740157483" header="0" footer="0"/>
  <pageSetup paperSize="9" scale="66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8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49688178</v>
      </c>
      <c r="C1">
        <v>49688942</v>
      </c>
      <c r="D1">
        <v>30515951</v>
      </c>
      <c r="E1">
        <v>30515945</v>
      </c>
      <c r="F1">
        <v>1</v>
      </c>
      <c r="G1">
        <v>30515945</v>
      </c>
      <c r="H1">
        <v>1</v>
      </c>
      <c r="I1" t="s">
        <v>210</v>
      </c>
      <c r="J1" t="s">
        <v>5</v>
      </c>
      <c r="K1" t="s">
        <v>211</v>
      </c>
      <c r="L1">
        <v>1191</v>
      </c>
      <c r="N1">
        <v>1013</v>
      </c>
      <c r="O1" t="s">
        <v>212</v>
      </c>
      <c r="P1" t="s">
        <v>212</v>
      </c>
      <c r="Q1">
        <v>1</v>
      </c>
      <c r="W1">
        <v>0</v>
      </c>
      <c r="X1">
        <v>476480486</v>
      </c>
      <c r="Y1">
        <v>54.93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5</v>
      </c>
      <c r="AT1">
        <v>54.93</v>
      </c>
      <c r="AU1" t="s">
        <v>5</v>
      </c>
      <c r="AV1">
        <v>1</v>
      </c>
      <c r="AW1">
        <v>2</v>
      </c>
      <c r="AX1">
        <v>49688947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19053.84375</v>
      </c>
      <c r="CY1">
        <f>AD1</f>
        <v>0</v>
      </c>
      <c r="CZ1">
        <f>AH1</f>
        <v>0</v>
      </c>
      <c r="DA1">
        <f>AL1</f>
        <v>1</v>
      </c>
      <c r="DB1">
        <f t="shared" ref="DB1:DB24" si="0">ROUND(ROUND(AT1*CZ1,2),6)</f>
        <v>0</v>
      </c>
      <c r="DC1">
        <f t="shared" ref="DC1:DC24" si="1">ROUND(ROUND(AT1*AG1,2),6)</f>
        <v>0</v>
      </c>
    </row>
    <row r="2" spans="1:107" x14ac:dyDescent="0.2">
      <c r="A2">
        <f>ROW(Source!A28)</f>
        <v>28</v>
      </c>
      <c r="B2">
        <v>49688178</v>
      </c>
      <c r="C2">
        <v>49688942</v>
      </c>
      <c r="D2">
        <v>30595243</v>
      </c>
      <c r="E2">
        <v>1</v>
      </c>
      <c r="F2">
        <v>1</v>
      </c>
      <c r="G2">
        <v>30515945</v>
      </c>
      <c r="H2">
        <v>2</v>
      </c>
      <c r="I2" t="s">
        <v>213</v>
      </c>
      <c r="J2" t="s">
        <v>214</v>
      </c>
      <c r="K2" t="s">
        <v>215</v>
      </c>
      <c r="L2">
        <v>1367</v>
      </c>
      <c r="N2">
        <v>1011</v>
      </c>
      <c r="O2" t="s">
        <v>216</v>
      </c>
      <c r="P2" t="s">
        <v>216</v>
      </c>
      <c r="Q2">
        <v>1</v>
      </c>
      <c r="W2">
        <v>0</v>
      </c>
      <c r="X2">
        <v>-1659124929</v>
      </c>
      <c r="Y2">
        <v>2.04</v>
      </c>
      <c r="AA2">
        <v>0</v>
      </c>
      <c r="AB2">
        <v>887.02</v>
      </c>
      <c r="AC2">
        <v>542.34</v>
      </c>
      <c r="AD2">
        <v>0</v>
      </c>
      <c r="AE2">
        <v>0</v>
      </c>
      <c r="AF2">
        <v>80</v>
      </c>
      <c r="AG2">
        <v>20.87</v>
      </c>
      <c r="AH2">
        <v>0</v>
      </c>
      <c r="AI2">
        <v>1</v>
      </c>
      <c r="AJ2">
        <v>10.59</v>
      </c>
      <c r="AK2">
        <v>24.82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5</v>
      </c>
      <c r="AT2">
        <v>2.04</v>
      </c>
      <c r="AU2" t="s">
        <v>5</v>
      </c>
      <c r="AV2">
        <v>0</v>
      </c>
      <c r="AW2">
        <v>2</v>
      </c>
      <c r="AX2">
        <v>49688948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707.625</v>
      </c>
      <c r="CY2">
        <f>AB2</f>
        <v>887.02</v>
      </c>
      <c r="CZ2">
        <f>AF2</f>
        <v>80</v>
      </c>
      <c r="DA2">
        <f>AJ2</f>
        <v>10.59</v>
      </c>
      <c r="DB2">
        <f t="shared" si="0"/>
        <v>163.19999999999999</v>
      </c>
      <c r="DC2">
        <f t="shared" si="1"/>
        <v>42.57</v>
      </c>
    </row>
    <row r="3" spans="1:107" x14ac:dyDescent="0.2">
      <c r="A3">
        <f>ROW(Source!A28)</f>
        <v>28</v>
      </c>
      <c r="B3">
        <v>49688178</v>
      </c>
      <c r="C3">
        <v>49688942</v>
      </c>
      <c r="D3">
        <v>30590229</v>
      </c>
      <c r="E3">
        <v>1</v>
      </c>
      <c r="F3">
        <v>1</v>
      </c>
      <c r="G3">
        <v>30515945</v>
      </c>
      <c r="H3">
        <v>3</v>
      </c>
      <c r="I3" t="s">
        <v>25</v>
      </c>
      <c r="J3" t="s">
        <v>28</v>
      </c>
      <c r="K3" t="s">
        <v>26</v>
      </c>
      <c r="L3">
        <v>1339</v>
      </c>
      <c r="N3">
        <v>1007</v>
      </c>
      <c r="O3" t="s">
        <v>27</v>
      </c>
      <c r="P3" t="s">
        <v>27</v>
      </c>
      <c r="Q3">
        <v>1</v>
      </c>
      <c r="W3">
        <v>0</v>
      </c>
      <c r="X3">
        <v>92320855</v>
      </c>
      <c r="Y3">
        <v>14</v>
      </c>
      <c r="AA3">
        <v>977.95</v>
      </c>
      <c r="AB3">
        <v>0</v>
      </c>
      <c r="AC3">
        <v>0</v>
      </c>
      <c r="AD3">
        <v>0</v>
      </c>
      <c r="AE3">
        <v>146.84</v>
      </c>
      <c r="AF3">
        <v>0</v>
      </c>
      <c r="AG3">
        <v>0</v>
      </c>
      <c r="AH3">
        <v>0</v>
      </c>
      <c r="AI3">
        <v>6.66</v>
      </c>
      <c r="AJ3">
        <v>1</v>
      </c>
      <c r="AK3">
        <v>1</v>
      </c>
      <c r="AL3">
        <v>1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5</v>
      </c>
      <c r="AT3">
        <v>14</v>
      </c>
      <c r="AU3" t="s">
        <v>5</v>
      </c>
      <c r="AV3">
        <v>0</v>
      </c>
      <c r="AW3">
        <v>1</v>
      </c>
      <c r="AX3">
        <v>-1</v>
      </c>
      <c r="AY3">
        <v>0</v>
      </c>
      <c r="AZ3">
        <v>0</v>
      </c>
      <c r="BA3" t="s">
        <v>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4856.25</v>
      </c>
      <c r="CY3">
        <f>AA3</f>
        <v>977.95</v>
      </c>
      <c r="CZ3">
        <f>AE3</f>
        <v>146.84</v>
      </c>
      <c r="DA3">
        <f>AI3</f>
        <v>6.66</v>
      </c>
      <c r="DB3">
        <f t="shared" si="0"/>
        <v>2055.7600000000002</v>
      </c>
      <c r="DC3">
        <f t="shared" si="1"/>
        <v>0</v>
      </c>
    </row>
    <row r="4" spans="1:107" x14ac:dyDescent="0.2">
      <c r="A4">
        <f>ROW(Source!A28)</f>
        <v>28</v>
      </c>
      <c r="B4">
        <v>49688178</v>
      </c>
      <c r="C4">
        <v>49688942</v>
      </c>
      <c r="D4">
        <v>30590235</v>
      </c>
      <c r="E4">
        <v>1</v>
      </c>
      <c r="F4">
        <v>1</v>
      </c>
      <c r="G4">
        <v>30515945</v>
      </c>
      <c r="H4">
        <v>3</v>
      </c>
      <c r="I4" t="s">
        <v>217</v>
      </c>
      <c r="J4" t="s">
        <v>218</v>
      </c>
      <c r="K4" t="s">
        <v>219</v>
      </c>
      <c r="L4">
        <v>1339</v>
      </c>
      <c r="N4">
        <v>1007</v>
      </c>
      <c r="O4" t="s">
        <v>27</v>
      </c>
      <c r="P4" t="s">
        <v>27</v>
      </c>
      <c r="Q4">
        <v>1</v>
      </c>
      <c r="W4">
        <v>0</v>
      </c>
      <c r="X4">
        <v>814528933</v>
      </c>
      <c r="Y4">
        <v>4.6500000000000004</v>
      </c>
      <c r="AA4">
        <v>977.95</v>
      </c>
      <c r="AB4">
        <v>0</v>
      </c>
      <c r="AC4">
        <v>0</v>
      </c>
      <c r="AD4">
        <v>0</v>
      </c>
      <c r="AE4">
        <v>407.48</v>
      </c>
      <c r="AF4">
        <v>0</v>
      </c>
      <c r="AG4">
        <v>0</v>
      </c>
      <c r="AH4">
        <v>0</v>
      </c>
      <c r="AI4">
        <v>2.4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5</v>
      </c>
      <c r="AT4">
        <v>4.6500000000000004</v>
      </c>
      <c r="AU4" t="s">
        <v>5</v>
      </c>
      <c r="AV4">
        <v>0</v>
      </c>
      <c r="AW4">
        <v>2</v>
      </c>
      <c r="AX4">
        <v>49688949</v>
      </c>
      <c r="AY4">
        <v>1</v>
      </c>
      <c r="AZ4">
        <v>0</v>
      </c>
      <c r="BA4">
        <v>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Y4*Source!I28</f>
        <v>1612.9687500000002</v>
      </c>
      <c r="CY4">
        <f>AA4</f>
        <v>977.95</v>
      </c>
      <c r="CZ4">
        <f>AE4</f>
        <v>407.48</v>
      </c>
      <c r="DA4">
        <f>AI4</f>
        <v>2.4</v>
      </c>
      <c r="DB4">
        <f t="shared" si="0"/>
        <v>1894.78</v>
      </c>
      <c r="DC4">
        <f t="shared" si="1"/>
        <v>0</v>
      </c>
    </row>
    <row r="5" spans="1:107" x14ac:dyDescent="0.2">
      <c r="A5">
        <f>ROW(Source!A30)</f>
        <v>30</v>
      </c>
      <c r="B5">
        <v>49688178</v>
      </c>
      <c r="C5">
        <v>49688952</v>
      </c>
      <c r="D5">
        <v>30515951</v>
      </c>
      <c r="E5">
        <v>30515945</v>
      </c>
      <c r="F5">
        <v>1</v>
      </c>
      <c r="G5">
        <v>30515945</v>
      </c>
      <c r="H5">
        <v>1</v>
      </c>
      <c r="I5" t="s">
        <v>210</v>
      </c>
      <c r="J5" t="s">
        <v>5</v>
      </c>
      <c r="K5" t="s">
        <v>211</v>
      </c>
      <c r="L5">
        <v>1191</v>
      </c>
      <c r="N5">
        <v>1013</v>
      </c>
      <c r="O5" t="s">
        <v>212</v>
      </c>
      <c r="P5" t="s">
        <v>212</v>
      </c>
      <c r="Q5">
        <v>1</v>
      </c>
      <c r="W5">
        <v>0</v>
      </c>
      <c r="X5">
        <v>476480486</v>
      </c>
      <c r="Y5">
        <v>101.91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5</v>
      </c>
      <c r="AT5">
        <v>101.91</v>
      </c>
      <c r="AU5" t="s">
        <v>5</v>
      </c>
      <c r="AV5">
        <v>1</v>
      </c>
      <c r="AW5">
        <v>2</v>
      </c>
      <c r="AX5">
        <v>49688956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Y5*Source!I30</f>
        <v>11783.34375</v>
      </c>
      <c r="CY5">
        <f>AD5</f>
        <v>0</v>
      </c>
      <c r="CZ5">
        <f>AH5</f>
        <v>0</v>
      </c>
      <c r="DA5">
        <f>AL5</f>
        <v>1</v>
      </c>
      <c r="DB5">
        <f t="shared" si="0"/>
        <v>0</v>
      </c>
      <c r="DC5">
        <f t="shared" si="1"/>
        <v>0</v>
      </c>
    </row>
    <row r="6" spans="1:107" x14ac:dyDescent="0.2">
      <c r="A6">
        <f>ROW(Source!A30)</f>
        <v>30</v>
      </c>
      <c r="B6">
        <v>49688178</v>
      </c>
      <c r="C6">
        <v>49688952</v>
      </c>
      <c r="D6">
        <v>30590229</v>
      </c>
      <c r="E6">
        <v>1</v>
      </c>
      <c r="F6">
        <v>1</v>
      </c>
      <c r="G6">
        <v>30515945</v>
      </c>
      <c r="H6">
        <v>3</v>
      </c>
      <c r="I6" t="s">
        <v>25</v>
      </c>
      <c r="J6" t="s">
        <v>28</v>
      </c>
      <c r="K6" t="s">
        <v>26</v>
      </c>
      <c r="L6">
        <v>1339</v>
      </c>
      <c r="N6">
        <v>1007</v>
      </c>
      <c r="O6" t="s">
        <v>27</v>
      </c>
      <c r="P6" t="s">
        <v>27</v>
      </c>
      <c r="Q6">
        <v>1</v>
      </c>
      <c r="W6">
        <v>0</v>
      </c>
      <c r="X6">
        <v>92320855</v>
      </c>
      <c r="Y6">
        <v>14</v>
      </c>
      <c r="AA6">
        <v>977.95</v>
      </c>
      <c r="AB6">
        <v>0</v>
      </c>
      <c r="AC6">
        <v>0</v>
      </c>
      <c r="AD6">
        <v>0</v>
      </c>
      <c r="AE6">
        <v>146.84</v>
      </c>
      <c r="AF6">
        <v>0</v>
      </c>
      <c r="AG6">
        <v>0</v>
      </c>
      <c r="AH6">
        <v>0</v>
      </c>
      <c r="AI6">
        <v>6.66</v>
      </c>
      <c r="AJ6">
        <v>1</v>
      </c>
      <c r="AK6">
        <v>1</v>
      </c>
      <c r="AL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5</v>
      </c>
      <c r="AT6">
        <v>14</v>
      </c>
      <c r="AU6" t="s">
        <v>5</v>
      </c>
      <c r="AV6">
        <v>0</v>
      </c>
      <c r="AW6">
        <v>1</v>
      </c>
      <c r="AX6">
        <v>-1</v>
      </c>
      <c r="AY6">
        <v>0</v>
      </c>
      <c r="AZ6">
        <v>0</v>
      </c>
      <c r="BA6" t="s">
        <v>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Y6*Source!I30</f>
        <v>1618.75</v>
      </c>
      <c r="CY6">
        <f>AA6</f>
        <v>977.95</v>
      </c>
      <c r="CZ6">
        <f>AE6</f>
        <v>146.84</v>
      </c>
      <c r="DA6">
        <f>AI6</f>
        <v>6.66</v>
      </c>
      <c r="DB6">
        <f t="shared" si="0"/>
        <v>2055.7600000000002</v>
      </c>
      <c r="DC6">
        <f t="shared" si="1"/>
        <v>0</v>
      </c>
    </row>
    <row r="7" spans="1:107" x14ac:dyDescent="0.2">
      <c r="A7">
        <f>ROW(Source!A30)</f>
        <v>30</v>
      </c>
      <c r="B7">
        <v>49688178</v>
      </c>
      <c r="C7">
        <v>49688952</v>
      </c>
      <c r="D7">
        <v>30590235</v>
      </c>
      <c r="E7">
        <v>1</v>
      </c>
      <c r="F7">
        <v>1</v>
      </c>
      <c r="G7">
        <v>30515945</v>
      </c>
      <c r="H7">
        <v>3</v>
      </c>
      <c r="I7" t="s">
        <v>217</v>
      </c>
      <c r="J7" t="s">
        <v>218</v>
      </c>
      <c r="K7" t="s">
        <v>219</v>
      </c>
      <c r="L7">
        <v>1339</v>
      </c>
      <c r="N7">
        <v>1007</v>
      </c>
      <c r="O7" t="s">
        <v>27</v>
      </c>
      <c r="P7" t="s">
        <v>27</v>
      </c>
      <c r="Q7">
        <v>1</v>
      </c>
      <c r="W7">
        <v>0</v>
      </c>
      <c r="X7">
        <v>814528933</v>
      </c>
      <c r="Y7">
        <v>4.6500000000000004</v>
      </c>
      <c r="AA7">
        <v>977.95</v>
      </c>
      <c r="AB7">
        <v>0</v>
      </c>
      <c r="AC7">
        <v>0</v>
      </c>
      <c r="AD7">
        <v>0</v>
      </c>
      <c r="AE7">
        <v>407.48</v>
      </c>
      <c r="AF7">
        <v>0</v>
      </c>
      <c r="AG7">
        <v>0</v>
      </c>
      <c r="AH7">
        <v>0</v>
      </c>
      <c r="AI7">
        <v>2.4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5</v>
      </c>
      <c r="AT7">
        <v>4.6500000000000004</v>
      </c>
      <c r="AU7" t="s">
        <v>5</v>
      </c>
      <c r="AV7">
        <v>0</v>
      </c>
      <c r="AW7">
        <v>2</v>
      </c>
      <c r="AX7">
        <v>49688957</v>
      </c>
      <c r="AY7">
        <v>1</v>
      </c>
      <c r="AZ7">
        <v>0</v>
      </c>
      <c r="BA7">
        <v>6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Y7*Source!I30</f>
        <v>537.65625</v>
      </c>
      <c r="CY7">
        <f>AA7</f>
        <v>977.95</v>
      </c>
      <c r="CZ7">
        <f>AE7</f>
        <v>407.48</v>
      </c>
      <c r="DA7">
        <f>AI7</f>
        <v>2.4</v>
      </c>
      <c r="DB7">
        <f t="shared" si="0"/>
        <v>1894.78</v>
      </c>
      <c r="DC7">
        <f t="shared" si="1"/>
        <v>0</v>
      </c>
    </row>
    <row r="8" spans="1:107" x14ac:dyDescent="0.2">
      <c r="A8">
        <f>ROW(Source!A32)</f>
        <v>32</v>
      </c>
      <c r="B8">
        <v>49688178</v>
      </c>
      <c r="C8">
        <v>49688960</v>
      </c>
      <c r="D8">
        <v>30515951</v>
      </c>
      <c r="E8">
        <v>30515945</v>
      </c>
      <c r="F8">
        <v>1</v>
      </c>
      <c r="G8">
        <v>30515945</v>
      </c>
      <c r="H8">
        <v>1</v>
      </c>
      <c r="I8" t="s">
        <v>210</v>
      </c>
      <c r="J8" t="s">
        <v>5</v>
      </c>
      <c r="K8" t="s">
        <v>211</v>
      </c>
      <c r="L8">
        <v>1191</v>
      </c>
      <c r="N8">
        <v>1013</v>
      </c>
      <c r="O8" t="s">
        <v>212</v>
      </c>
      <c r="P8" t="s">
        <v>212</v>
      </c>
      <c r="Q8">
        <v>1</v>
      </c>
      <c r="W8">
        <v>0</v>
      </c>
      <c r="X8">
        <v>476480486</v>
      </c>
      <c r="Y8">
        <v>70.5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5</v>
      </c>
      <c r="AT8">
        <v>70.5</v>
      </c>
      <c r="AU8" t="s">
        <v>5</v>
      </c>
      <c r="AV8">
        <v>1</v>
      </c>
      <c r="AW8">
        <v>2</v>
      </c>
      <c r="AX8">
        <v>49688966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Y8*Source!I32</f>
        <v>32606.25</v>
      </c>
      <c r="CY8">
        <f>AD8</f>
        <v>0</v>
      </c>
      <c r="CZ8">
        <f>AH8</f>
        <v>0</v>
      </c>
      <c r="DA8">
        <f>AL8</f>
        <v>1</v>
      </c>
      <c r="DB8">
        <f t="shared" si="0"/>
        <v>0</v>
      </c>
      <c r="DC8">
        <f t="shared" si="1"/>
        <v>0</v>
      </c>
    </row>
    <row r="9" spans="1:107" x14ac:dyDescent="0.2">
      <c r="A9">
        <f>ROW(Source!A32)</f>
        <v>32</v>
      </c>
      <c r="B9">
        <v>49688178</v>
      </c>
      <c r="C9">
        <v>49688960</v>
      </c>
      <c r="D9">
        <v>30595321</v>
      </c>
      <c r="E9">
        <v>1</v>
      </c>
      <c r="F9">
        <v>1</v>
      </c>
      <c r="G9">
        <v>30515945</v>
      </c>
      <c r="H9">
        <v>2</v>
      </c>
      <c r="I9" t="s">
        <v>220</v>
      </c>
      <c r="J9" t="s">
        <v>221</v>
      </c>
      <c r="K9" t="s">
        <v>222</v>
      </c>
      <c r="L9">
        <v>1367</v>
      </c>
      <c r="N9">
        <v>1011</v>
      </c>
      <c r="O9" t="s">
        <v>216</v>
      </c>
      <c r="P9" t="s">
        <v>216</v>
      </c>
      <c r="Q9">
        <v>1</v>
      </c>
      <c r="W9">
        <v>0</v>
      </c>
      <c r="X9">
        <v>-266174272</v>
      </c>
      <c r="Y9">
        <v>2.8</v>
      </c>
      <c r="AA9">
        <v>0</v>
      </c>
      <c r="AB9">
        <v>1677.19</v>
      </c>
      <c r="AC9">
        <v>471.66</v>
      </c>
      <c r="AD9">
        <v>0</v>
      </c>
      <c r="AE9">
        <v>0</v>
      </c>
      <c r="AF9">
        <v>190.93</v>
      </c>
      <c r="AG9">
        <v>18.149999999999999</v>
      </c>
      <c r="AH9">
        <v>0</v>
      </c>
      <c r="AI9">
        <v>1</v>
      </c>
      <c r="AJ9">
        <v>8.39</v>
      </c>
      <c r="AK9">
        <v>24.82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5</v>
      </c>
      <c r="AT9">
        <v>2.8</v>
      </c>
      <c r="AU9" t="s">
        <v>5</v>
      </c>
      <c r="AV9">
        <v>0</v>
      </c>
      <c r="AW9">
        <v>2</v>
      </c>
      <c r="AX9">
        <v>49688967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Y9*Source!I32</f>
        <v>1295</v>
      </c>
      <c r="CY9">
        <f>AB9</f>
        <v>1677.19</v>
      </c>
      <c r="CZ9">
        <f>AF9</f>
        <v>190.93</v>
      </c>
      <c r="DA9">
        <f>AJ9</f>
        <v>8.39</v>
      </c>
      <c r="DB9">
        <f t="shared" si="0"/>
        <v>534.6</v>
      </c>
      <c r="DC9">
        <f t="shared" si="1"/>
        <v>50.82</v>
      </c>
    </row>
    <row r="10" spans="1:107" x14ac:dyDescent="0.2">
      <c r="A10">
        <f>ROW(Source!A32)</f>
        <v>32</v>
      </c>
      <c r="B10">
        <v>49688178</v>
      </c>
      <c r="C10">
        <v>49688960</v>
      </c>
      <c r="D10">
        <v>30595500</v>
      </c>
      <c r="E10">
        <v>1</v>
      </c>
      <c r="F10">
        <v>1</v>
      </c>
      <c r="G10">
        <v>30515945</v>
      </c>
      <c r="H10">
        <v>2</v>
      </c>
      <c r="I10" t="s">
        <v>223</v>
      </c>
      <c r="J10" t="s">
        <v>224</v>
      </c>
      <c r="K10" t="s">
        <v>225</v>
      </c>
      <c r="L10">
        <v>1367</v>
      </c>
      <c r="N10">
        <v>1011</v>
      </c>
      <c r="O10" t="s">
        <v>216</v>
      </c>
      <c r="P10" t="s">
        <v>216</v>
      </c>
      <c r="Q10">
        <v>1</v>
      </c>
      <c r="W10">
        <v>0</v>
      </c>
      <c r="X10">
        <v>366114799</v>
      </c>
      <c r="Y10">
        <v>2.2000000000000002</v>
      </c>
      <c r="AA10">
        <v>0</v>
      </c>
      <c r="AB10">
        <v>2063.61</v>
      </c>
      <c r="AC10">
        <v>347.44</v>
      </c>
      <c r="AD10">
        <v>0</v>
      </c>
      <c r="AE10">
        <v>0</v>
      </c>
      <c r="AF10">
        <v>246.68</v>
      </c>
      <c r="AG10">
        <v>13.37</v>
      </c>
      <c r="AH10">
        <v>0</v>
      </c>
      <c r="AI10">
        <v>1</v>
      </c>
      <c r="AJ10">
        <v>7.99</v>
      </c>
      <c r="AK10">
        <v>24.82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5</v>
      </c>
      <c r="AT10">
        <v>2.2000000000000002</v>
      </c>
      <c r="AU10" t="s">
        <v>5</v>
      </c>
      <c r="AV10">
        <v>0</v>
      </c>
      <c r="AW10">
        <v>2</v>
      </c>
      <c r="AX10">
        <v>49688968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Y10*Source!I32</f>
        <v>1017.5000000000001</v>
      </c>
      <c r="CY10">
        <f>AB10</f>
        <v>2063.61</v>
      </c>
      <c r="CZ10">
        <f>AF10</f>
        <v>246.68</v>
      </c>
      <c r="DA10">
        <f>AJ10</f>
        <v>7.99</v>
      </c>
      <c r="DB10">
        <f t="shared" si="0"/>
        <v>542.70000000000005</v>
      </c>
      <c r="DC10">
        <f t="shared" si="1"/>
        <v>29.41</v>
      </c>
    </row>
    <row r="11" spans="1:107" x14ac:dyDescent="0.2">
      <c r="A11">
        <f>ROW(Source!A32)</f>
        <v>32</v>
      </c>
      <c r="B11">
        <v>49688178</v>
      </c>
      <c r="C11">
        <v>49688960</v>
      </c>
      <c r="D11">
        <v>30571181</v>
      </c>
      <c r="E11">
        <v>1</v>
      </c>
      <c r="F11">
        <v>1</v>
      </c>
      <c r="G11">
        <v>30515945</v>
      </c>
      <c r="H11">
        <v>3</v>
      </c>
      <c r="I11" t="s">
        <v>226</v>
      </c>
      <c r="J11" t="s">
        <v>227</v>
      </c>
      <c r="K11" t="s">
        <v>228</v>
      </c>
      <c r="L11">
        <v>1339</v>
      </c>
      <c r="N11">
        <v>1007</v>
      </c>
      <c r="O11" t="s">
        <v>27</v>
      </c>
      <c r="P11" t="s">
        <v>27</v>
      </c>
      <c r="Q11">
        <v>1</v>
      </c>
      <c r="W11">
        <v>0</v>
      </c>
      <c r="X11">
        <v>-862991314</v>
      </c>
      <c r="Y11">
        <v>8.8000000000000007</v>
      </c>
      <c r="AA11">
        <v>35.28</v>
      </c>
      <c r="AB11">
        <v>0</v>
      </c>
      <c r="AC11">
        <v>0</v>
      </c>
      <c r="AD11">
        <v>0</v>
      </c>
      <c r="AE11">
        <v>7.07</v>
      </c>
      <c r="AF11">
        <v>0</v>
      </c>
      <c r="AG11">
        <v>0</v>
      </c>
      <c r="AH11">
        <v>0</v>
      </c>
      <c r="AI11">
        <v>4.99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5</v>
      </c>
      <c r="AT11">
        <v>8.8000000000000007</v>
      </c>
      <c r="AU11" t="s">
        <v>5</v>
      </c>
      <c r="AV11">
        <v>0</v>
      </c>
      <c r="AW11">
        <v>2</v>
      </c>
      <c r="AX11">
        <v>49688969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Y11*Source!I32</f>
        <v>4070.0000000000005</v>
      </c>
      <c r="CY11">
        <f>AA11</f>
        <v>35.28</v>
      </c>
      <c r="CZ11">
        <f>AE11</f>
        <v>7.07</v>
      </c>
      <c r="DA11">
        <f>AI11</f>
        <v>4.99</v>
      </c>
      <c r="DB11">
        <f t="shared" si="0"/>
        <v>62.22</v>
      </c>
      <c r="DC11">
        <f t="shared" si="1"/>
        <v>0</v>
      </c>
    </row>
    <row r="12" spans="1:107" x14ac:dyDescent="0.2">
      <c r="A12">
        <f>ROW(Source!A32)</f>
        <v>32</v>
      </c>
      <c r="B12">
        <v>49688178</v>
      </c>
      <c r="C12">
        <v>49688960</v>
      </c>
      <c r="D12">
        <v>30541208</v>
      </c>
      <c r="E12">
        <v>30515945</v>
      </c>
      <c r="F12">
        <v>1</v>
      </c>
      <c r="G12">
        <v>30515945</v>
      </c>
      <c r="H12">
        <v>3</v>
      </c>
      <c r="I12" t="s">
        <v>229</v>
      </c>
      <c r="J12" t="s">
        <v>5</v>
      </c>
      <c r="K12" t="s">
        <v>230</v>
      </c>
      <c r="L12">
        <v>1344</v>
      </c>
      <c r="N12">
        <v>1008</v>
      </c>
      <c r="O12" t="s">
        <v>231</v>
      </c>
      <c r="P12" t="s">
        <v>231</v>
      </c>
      <c r="Q12">
        <v>1</v>
      </c>
      <c r="W12">
        <v>0</v>
      </c>
      <c r="X12">
        <v>-94250534</v>
      </c>
      <c r="Y12">
        <v>51.1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5</v>
      </c>
      <c r="AT12">
        <v>51.1</v>
      </c>
      <c r="AU12" t="s">
        <v>5</v>
      </c>
      <c r="AV12">
        <v>0</v>
      </c>
      <c r="AW12">
        <v>2</v>
      </c>
      <c r="AX12">
        <v>49688971</v>
      </c>
      <c r="AY12">
        <v>1</v>
      </c>
      <c r="AZ12">
        <v>0</v>
      </c>
      <c r="BA12">
        <v>13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Y12*Source!I32</f>
        <v>23633.75</v>
      </c>
      <c r="CY12">
        <f>AA12</f>
        <v>1</v>
      </c>
      <c r="CZ12">
        <f>AE12</f>
        <v>1</v>
      </c>
      <c r="DA12">
        <f>AI12</f>
        <v>1</v>
      </c>
      <c r="DB12">
        <f t="shared" si="0"/>
        <v>51.1</v>
      </c>
      <c r="DC12">
        <f t="shared" si="1"/>
        <v>0</v>
      </c>
    </row>
    <row r="13" spans="1:107" x14ac:dyDescent="0.2">
      <c r="A13">
        <f>ROW(Source!A33)</f>
        <v>33</v>
      </c>
      <c r="B13">
        <v>49688178</v>
      </c>
      <c r="C13">
        <v>49688972</v>
      </c>
      <c r="D13">
        <v>30515951</v>
      </c>
      <c r="E13">
        <v>30515945</v>
      </c>
      <c r="F13">
        <v>1</v>
      </c>
      <c r="G13">
        <v>30515945</v>
      </c>
      <c r="H13">
        <v>1</v>
      </c>
      <c r="I13" t="s">
        <v>210</v>
      </c>
      <c r="J13" t="s">
        <v>5</v>
      </c>
      <c r="K13" t="s">
        <v>211</v>
      </c>
      <c r="L13">
        <v>1191</v>
      </c>
      <c r="N13">
        <v>1013</v>
      </c>
      <c r="O13" t="s">
        <v>212</v>
      </c>
      <c r="P13" t="s">
        <v>212</v>
      </c>
      <c r="Q13">
        <v>1</v>
      </c>
      <c r="W13">
        <v>0</v>
      </c>
      <c r="X13">
        <v>476480486</v>
      </c>
      <c r="Y13">
        <v>1.38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5</v>
      </c>
      <c r="AT13">
        <v>1.38</v>
      </c>
      <c r="AU13" t="s">
        <v>5</v>
      </c>
      <c r="AV13">
        <v>1</v>
      </c>
      <c r="AW13">
        <v>2</v>
      </c>
      <c r="AX13">
        <v>49688976</v>
      </c>
      <c r="AY13">
        <v>1</v>
      </c>
      <c r="AZ13">
        <v>0</v>
      </c>
      <c r="BA13">
        <v>14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Y13*Source!I33</f>
        <v>211.899</v>
      </c>
      <c r="CY13">
        <f>AD13</f>
        <v>0</v>
      </c>
      <c r="CZ13">
        <f>AH13</f>
        <v>0</v>
      </c>
      <c r="DA13">
        <f>AL13</f>
        <v>1</v>
      </c>
      <c r="DB13">
        <f t="shared" si="0"/>
        <v>0</v>
      </c>
      <c r="DC13">
        <f t="shared" si="1"/>
        <v>0</v>
      </c>
    </row>
    <row r="14" spans="1:107" x14ac:dyDescent="0.2">
      <c r="A14">
        <f>ROW(Source!A33)</f>
        <v>33</v>
      </c>
      <c r="B14">
        <v>49688178</v>
      </c>
      <c r="C14">
        <v>49688972</v>
      </c>
      <c r="D14">
        <v>30595229</v>
      </c>
      <c r="E14">
        <v>1</v>
      </c>
      <c r="F14">
        <v>1</v>
      </c>
      <c r="G14">
        <v>30515945</v>
      </c>
      <c r="H14">
        <v>2</v>
      </c>
      <c r="I14" t="s">
        <v>232</v>
      </c>
      <c r="J14" t="s">
        <v>233</v>
      </c>
      <c r="K14" t="s">
        <v>234</v>
      </c>
      <c r="L14">
        <v>1367</v>
      </c>
      <c r="N14">
        <v>1011</v>
      </c>
      <c r="O14" t="s">
        <v>216</v>
      </c>
      <c r="P14" t="s">
        <v>216</v>
      </c>
      <c r="Q14">
        <v>1</v>
      </c>
      <c r="W14">
        <v>0</v>
      </c>
      <c r="X14">
        <v>781556702</v>
      </c>
      <c r="Y14">
        <v>3.9874999999999998</v>
      </c>
      <c r="AA14">
        <v>0</v>
      </c>
      <c r="AB14">
        <v>1939.68</v>
      </c>
      <c r="AC14">
        <v>846.14</v>
      </c>
      <c r="AD14">
        <v>0</v>
      </c>
      <c r="AE14">
        <v>0</v>
      </c>
      <c r="AF14">
        <v>162.4</v>
      </c>
      <c r="AG14">
        <v>28.6</v>
      </c>
      <c r="AH14">
        <v>0</v>
      </c>
      <c r="AI14">
        <v>1</v>
      </c>
      <c r="AJ14">
        <v>10.02</v>
      </c>
      <c r="AK14">
        <v>24.82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5</v>
      </c>
      <c r="AT14">
        <v>3.9874999999999998</v>
      </c>
      <c r="AU14" t="s">
        <v>5</v>
      </c>
      <c r="AV14">
        <v>0</v>
      </c>
      <c r="AW14">
        <v>2</v>
      </c>
      <c r="AX14">
        <v>49688977</v>
      </c>
      <c r="AY14">
        <v>1</v>
      </c>
      <c r="AZ14">
        <v>0</v>
      </c>
      <c r="BA14">
        <v>15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Y14*Source!I33</f>
        <v>612.28062499999999</v>
      </c>
      <c r="CY14">
        <f>AB14</f>
        <v>1939.68</v>
      </c>
      <c r="CZ14">
        <f>AF14</f>
        <v>162.4</v>
      </c>
      <c r="DA14">
        <f>AJ14</f>
        <v>10.02</v>
      </c>
      <c r="DB14">
        <f t="shared" si="0"/>
        <v>647.57000000000005</v>
      </c>
      <c r="DC14">
        <f t="shared" si="1"/>
        <v>114.04</v>
      </c>
    </row>
    <row r="15" spans="1:107" x14ac:dyDescent="0.2">
      <c r="A15">
        <f>ROW(Source!A33)</f>
        <v>33</v>
      </c>
      <c r="B15">
        <v>49688178</v>
      </c>
      <c r="C15">
        <v>49688972</v>
      </c>
      <c r="D15">
        <v>30595254</v>
      </c>
      <c r="E15">
        <v>1</v>
      </c>
      <c r="F15">
        <v>1</v>
      </c>
      <c r="G15">
        <v>30515945</v>
      </c>
      <c r="H15">
        <v>2</v>
      </c>
      <c r="I15" t="s">
        <v>235</v>
      </c>
      <c r="J15" t="s">
        <v>236</v>
      </c>
      <c r="K15" t="s">
        <v>237</v>
      </c>
      <c r="L15">
        <v>1367</v>
      </c>
      <c r="N15">
        <v>1011</v>
      </c>
      <c r="O15" t="s">
        <v>216</v>
      </c>
      <c r="P15" t="s">
        <v>216</v>
      </c>
      <c r="Q15">
        <v>1</v>
      </c>
      <c r="W15">
        <v>0</v>
      </c>
      <c r="X15">
        <v>1387947568</v>
      </c>
      <c r="Y15">
        <v>0.997</v>
      </c>
      <c r="AA15">
        <v>0</v>
      </c>
      <c r="AB15">
        <v>1701.67</v>
      </c>
      <c r="AC15">
        <v>523.66</v>
      </c>
      <c r="AD15">
        <v>0</v>
      </c>
      <c r="AE15">
        <v>0</v>
      </c>
      <c r="AF15">
        <v>161.49</v>
      </c>
      <c r="AG15">
        <v>17.7</v>
      </c>
      <c r="AH15">
        <v>0</v>
      </c>
      <c r="AI15">
        <v>1</v>
      </c>
      <c r="AJ15">
        <v>8.84</v>
      </c>
      <c r="AK15">
        <v>24.82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5</v>
      </c>
      <c r="AT15">
        <v>0.997</v>
      </c>
      <c r="AU15" t="s">
        <v>5</v>
      </c>
      <c r="AV15">
        <v>0</v>
      </c>
      <c r="AW15">
        <v>2</v>
      </c>
      <c r="AX15">
        <v>49688978</v>
      </c>
      <c r="AY15">
        <v>1</v>
      </c>
      <c r="AZ15">
        <v>0</v>
      </c>
      <c r="BA15">
        <v>16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Y15*Source!I33</f>
        <v>153.08935000000002</v>
      </c>
      <c r="CY15">
        <f>AB15</f>
        <v>1701.67</v>
      </c>
      <c r="CZ15">
        <f>AF15</f>
        <v>161.49</v>
      </c>
      <c r="DA15">
        <f>AJ15</f>
        <v>8.84</v>
      </c>
      <c r="DB15">
        <f t="shared" si="0"/>
        <v>161.01</v>
      </c>
      <c r="DC15">
        <f t="shared" si="1"/>
        <v>17.649999999999999</v>
      </c>
    </row>
    <row r="16" spans="1:107" x14ac:dyDescent="0.2">
      <c r="A16">
        <f>ROW(Source!A34)</f>
        <v>34</v>
      </c>
      <c r="B16">
        <v>49688178</v>
      </c>
      <c r="C16">
        <v>49688979</v>
      </c>
      <c r="D16">
        <v>30515951</v>
      </c>
      <c r="E16">
        <v>30515945</v>
      </c>
      <c r="F16">
        <v>1</v>
      </c>
      <c r="G16">
        <v>30515945</v>
      </c>
      <c r="H16">
        <v>1</v>
      </c>
      <c r="I16" t="s">
        <v>210</v>
      </c>
      <c r="J16" t="s">
        <v>5</v>
      </c>
      <c r="K16" t="s">
        <v>211</v>
      </c>
      <c r="L16">
        <v>1191</v>
      </c>
      <c r="N16">
        <v>1013</v>
      </c>
      <c r="O16" t="s">
        <v>212</v>
      </c>
      <c r="P16" t="s">
        <v>212</v>
      </c>
      <c r="Q16">
        <v>1</v>
      </c>
      <c r="W16">
        <v>0</v>
      </c>
      <c r="X16">
        <v>476480486</v>
      </c>
      <c r="Y16">
        <v>10.199999999999999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5</v>
      </c>
      <c r="AT16">
        <v>10.199999999999999</v>
      </c>
      <c r="AU16" t="s">
        <v>5</v>
      </c>
      <c r="AV16">
        <v>1</v>
      </c>
      <c r="AW16">
        <v>2</v>
      </c>
      <c r="AX16">
        <v>49688981</v>
      </c>
      <c r="AY16">
        <v>1</v>
      </c>
      <c r="AZ16">
        <v>0</v>
      </c>
      <c r="BA16">
        <v>17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Y16*Source!I34</f>
        <v>15662.099999999999</v>
      </c>
      <c r="CY16">
        <f>AD16</f>
        <v>0</v>
      </c>
      <c r="CZ16">
        <f>AH16</f>
        <v>0</v>
      </c>
      <c r="DA16">
        <f>AL16</f>
        <v>1</v>
      </c>
      <c r="DB16">
        <f t="shared" si="0"/>
        <v>0</v>
      </c>
      <c r="DC16">
        <f t="shared" si="1"/>
        <v>0</v>
      </c>
    </row>
    <row r="17" spans="1:107" x14ac:dyDescent="0.2">
      <c r="A17">
        <f>ROW(Source!A70)</f>
        <v>70</v>
      </c>
      <c r="B17">
        <v>49688178</v>
      </c>
      <c r="C17">
        <v>49688982</v>
      </c>
      <c r="D17">
        <v>30515951</v>
      </c>
      <c r="E17">
        <v>30515945</v>
      </c>
      <c r="F17">
        <v>1</v>
      </c>
      <c r="G17">
        <v>30515945</v>
      </c>
      <c r="H17">
        <v>1</v>
      </c>
      <c r="I17" t="s">
        <v>210</v>
      </c>
      <c r="J17" t="s">
        <v>5</v>
      </c>
      <c r="K17" t="s">
        <v>211</v>
      </c>
      <c r="L17">
        <v>1191</v>
      </c>
      <c r="N17">
        <v>1013</v>
      </c>
      <c r="O17" t="s">
        <v>212</v>
      </c>
      <c r="P17" t="s">
        <v>212</v>
      </c>
      <c r="Q17">
        <v>1</v>
      </c>
      <c r="W17">
        <v>0</v>
      </c>
      <c r="X17">
        <v>476480486</v>
      </c>
      <c r="Y17">
        <v>26.28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5</v>
      </c>
      <c r="AT17">
        <v>26.28</v>
      </c>
      <c r="AU17" t="s">
        <v>5</v>
      </c>
      <c r="AV17">
        <v>1</v>
      </c>
      <c r="AW17">
        <v>2</v>
      </c>
      <c r="AX17">
        <v>49688985</v>
      </c>
      <c r="AY17">
        <v>1</v>
      </c>
      <c r="AZ17">
        <v>0</v>
      </c>
      <c r="BA17">
        <v>18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Y17*Source!I70</f>
        <v>451.35900000000004</v>
      </c>
      <c r="CY17">
        <f>AD17</f>
        <v>0</v>
      </c>
      <c r="CZ17">
        <f>AH17</f>
        <v>0</v>
      </c>
      <c r="DA17">
        <f>AL17</f>
        <v>1</v>
      </c>
      <c r="DB17">
        <f t="shared" si="0"/>
        <v>0</v>
      </c>
      <c r="DC17">
        <f t="shared" si="1"/>
        <v>0</v>
      </c>
    </row>
    <row r="18" spans="1:107" x14ac:dyDescent="0.2">
      <c r="A18">
        <f>ROW(Source!A70)</f>
        <v>70</v>
      </c>
      <c r="B18">
        <v>49688178</v>
      </c>
      <c r="C18">
        <v>49688982</v>
      </c>
      <c r="D18">
        <v>30595243</v>
      </c>
      <c r="E18">
        <v>1</v>
      </c>
      <c r="F18">
        <v>1</v>
      </c>
      <c r="G18">
        <v>30515945</v>
      </c>
      <c r="H18">
        <v>2</v>
      </c>
      <c r="I18" t="s">
        <v>213</v>
      </c>
      <c r="J18" t="s">
        <v>214</v>
      </c>
      <c r="K18" t="s">
        <v>215</v>
      </c>
      <c r="L18">
        <v>1367</v>
      </c>
      <c r="N18">
        <v>1011</v>
      </c>
      <c r="O18" t="s">
        <v>216</v>
      </c>
      <c r="P18" t="s">
        <v>216</v>
      </c>
      <c r="Q18">
        <v>1</v>
      </c>
      <c r="W18">
        <v>0</v>
      </c>
      <c r="X18">
        <v>-1659124929</v>
      </c>
      <c r="Y18">
        <v>2.04</v>
      </c>
      <c r="AA18">
        <v>0</v>
      </c>
      <c r="AB18">
        <v>887.02</v>
      </c>
      <c r="AC18">
        <v>542.34</v>
      </c>
      <c r="AD18">
        <v>0</v>
      </c>
      <c r="AE18">
        <v>0</v>
      </c>
      <c r="AF18">
        <v>80</v>
      </c>
      <c r="AG18">
        <v>20.87</v>
      </c>
      <c r="AH18">
        <v>0</v>
      </c>
      <c r="AI18">
        <v>1</v>
      </c>
      <c r="AJ18">
        <v>10.59</v>
      </c>
      <c r="AK18">
        <v>24.82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5</v>
      </c>
      <c r="AT18">
        <v>2.04</v>
      </c>
      <c r="AU18" t="s">
        <v>5</v>
      </c>
      <c r="AV18">
        <v>0</v>
      </c>
      <c r="AW18">
        <v>2</v>
      </c>
      <c r="AX18">
        <v>49688986</v>
      </c>
      <c r="AY18">
        <v>1</v>
      </c>
      <c r="AZ18">
        <v>0</v>
      </c>
      <c r="BA18">
        <v>19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Y18*Source!I70</f>
        <v>35.036999999999999</v>
      </c>
      <c r="CY18">
        <f>AB18</f>
        <v>887.02</v>
      </c>
      <c r="CZ18">
        <f>AF18</f>
        <v>80</v>
      </c>
      <c r="DA18">
        <f>AJ18</f>
        <v>10.59</v>
      </c>
      <c r="DB18">
        <f t="shared" si="0"/>
        <v>163.19999999999999</v>
      </c>
      <c r="DC18">
        <f t="shared" si="1"/>
        <v>42.57</v>
      </c>
    </row>
    <row r="19" spans="1:107" x14ac:dyDescent="0.2">
      <c r="A19">
        <f>ROW(Source!A71)</f>
        <v>71</v>
      </c>
      <c r="B19">
        <v>49688178</v>
      </c>
      <c r="C19">
        <v>49688987</v>
      </c>
      <c r="D19">
        <v>30515951</v>
      </c>
      <c r="E19">
        <v>30515945</v>
      </c>
      <c r="F19">
        <v>1</v>
      </c>
      <c r="G19">
        <v>30515945</v>
      </c>
      <c r="H19">
        <v>1</v>
      </c>
      <c r="I19" t="s">
        <v>210</v>
      </c>
      <c r="J19" t="s">
        <v>5</v>
      </c>
      <c r="K19" t="s">
        <v>211</v>
      </c>
      <c r="L19">
        <v>1191</v>
      </c>
      <c r="N19">
        <v>1013</v>
      </c>
      <c r="O19" t="s">
        <v>212</v>
      </c>
      <c r="P19" t="s">
        <v>212</v>
      </c>
      <c r="Q19">
        <v>1</v>
      </c>
      <c r="W19">
        <v>0</v>
      </c>
      <c r="X19">
        <v>476480486</v>
      </c>
      <c r="Y19">
        <v>73.25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5</v>
      </c>
      <c r="AT19">
        <v>73.25</v>
      </c>
      <c r="AU19" t="s">
        <v>5</v>
      </c>
      <c r="AV19">
        <v>1</v>
      </c>
      <c r="AW19">
        <v>2</v>
      </c>
      <c r="AX19">
        <v>49688989</v>
      </c>
      <c r="AY19">
        <v>1</v>
      </c>
      <c r="AZ19">
        <v>0</v>
      </c>
      <c r="BA19">
        <v>20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Y19*Source!I71</f>
        <v>419.35624999999999</v>
      </c>
      <c r="CY19">
        <f>AD19</f>
        <v>0</v>
      </c>
      <c r="CZ19">
        <f>AH19</f>
        <v>0</v>
      </c>
      <c r="DA19">
        <f>AL19</f>
        <v>1</v>
      </c>
      <c r="DB19">
        <f t="shared" si="0"/>
        <v>0</v>
      </c>
      <c r="DC19">
        <f t="shared" si="1"/>
        <v>0</v>
      </c>
    </row>
    <row r="20" spans="1:107" x14ac:dyDescent="0.2">
      <c r="A20">
        <f>ROW(Source!A72)</f>
        <v>72</v>
      </c>
      <c r="B20">
        <v>49688178</v>
      </c>
      <c r="C20">
        <v>49688990</v>
      </c>
      <c r="D20">
        <v>30515951</v>
      </c>
      <c r="E20">
        <v>30515945</v>
      </c>
      <c r="F20">
        <v>1</v>
      </c>
      <c r="G20">
        <v>30515945</v>
      </c>
      <c r="H20">
        <v>1</v>
      </c>
      <c r="I20" t="s">
        <v>210</v>
      </c>
      <c r="J20" t="s">
        <v>5</v>
      </c>
      <c r="K20" t="s">
        <v>211</v>
      </c>
      <c r="L20">
        <v>1191</v>
      </c>
      <c r="N20">
        <v>1013</v>
      </c>
      <c r="O20" t="s">
        <v>212</v>
      </c>
      <c r="P20" t="s">
        <v>212</v>
      </c>
      <c r="Q20">
        <v>1</v>
      </c>
      <c r="W20">
        <v>0</v>
      </c>
      <c r="X20">
        <v>476480486</v>
      </c>
      <c r="Y20">
        <v>70.5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5</v>
      </c>
      <c r="AT20">
        <v>70.5</v>
      </c>
      <c r="AU20" t="s">
        <v>5</v>
      </c>
      <c r="AV20">
        <v>1</v>
      </c>
      <c r="AW20">
        <v>2</v>
      </c>
      <c r="AX20">
        <v>49688996</v>
      </c>
      <c r="AY20">
        <v>1</v>
      </c>
      <c r="AZ20">
        <v>0</v>
      </c>
      <c r="BA20">
        <v>21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Y20*Source!I72</f>
        <v>1614.4499999999998</v>
      </c>
      <c r="CY20">
        <f>AD20</f>
        <v>0</v>
      </c>
      <c r="CZ20">
        <f>AH20</f>
        <v>0</v>
      </c>
      <c r="DA20">
        <f>AL20</f>
        <v>1</v>
      </c>
      <c r="DB20">
        <f t="shared" si="0"/>
        <v>0</v>
      </c>
      <c r="DC20">
        <f t="shared" si="1"/>
        <v>0</v>
      </c>
    </row>
    <row r="21" spans="1:107" x14ac:dyDescent="0.2">
      <c r="A21">
        <f>ROW(Source!A72)</f>
        <v>72</v>
      </c>
      <c r="B21">
        <v>49688178</v>
      </c>
      <c r="C21">
        <v>49688990</v>
      </c>
      <c r="D21">
        <v>30595321</v>
      </c>
      <c r="E21">
        <v>1</v>
      </c>
      <c r="F21">
        <v>1</v>
      </c>
      <c r="G21">
        <v>30515945</v>
      </c>
      <c r="H21">
        <v>2</v>
      </c>
      <c r="I21" t="s">
        <v>220</v>
      </c>
      <c r="J21" t="s">
        <v>221</v>
      </c>
      <c r="K21" t="s">
        <v>222</v>
      </c>
      <c r="L21">
        <v>1367</v>
      </c>
      <c r="N21">
        <v>1011</v>
      </c>
      <c r="O21" t="s">
        <v>216</v>
      </c>
      <c r="P21" t="s">
        <v>216</v>
      </c>
      <c r="Q21">
        <v>1</v>
      </c>
      <c r="W21">
        <v>0</v>
      </c>
      <c r="X21">
        <v>-266174272</v>
      </c>
      <c r="Y21">
        <v>2.8</v>
      </c>
      <c r="AA21">
        <v>0</v>
      </c>
      <c r="AB21">
        <v>1677.19</v>
      </c>
      <c r="AC21">
        <v>471.66</v>
      </c>
      <c r="AD21">
        <v>0</v>
      </c>
      <c r="AE21">
        <v>0</v>
      </c>
      <c r="AF21">
        <v>190.93</v>
      </c>
      <c r="AG21">
        <v>18.149999999999999</v>
      </c>
      <c r="AH21">
        <v>0</v>
      </c>
      <c r="AI21">
        <v>1</v>
      </c>
      <c r="AJ21">
        <v>8.39</v>
      </c>
      <c r="AK21">
        <v>24.82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5</v>
      </c>
      <c r="AT21">
        <v>2.8</v>
      </c>
      <c r="AU21" t="s">
        <v>5</v>
      </c>
      <c r="AV21">
        <v>0</v>
      </c>
      <c r="AW21">
        <v>2</v>
      </c>
      <c r="AX21">
        <v>49688997</v>
      </c>
      <c r="AY21">
        <v>1</v>
      </c>
      <c r="AZ21">
        <v>0</v>
      </c>
      <c r="BA21">
        <v>22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Y21*Source!I72</f>
        <v>64.11999999999999</v>
      </c>
      <c r="CY21">
        <f>AB21</f>
        <v>1677.19</v>
      </c>
      <c r="CZ21">
        <f>AF21</f>
        <v>190.93</v>
      </c>
      <c r="DA21">
        <f>AJ21</f>
        <v>8.39</v>
      </c>
      <c r="DB21">
        <f t="shared" si="0"/>
        <v>534.6</v>
      </c>
      <c r="DC21">
        <f t="shared" si="1"/>
        <v>50.82</v>
      </c>
    </row>
    <row r="22" spans="1:107" x14ac:dyDescent="0.2">
      <c r="A22">
        <f>ROW(Source!A72)</f>
        <v>72</v>
      </c>
      <c r="B22">
        <v>49688178</v>
      </c>
      <c r="C22">
        <v>49688990</v>
      </c>
      <c r="D22">
        <v>30595500</v>
      </c>
      <c r="E22">
        <v>1</v>
      </c>
      <c r="F22">
        <v>1</v>
      </c>
      <c r="G22">
        <v>30515945</v>
      </c>
      <c r="H22">
        <v>2</v>
      </c>
      <c r="I22" t="s">
        <v>223</v>
      </c>
      <c r="J22" t="s">
        <v>224</v>
      </c>
      <c r="K22" t="s">
        <v>225</v>
      </c>
      <c r="L22">
        <v>1367</v>
      </c>
      <c r="N22">
        <v>1011</v>
      </c>
      <c r="O22" t="s">
        <v>216</v>
      </c>
      <c r="P22" t="s">
        <v>216</v>
      </c>
      <c r="Q22">
        <v>1</v>
      </c>
      <c r="W22">
        <v>0</v>
      </c>
      <c r="X22">
        <v>366114799</v>
      </c>
      <c r="Y22">
        <v>2.2000000000000002</v>
      </c>
      <c r="AA22">
        <v>0</v>
      </c>
      <c r="AB22">
        <v>2063.61</v>
      </c>
      <c r="AC22">
        <v>347.44</v>
      </c>
      <c r="AD22">
        <v>0</v>
      </c>
      <c r="AE22">
        <v>0</v>
      </c>
      <c r="AF22">
        <v>246.68</v>
      </c>
      <c r="AG22">
        <v>13.37</v>
      </c>
      <c r="AH22">
        <v>0</v>
      </c>
      <c r="AI22">
        <v>1</v>
      </c>
      <c r="AJ22">
        <v>7.99</v>
      </c>
      <c r="AK22">
        <v>24.82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5</v>
      </c>
      <c r="AT22">
        <v>2.2000000000000002</v>
      </c>
      <c r="AU22" t="s">
        <v>5</v>
      </c>
      <c r="AV22">
        <v>0</v>
      </c>
      <c r="AW22">
        <v>2</v>
      </c>
      <c r="AX22">
        <v>49688998</v>
      </c>
      <c r="AY22">
        <v>1</v>
      </c>
      <c r="AZ22">
        <v>0</v>
      </c>
      <c r="BA22">
        <v>23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Y22*Source!I72</f>
        <v>50.38</v>
      </c>
      <c r="CY22">
        <f>AB22</f>
        <v>2063.61</v>
      </c>
      <c r="CZ22">
        <f>AF22</f>
        <v>246.68</v>
      </c>
      <c r="DA22">
        <f>AJ22</f>
        <v>7.99</v>
      </c>
      <c r="DB22">
        <f t="shared" si="0"/>
        <v>542.70000000000005</v>
      </c>
      <c r="DC22">
        <f t="shared" si="1"/>
        <v>29.41</v>
      </c>
    </row>
    <row r="23" spans="1:107" x14ac:dyDescent="0.2">
      <c r="A23">
        <f>ROW(Source!A72)</f>
        <v>72</v>
      </c>
      <c r="B23">
        <v>49688178</v>
      </c>
      <c r="C23">
        <v>49688990</v>
      </c>
      <c r="D23">
        <v>30571181</v>
      </c>
      <c r="E23">
        <v>1</v>
      </c>
      <c r="F23">
        <v>1</v>
      </c>
      <c r="G23">
        <v>30515945</v>
      </c>
      <c r="H23">
        <v>3</v>
      </c>
      <c r="I23" t="s">
        <v>226</v>
      </c>
      <c r="J23" t="s">
        <v>227</v>
      </c>
      <c r="K23" t="s">
        <v>228</v>
      </c>
      <c r="L23">
        <v>1339</v>
      </c>
      <c r="N23">
        <v>1007</v>
      </c>
      <c r="O23" t="s">
        <v>27</v>
      </c>
      <c r="P23" t="s">
        <v>27</v>
      </c>
      <c r="Q23">
        <v>1</v>
      </c>
      <c r="W23">
        <v>0</v>
      </c>
      <c r="X23">
        <v>-862991314</v>
      </c>
      <c r="Y23">
        <v>8.8000000000000007</v>
      </c>
      <c r="AA23">
        <v>35.28</v>
      </c>
      <c r="AB23">
        <v>0</v>
      </c>
      <c r="AC23">
        <v>0</v>
      </c>
      <c r="AD23">
        <v>0</v>
      </c>
      <c r="AE23">
        <v>7.07</v>
      </c>
      <c r="AF23">
        <v>0</v>
      </c>
      <c r="AG23">
        <v>0</v>
      </c>
      <c r="AH23">
        <v>0</v>
      </c>
      <c r="AI23">
        <v>4.99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5</v>
      </c>
      <c r="AT23">
        <v>8.8000000000000007</v>
      </c>
      <c r="AU23" t="s">
        <v>5</v>
      </c>
      <c r="AV23">
        <v>0</v>
      </c>
      <c r="AW23">
        <v>2</v>
      </c>
      <c r="AX23">
        <v>49688999</v>
      </c>
      <c r="AY23">
        <v>1</v>
      </c>
      <c r="AZ23">
        <v>0</v>
      </c>
      <c r="BA23">
        <v>24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Y23*Source!I72</f>
        <v>201.52</v>
      </c>
      <c r="CY23">
        <f>AA23</f>
        <v>35.28</v>
      </c>
      <c r="CZ23">
        <f>AE23</f>
        <v>7.07</v>
      </c>
      <c r="DA23">
        <f>AI23</f>
        <v>4.99</v>
      </c>
      <c r="DB23">
        <f t="shared" si="0"/>
        <v>62.22</v>
      </c>
      <c r="DC23">
        <f t="shared" si="1"/>
        <v>0</v>
      </c>
    </row>
    <row r="24" spans="1:107" x14ac:dyDescent="0.2">
      <c r="A24">
        <f>ROW(Source!A72)</f>
        <v>72</v>
      </c>
      <c r="B24">
        <v>49688178</v>
      </c>
      <c r="C24">
        <v>49688990</v>
      </c>
      <c r="D24">
        <v>30541208</v>
      </c>
      <c r="E24">
        <v>30515945</v>
      </c>
      <c r="F24">
        <v>1</v>
      </c>
      <c r="G24">
        <v>30515945</v>
      </c>
      <c r="H24">
        <v>3</v>
      </c>
      <c r="I24" t="s">
        <v>229</v>
      </c>
      <c r="J24" t="s">
        <v>5</v>
      </c>
      <c r="K24" t="s">
        <v>230</v>
      </c>
      <c r="L24">
        <v>1344</v>
      </c>
      <c r="N24">
        <v>1008</v>
      </c>
      <c r="O24" t="s">
        <v>231</v>
      </c>
      <c r="P24" t="s">
        <v>231</v>
      </c>
      <c r="Q24">
        <v>1</v>
      </c>
      <c r="W24">
        <v>0</v>
      </c>
      <c r="X24">
        <v>-94250534</v>
      </c>
      <c r="Y24">
        <v>51.1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5</v>
      </c>
      <c r="AT24">
        <v>51.1</v>
      </c>
      <c r="AU24" t="s">
        <v>5</v>
      </c>
      <c r="AV24">
        <v>0</v>
      </c>
      <c r="AW24">
        <v>2</v>
      </c>
      <c r="AX24">
        <v>49689001</v>
      </c>
      <c r="AY24">
        <v>1</v>
      </c>
      <c r="AZ24">
        <v>0</v>
      </c>
      <c r="BA24">
        <v>26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Y24*Source!I72</f>
        <v>1170.19</v>
      </c>
      <c r="CY24">
        <f>AA24</f>
        <v>1</v>
      </c>
      <c r="CZ24">
        <f>AE24</f>
        <v>1</v>
      </c>
      <c r="DA24">
        <f>AI24</f>
        <v>1</v>
      </c>
      <c r="DB24">
        <f t="shared" si="0"/>
        <v>51.1</v>
      </c>
      <c r="DC24">
        <f t="shared" si="1"/>
        <v>0</v>
      </c>
    </row>
    <row r="25" spans="1:107" x14ac:dyDescent="0.2">
      <c r="A25">
        <f>ROW(Source!A108)</f>
        <v>108</v>
      </c>
      <c r="B25">
        <v>49688178</v>
      </c>
      <c r="C25">
        <v>49689002</v>
      </c>
      <c r="D25">
        <v>30515951</v>
      </c>
      <c r="E25">
        <v>30515945</v>
      </c>
      <c r="F25">
        <v>1</v>
      </c>
      <c r="G25">
        <v>30515945</v>
      </c>
      <c r="H25">
        <v>1</v>
      </c>
      <c r="I25" t="s">
        <v>210</v>
      </c>
      <c r="J25" t="s">
        <v>5</v>
      </c>
      <c r="K25" t="s">
        <v>211</v>
      </c>
      <c r="L25">
        <v>1191</v>
      </c>
      <c r="N25">
        <v>1013</v>
      </c>
      <c r="O25" t="s">
        <v>212</v>
      </c>
      <c r="P25" t="s">
        <v>212</v>
      </c>
      <c r="Q25">
        <v>1</v>
      </c>
      <c r="W25">
        <v>0</v>
      </c>
      <c r="X25">
        <v>476480486</v>
      </c>
      <c r="Y25">
        <v>1.96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1</v>
      </c>
      <c r="AQ25">
        <v>0</v>
      </c>
      <c r="AR25">
        <v>0</v>
      </c>
      <c r="AS25" t="s">
        <v>5</v>
      </c>
      <c r="AT25">
        <v>0.49</v>
      </c>
      <c r="AU25" t="s">
        <v>121</v>
      </c>
      <c r="AV25">
        <v>1</v>
      </c>
      <c r="AW25">
        <v>2</v>
      </c>
      <c r="AX25">
        <v>49689006</v>
      </c>
      <c r="AY25">
        <v>1</v>
      </c>
      <c r="AZ25">
        <v>0</v>
      </c>
      <c r="BA25">
        <v>27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Y25*Source!I108</f>
        <v>1566.432</v>
      </c>
      <c r="CY25">
        <f>AD25</f>
        <v>0</v>
      </c>
      <c r="CZ25">
        <f>AH25</f>
        <v>0</v>
      </c>
      <c r="DA25">
        <f>AL25</f>
        <v>1</v>
      </c>
      <c r="DB25">
        <f>ROUND((ROUND(AT25*CZ25,2)*4),6)</f>
        <v>0</v>
      </c>
      <c r="DC25">
        <f>ROUND((ROUND(AT25*AG25,2)*4),6)</f>
        <v>0</v>
      </c>
    </row>
    <row r="26" spans="1:107" x14ac:dyDescent="0.2">
      <c r="A26">
        <f>ROW(Source!A108)</f>
        <v>108</v>
      </c>
      <c r="B26">
        <v>49688178</v>
      </c>
      <c r="C26">
        <v>49689002</v>
      </c>
      <c r="D26">
        <v>30595500</v>
      </c>
      <c r="E26">
        <v>1</v>
      </c>
      <c r="F26">
        <v>1</v>
      </c>
      <c r="G26">
        <v>30515945</v>
      </c>
      <c r="H26">
        <v>2</v>
      </c>
      <c r="I26" t="s">
        <v>223</v>
      </c>
      <c r="J26" t="s">
        <v>224</v>
      </c>
      <c r="K26" t="s">
        <v>225</v>
      </c>
      <c r="L26">
        <v>1367</v>
      </c>
      <c r="N26">
        <v>1011</v>
      </c>
      <c r="O26" t="s">
        <v>216</v>
      </c>
      <c r="P26" t="s">
        <v>216</v>
      </c>
      <c r="Q26">
        <v>1</v>
      </c>
      <c r="W26">
        <v>0</v>
      </c>
      <c r="X26">
        <v>366114799</v>
      </c>
      <c r="Y26">
        <v>0.96</v>
      </c>
      <c r="AA26">
        <v>0</v>
      </c>
      <c r="AB26">
        <v>1970.97</v>
      </c>
      <c r="AC26">
        <v>331.84</v>
      </c>
      <c r="AD26">
        <v>0</v>
      </c>
      <c r="AE26">
        <v>0</v>
      </c>
      <c r="AF26">
        <v>246.68</v>
      </c>
      <c r="AG26">
        <v>13.37</v>
      </c>
      <c r="AH26">
        <v>0</v>
      </c>
      <c r="AI26">
        <v>1</v>
      </c>
      <c r="AJ26">
        <v>7.99</v>
      </c>
      <c r="AK26">
        <v>24.82</v>
      </c>
      <c r="AL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 t="s">
        <v>5</v>
      </c>
      <c r="AT26">
        <v>0.24</v>
      </c>
      <c r="AU26" t="s">
        <v>121</v>
      </c>
      <c r="AV26">
        <v>0</v>
      </c>
      <c r="AW26">
        <v>2</v>
      </c>
      <c r="AX26">
        <v>49689007</v>
      </c>
      <c r="AY26">
        <v>1</v>
      </c>
      <c r="AZ26">
        <v>0</v>
      </c>
      <c r="BA26">
        <v>28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Y26*Source!I108</f>
        <v>767.23199999999997</v>
      </c>
      <c r="CY26">
        <f>AB26</f>
        <v>1970.97</v>
      </c>
      <c r="CZ26">
        <f>AF26</f>
        <v>246.68</v>
      </c>
      <c r="DA26">
        <f>AJ26</f>
        <v>7.99</v>
      </c>
      <c r="DB26">
        <f>ROUND((ROUND(AT26*CZ26,2)*4),6)</f>
        <v>236.8</v>
      </c>
      <c r="DC26">
        <f>ROUND((ROUND(AT26*AG26,2)*4),6)</f>
        <v>12.84</v>
      </c>
    </row>
    <row r="27" spans="1:107" x14ac:dyDescent="0.2">
      <c r="A27">
        <f>ROW(Source!A108)</f>
        <v>108</v>
      </c>
      <c r="B27">
        <v>49688178</v>
      </c>
      <c r="C27">
        <v>49689002</v>
      </c>
      <c r="D27">
        <v>30571181</v>
      </c>
      <c r="E27">
        <v>1</v>
      </c>
      <c r="F27">
        <v>1</v>
      </c>
      <c r="G27">
        <v>30515945</v>
      </c>
      <c r="H27">
        <v>3</v>
      </c>
      <c r="I27" t="s">
        <v>226</v>
      </c>
      <c r="J27" t="s">
        <v>227</v>
      </c>
      <c r="K27" t="s">
        <v>228</v>
      </c>
      <c r="L27">
        <v>1339</v>
      </c>
      <c r="N27">
        <v>1007</v>
      </c>
      <c r="O27" t="s">
        <v>27</v>
      </c>
      <c r="P27" t="s">
        <v>27</v>
      </c>
      <c r="Q27">
        <v>1</v>
      </c>
      <c r="W27">
        <v>0</v>
      </c>
      <c r="X27">
        <v>-862991314</v>
      </c>
      <c r="Y27">
        <v>4</v>
      </c>
      <c r="AA27">
        <v>35.28</v>
      </c>
      <c r="AB27">
        <v>0</v>
      </c>
      <c r="AC27">
        <v>0</v>
      </c>
      <c r="AD27">
        <v>0</v>
      </c>
      <c r="AE27">
        <v>7.07</v>
      </c>
      <c r="AF27">
        <v>0</v>
      </c>
      <c r="AG27">
        <v>0</v>
      </c>
      <c r="AH27">
        <v>0</v>
      </c>
      <c r="AI27">
        <v>4.99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1</v>
      </c>
      <c r="AQ27">
        <v>0</v>
      </c>
      <c r="AR27">
        <v>0</v>
      </c>
      <c r="AS27" t="s">
        <v>5</v>
      </c>
      <c r="AT27">
        <v>1</v>
      </c>
      <c r="AU27" t="s">
        <v>121</v>
      </c>
      <c r="AV27">
        <v>0</v>
      </c>
      <c r="AW27">
        <v>2</v>
      </c>
      <c r="AX27">
        <v>49689008</v>
      </c>
      <c r="AY27">
        <v>1</v>
      </c>
      <c r="AZ27">
        <v>0</v>
      </c>
      <c r="BA27">
        <v>29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Y27*Source!I108</f>
        <v>3196.8</v>
      </c>
      <c r="CY27">
        <f>AA27</f>
        <v>35.28</v>
      </c>
      <c r="CZ27">
        <f>AE27</f>
        <v>7.07</v>
      </c>
      <c r="DA27">
        <f>AI27</f>
        <v>4.99</v>
      </c>
      <c r="DB27">
        <f>ROUND((ROUND(AT27*CZ27,2)*4),6)</f>
        <v>28.28</v>
      </c>
      <c r="DC27">
        <f>ROUND((ROUND(AT27*AG27,2)*4),6)</f>
        <v>0</v>
      </c>
    </row>
    <row r="28" spans="1:107" x14ac:dyDescent="0.2">
      <c r="A28">
        <f>ROW(Source!A109)</f>
        <v>109</v>
      </c>
      <c r="B28">
        <v>49688178</v>
      </c>
      <c r="C28">
        <v>49689009</v>
      </c>
      <c r="D28">
        <v>30515951</v>
      </c>
      <c r="E28">
        <v>30515945</v>
      </c>
      <c r="F28">
        <v>1</v>
      </c>
      <c r="G28">
        <v>30515945</v>
      </c>
      <c r="H28">
        <v>1</v>
      </c>
      <c r="I28" t="s">
        <v>210</v>
      </c>
      <c r="J28" t="s">
        <v>5</v>
      </c>
      <c r="K28" t="s">
        <v>211</v>
      </c>
      <c r="L28">
        <v>1191</v>
      </c>
      <c r="N28">
        <v>1013</v>
      </c>
      <c r="O28" t="s">
        <v>212</v>
      </c>
      <c r="P28" t="s">
        <v>212</v>
      </c>
      <c r="Q28">
        <v>1</v>
      </c>
      <c r="W28">
        <v>0</v>
      </c>
      <c r="X28">
        <v>476480486</v>
      </c>
      <c r="Y28">
        <v>26.36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1</v>
      </c>
      <c r="AQ28">
        <v>0</v>
      </c>
      <c r="AR28">
        <v>0</v>
      </c>
      <c r="AS28" t="s">
        <v>5</v>
      </c>
      <c r="AT28">
        <v>6.59</v>
      </c>
      <c r="AU28" t="s">
        <v>121</v>
      </c>
      <c r="AV28">
        <v>1</v>
      </c>
      <c r="AW28">
        <v>2</v>
      </c>
      <c r="AX28">
        <v>49689011</v>
      </c>
      <c r="AY28">
        <v>1</v>
      </c>
      <c r="AZ28">
        <v>0</v>
      </c>
      <c r="BA28">
        <v>30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Y28*Source!I109</f>
        <v>7022.3039999999992</v>
      </c>
      <c r="CY28">
        <f>AD28</f>
        <v>0</v>
      </c>
      <c r="CZ28">
        <f>AH28</f>
        <v>0</v>
      </c>
      <c r="DA28">
        <f>AL28</f>
        <v>1</v>
      </c>
      <c r="DB28">
        <f>ROUND((ROUND(AT28*CZ28,2)*4),6)</f>
        <v>0</v>
      </c>
      <c r="DC28">
        <f>ROUND((ROUND(AT28*AG28,2)*4),6)</f>
        <v>0</v>
      </c>
    </row>
    <row r="29" spans="1:107" x14ac:dyDescent="0.2">
      <c r="A29">
        <f>ROW(Source!A145)</f>
        <v>145</v>
      </c>
      <c r="B29">
        <v>49688178</v>
      </c>
      <c r="C29">
        <v>49689012</v>
      </c>
      <c r="D29">
        <v>30515951</v>
      </c>
      <c r="E29">
        <v>30515945</v>
      </c>
      <c r="F29">
        <v>1</v>
      </c>
      <c r="G29">
        <v>30515945</v>
      </c>
      <c r="H29">
        <v>1</v>
      </c>
      <c r="I29" t="s">
        <v>210</v>
      </c>
      <c r="J29" t="s">
        <v>5</v>
      </c>
      <c r="K29" t="s">
        <v>211</v>
      </c>
      <c r="L29">
        <v>1191</v>
      </c>
      <c r="N29">
        <v>1013</v>
      </c>
      <c r="O29" t="s">
        <v>212</v>
      </c>
      <c r="P29" t="s">
        <v>212</v>
      </c>
      <c r="Q29">
        <v>1</v>
      </c>
      <c r="W29">
        <v>0</v>
      </c>
      <c r="X29">
        <v>476480486</v>
      </c>
      <c r="Y29">
        <v>35.479999999999997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5</v>
      </c>
      <c r="AT29">
        <v>35.479999999999997</v>
      </c>
      <c r="AU29" t="s">
        <v>5</v>
      </c>
      <c r="AV29">
        <v>1</v>
      </c>
      <c r="AW29">
        <v>2</v>
      </c>
      <c r="AX29">
        <v>49689017</v>
      </c>
      <c r="AY29">
        <v>1</v>
      </c>
      <c r="AZ29">
        <v>0</v>
      </c>
      <c r="BA29">
        <v>31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Y29*Source!I145</f>
        <v>242.15099999999998</v>
      </c>
      <c r="CY29">
        <f>AD29</f>
        <v>0</v>
      </c>
      <c r="CZ29">
        <f>AH29</f>
        <v>0</v>
      </c>
      <c r="DA29">
        <f>AL29</f>
        <v>1</v>
      </c>
      <c r="DB29">
        <f t="shared" ref="DB29:DB52" si="2">ROUND(ROUND(AT29*CZ29,2),6)</f>
        <v>0</v>
      </c>
      <c r="DC29">
        <f t="shared" ref="DC29:DC52" si="3">ROUND(ROUND(AT29*AG29,2),6)</f>
        <v>0</v>
      </c>
    </row>
    <row r="30" spans="1:107" x14ac:dyDescent="0.2">
      <c r="A30">
        <f>ROW(Source!A145)</f>
        <v>145</v>
      </c>
      <c r="B30">
        <v>49688178</v>
      </c>
      <c r="C30">
        <v>49689012</v>
      </c>
      <c r="D30">
        <v>30595243</v>
      </c>
      <c r="E30">
        <v>1</v>
      </c>
      <c r="F30">
        <v>1</v>
      </c>
      <c r="G30">
        <v>30515945</v>
      </c>
      <c r="H30">
        <v>2</v>
      </c>
      <c r="I30" t="s">
        <v>213</v>
      </c>
      <c r="J30" t="s">
        <v>214</v>
      </c>
      <c r="K30" t="s">
        <v>215</v>
      </c>
      <c r="L30">
        <v>1367</v>
      </c>
      <c r="N30">
        <v>1011</v>
      </c>
      <c r="O30" t="s">
        <v>216</v>
      </c>
      <c r="P30" t="s">
        <v>216</v>
      </c>
      <c r="Q30">
        <v>1</v>
      </c>
      <c r="W30">
        <v>0</v>
      </c>
      <c r="X30">
        <v>-1659124929</v>
      </c>
      <c r="Y30">
        <v>1.21</v>
      </c>
      <c r="AA30">
        <v>0</v>
      </c>
      <c r="AB30">
        <v>887.02</v>
      </c>
      <c r="AC30">
        <v>542.34</v>
      </c>
      <c r="AD30">
        <v>0</v>
      </c>
      <c r="AE30">
        <v>0</v>
      </c>
      <c r="AF30">
        <v>80</v>
      </c>
      <c r="AG30">
        <v>20.87</v>
      </c>
      <c r="AH30">
        <v>0</v>
      </c>
      <c r="AI30">
        <v>1</v>
      </c>
      <c r="AJ30">
        <v>10.59</v>
      </c>
      <c r="AK30">
        <v>24.82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5</v>
      </c>
      <c r="AT30">
        <v>1.21</v>
      </c>
      <c r="AU30" t="s">
        <v>5</v>
      </c>
      <c r="AV30">
        <v>0</v>
      </c>
      <c r="AW30">
        <v>2</v>
      </c>
      <c r="AX30">
        <v>49689018</v>
      </c>
      <c r="AY30">
        <v>1</v>
      </c>
      <c r="AZ30">
        <v>0</v>
      </c>
      <c r="BA30">
        <v>32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Y30*Source!I145</f>
        <v>8.2582500000000003</v>
      </c>
      <c r="CY30">
        <f>AB30</f>
        <v>887.02</v>
      </c>
      <c r="CZ30">
        <f>AF30</f>
        <v>80</v>
      </c>
      <c r="DA30">
        <f>AJ30</f>
        <v>10.59</v>
      </c>
      <c r="DB30">
        <f t="shared" si="2"/>
        <v>96.8</v>
      </c>
      <c r="DC30">
        <f t="shared" si="3"/>
        <v>25.25</v>
      </c>
    </row>
    <row r="31" spans="1:107" x14ac:dyDescent="0.2">
      <c r="A31">
        <f>ROW(Source!A145)</f>
        <v>145</v>
      </c>
      <c r="B31">
        <v>49688178</v>
      </c>
      <c r="C31">
        <v>49689012</v>
      </c>
      <c r="D31">
        <v>30590229</v>
      </c>
      <c r="E31">
        <v>1</v>
      </c>
      <c r="F31">
        <v>1</v>
      </c>
      <c r="G31">
        <v>30515945</v>
      </c>
      <c r="H31">
        <v>3</v>
      </c>
      <c r="I31" t="s">
        <v>25</v>
      </c>
      <c r="J31" t="s">
        <v>28</v>
      </c>
      <c r="K31" t="s">
        <v>26</v>
      </c>
      <c r="L31">
        <v>1339</v>
      </c>
      <c r="N31">
        <v>1007</v>
      </c>
      <c r="O31" t="s">
        <v>27</v>
      </c>
      <c r="P31" t="s">
        <v>27</v>
      </c>
      <c r="Q31">
        <v>1</v>
      </c>
      <c r="W31">
        <v>0</v>
      </c>
      <c r="X31">
        <v>92320855</v>
      </c>
      <c r="Y31">
        <v>9.26</v>
      </c>
      <c r="AA31">
        <v>977.95</v>
      </c>
      <c r="AB31">
        <v>0</v>
      </c>
      <c r="AC31">
        <v>0</v>
      </c>
      <c r="AD31">
        <v>0</v>
      </c>
      <c r="AE31">
        <v>146.84</v>
      </c>
      <c r="AF31">
        <v>0</v>
      </c>
      <c r="AG31">
        <v>0</v>
      </c>
      <c r="AH31">
        <v>0</v>
      </c>
      <c r="AI31">
        <v>6.66</v>
      </c>
      <c r="AJ31">
        <v>1</v>
      </c>
      <c r="AK31">
        <v>1</v>
      </c>
      <c r="AL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5</v>
      </c>
      <c r="AT31">
        <v>9.26</v>
      </c>
      <c r="AU31" t="s">
        <v>5</v>
      </c>
      <c r="AV31">
        <v>0</v>
      </c>
      <c r="AW31">
        <v>1</v>
      </c>
      <c r="AX31">
        <v>-1</v>
      </c>
      <c r="AY31">
        <v>0</v>
      </c>
      <c r="AZ31">
        <v>0</v>
      </c>
      <c r="BA31" t="s">
        <v>5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Y31*Source!I145</f>
        <v>63.1995</v>
      </c>
      <c r="CY31">
        <f>AA31</f>
        <v>977.95</v>
      </c>
      <c r="CZ31">
        <f>AE31</f>
        <v>146.84</v>
      </c>
      <c r="DA31">
        <f>AI31</f>
        <v>6.66</v>
      </c>
      <c r="DB31">
        <f t="shared" si="2"/>
        <v>1359.74</v>
      </c>
      <c r="DC31">
        <f t="shared" si="3"/>
        <v>0</v>
      </c>
    </row>
    <row r="32" spans="1:107" x14ac:dyDescent="0.2">
      <c r="A32">
        <f>ROW(Source!A145)</f>
        <v>145</v>
      </c>
      <c r="B32">
        <v>49688178</v>
      </c>
      <c r="C32">
        <v>49689012</v>
      </c>
      <c r="D32">
        <v>30590235</v>
      </c>
      <c r="E32">
        <v>1</v>
      </c>
      <c r="F32">
        <v>1</v>
      </c>
      <c r="G32">
        <v>30515945</v>
      </c>
      <c r="H32">
        <v>3</v>
      </c>
      <c r="I32" t="s">
        <v>217</v>
      </c>
      <c r="J32" t="s">
        <v>218</v>
      </c>
      <c r="K32" t="s">
        <v>219</v>
      </c>
      <c r="L32">
        <v>1339</v>
      </c>
      <c r="N32">
        <v>1007</v>
      </c>
      <c r="O32" t="s">
        <v>27</v>
      </c>
      <c r="P32" t="s">
        <v>27</v>
      </c>
      <c r="Q32">
        <v>1</v>
      </c>
      <c r="W32">
        <v>0</v>
      </c>
      <c r="X32">
        <v>814528933</v>
      </c>
      <c r="Y32">
        <v>3.09</v>
      </c>
      <c r="AA32">
        <v>977.95</v>
      </c>
      <c r="AB32">
        <v>0</v>
      </c>
      <c r="AC32">
        <v>0</v>
      </c>
      <c r="AD32">
        <v>0</v>
      </c>
      <c r="AE32">
        <v>407.48</v>
      </c>
      <c r="AF32">
        <v>0</v>
      </c>
      <c r="AG32">
        <v>0</v>
      </c>
      <c r="AH32">
        <v>0</v>
      </c>
      <c r="AI32">
        <v>2.4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5</v>
      </c>
      <c r="AT32">
        <v>3.09</v>
      </c>
      <c r="AU32" t="s">
        <v>5</v>
      </c>
      <c r="AV32">
        <v>0</v>
      </c>
      <c r="AW32">
        <v>2</v>
      </c>
      <c r="AX32">
        <v>49689019</v>
      </c>
      <c r="AY32">
        <v>1</v>
      </c>
      <c r="AZ32">
        <v>0</v>
      </c>
      <c r="BA32">
        <v>33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Y32*Source!I145</f>
        <v>21.08925</v>
      </c>
      <c r="CY32">
        <f>AA32</f>
        <v>977.95</v>
      </c>
      <c r="CZ32">
        <f>AE32</f>
        <v>407.48</v>
      </c>
      <c r="DA32">
        <f>AI32</f>
        <v>2.4</v>
      </c>
      <c r="DB32">
        <f t="shared" si="2"/>
        <v>1259.1099999999999</v>
      </c>
      <c r="DC32">
        <f t="shared" si="3"/>
        <v>0</v>
      </c>
    </row>
    <row r="33" spans="1:107" x14ac:dyDescent="0.2">
      <c r="A33">
        <f>ROW(Source!A147)</f>
        <v>147</v>
      </c>
      <c r="B33">
        <v>49688178</v>
      </c>
      <c r="C33">
        <v>49689022</v>
      </c>
      <c r="D33">
        <v>30515951</v>
      </c>
      <c r="E33">
        <v>30515945</v>
      </c>
      <c r="F33">
        <v>1</v>
      </c>
      <c r="G33">
        <v>30515945</v>
      </c>
      <c r="H33">
        <v>1</v>
      </c>
      <c r="I33" t="s">
        <v>210</v>
      </c>
      <c r="J33" t="s">
        <v>5</v>
      </c>
      <c r="K33" t="s">
        <v>211</v>
      </c>
      <c r="L33">
        <v>1191</v>
      </c>
      <c r="N33">
        <v>1013</v>
      </c>
      <c r="O33" t="s">
        <v>212</v>
      </c>
      <c r="P33" t="s">
        <v>212</v>
      </c>
      <c r="Q33">
        <v>1</v>
      </c>
      <c r="W33">
        <v>0</v>
      </c>
      <c r="X33">
        <v>476480486</v>
      </c>
      <c r="Y33">
        <v>62.71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5</v>
      </c>
      <c r="AT33">
        <v>62.71</v>
      </c>
      <c r="AU33" t="s">
        <v>5</v>
      </c>
      <c r="AV33">
        <v>1</v>
      </c>
      <c r="AW33">
        <v>2</v>
      </c>
      <c r="AX33">
        <v>49689026</v>
      </c>
      <c r="AY33">
        <v>1</v>
      </c>
      <c r="AZ33">
        <v>0</v>
      </c>
      <c r="BA33">
        <v>35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Y33*Source!I147</f>
        <v>142.66524999999999</v>
      </c>
      <c r="CY33">
        <f>AD33</f>
        <v>0</v>
      </c>
      <c r="CZ33">
        <f>AH33</f>
        <v>0</v>
      </c>
      <c r="DA33">
        <f>AL33</f>
        <v>1</v>
      </c>
      <c r="DB33">
        <f t="shared" si="2"/>
        <v>0</v>
      </c>
      <c r="DC33">
        <f t="shared" si="3"/>
        <v>0</v>
      </c>
    </row>
    <row r="34" spans="1:107" x14ac:dyDescent="0.2">
      <c r="A34">
        <f>ROW(Source!A147)</f>
        <v>147</v>
      </c>
      <c r="B34">
        <v>49688178</v>
      </c>
      <c r="C34">
        <v>49689022</v>
      </c>
      <c r="D34">
        <v>30590229</v>
      </c>
      <c r="E34">
        <v>1</v>
      </c>
      <c r="F34">
        <v>1</v>
      </c>
      <c r="G34">
        <v>30515945</v>
      </c>
      <c r="H34">
        <v>3</v>
      </c>
      <c r="I34" t="s">
        <v>25</v>
      </c>
      <c r="J34" t="s">
        <v>28</v>
      </c>
      <c r="K34" t="s">
        <v>26</v>
      </c>
      <c r="L34">
        <v>1339</v>
      </c>
      <c r="N34">
        <v>1007</v>
      </c>
      <c r="O34" t="s">
        <v>27</v>
      </c>
      <c r="P34" t="s">
        <v>27</v>
      </c>
      <c r="Q34">
        <v>1</v>
      </c>
      <c r="W34">
        <v>0</v>
      </c>
      <c r="X34">
        <v>92320855</v>
      </c>
      <c r="Y34">
        <v>9.26</v>
      </c>
      <c r="AA34">
        <v>977.95</v>
      </c>
      <c r="AB34">
        <v>0</v>
      </c>
      <c r="AC34">
        <v>0</v>
      </c>
      <c r="AD34">
        <v>0</v>
      </c>
      <c r="AE34">
        <v>146.84</v>
      </c>
      <c r="AF34">
        <v>0</v>
      </c>
      <c r="AG34">
        <v>0</v>
      </c>
      <c r="AH34">
        <v>0</v>
      </c>
      <c r="AI34">
        <v>6.66</v>
      </c>
      <c r="AJ34">
        <v>1</v>
      </c>
      <c r="AK34">
        <v>1</v>
      </c>
      <c r="AL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5</v>
      </c>
      <c r="AT34">
        <v>9.26</v>
      </c>
      <c r="AU34" t="s">
        <v>5</v>
      </c>
      <c r="AV34">
        <v>0</v>
      </c>
      <c r="AW34">
        <v>1</v>
      </c>
      <c r="AX34">
        <v>-1</v>
      </c>
      <c r="AY34">
        <v>0</v>
      </c>
      <c r="AZ34">
        <v>0</v>
      </c>
      <c r="BA34" t="s">
        <v>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Y34*Source!I147</f>
        <v>21.066499999999998</v>
      </c>
      <c r="CY34">
        <f>AA34</f>
        <v>977.95</v>
      </c>
      <c r="CZ34">
        <f>AE34</f>
        <v>146.84</v>
      </c>
      <c r="DA34">
        <f>AI34</f>
        <v>6.66</v>
      </c>
      <c r="DB34">
        <f t="shared" si="2"/>
        <v>1359.74</v>
      </c>
      <c r="DC34">
        <f t="shared" si="3"/>
        <v>0</v>
      </c>
    </row>
    <row r="35" spans="1:107" x14ac:dyDescent="0.2">
      <c r="A35">
        <f>ROW(Source!A147)</f>
        <v>147</v>
      </c>
      <c r="B35">
        <v>49688178</v>
      </c>
      <c r="C35">
        <v>49689022</v>
      </c>
      <c r="D35">
        <v>30590235</v>
      </c>
      <c r="E35">
        <v>1</v>
      </c>
      <c r="F35">
        <v>1</v>
      </c>
      <c r="G35">
        <v>30515945</v>
      </c>
      <c r="H35">
        <v>3</v>
      </c>
      <c r="I35" t="s">
        <v>217</v>
      </c>
      <c r="J35" t="s">
        <v>218</v>
      </c>
      <c r="K35" t="s">
        <v>219</v>
      </c>
      <c r="L35">
        <v>1339</v>
      </c>
      <c r="N35">
        <v>1007</v>
      </c>
      <c r="O35" t="s">
        <v>27</v>
      </c>
      <c r="P35" t="s">
        <v>27</v>
      </c>
      <c r="Q35">
        <v>1</v>
      </c>
      <c r="W35">
        <v>0</v>
      </c>
      <c r="X35">
        <v>814528933</v>
      </c>
      <c r="Y35">
        <v>3.09</v>
      </c>
      <c r="AA35">
        <v>977.95</v>
      </c>
      <c r="AB35">
        <v>0</v>
      </c>
      <c r="AC35">
        <v>0</v>
      </c>
      <c r="AD35">
        <v>0</v>
      </c>
      <c r="AE35">
        <v>407.48</v>
      </c>
      <c r="AF35">
        <v>0</v>
      </c>
      <c r="AG35">
        <v>0</v>
      </c>
      <c r="AH35">
        <v>0</v>
      </c>
      <c r="AI35">
        <v>2.4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5</v>
      </c>
      <c r="AT35">
        <v>3.09</v>
      </c>
      <c r="AU35" t="s">
        <v>5</v>
      </c>
      <c r="AV35">
        <v>0</v>
      </c>
      <c r="AW35">
        <v>2</v>
      </c>
      <c r="AX35">
        <v>49689027</v>
      </c>
      <c r="AY35">
        <v>1</v>
      </c>
      <c r="AZ35">
        <v>0</v>
      </c>
      <c r="BA35">
        <v>36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Y35*Source!I147</f>
        <v>7.0297499999999991</v>
      </c>
      <c r="CY35">
        <f>AA35</f>
        <v>977.95</v>
      </c>
      <c r="CZ35">
        <f>AE35</f>
        <v>407.48</v>
      </c>
      <c r="DA35">
        <f>AI35</f>
        <v>2.4</v>
      </c>
      <c r="DB35">
        <f t="shared" si="2"/>
        <v>1259.1099999999999</v>
      </c>
      <c r="DC35">
        <f t="shared" si="3"/>
        <v>0</v>
      </c>
    </row>
    <row r="36" spans="1:107" x14ac:dyDescent="0.2">
      <c r="A36">
        <f>ROW(Source!A149)</f>
        <v>149</v>
      </c>
      <c r="B36">
        <v>49688178</v>
      </c>
      <c r="C36">
        <v>49689030</v>
      </c>
      <c r="D36">
        <v>30515951</v>
      </c>
      <c r="E36">
        <v>30515945</v>
      </c>
      <c r="F36">
        <v>1</v>
      </c>
      <c r="G36">
        <v>30515945</v>
      </c>
      <c r="H36">
        <v>1</v>
      </c>
      <c r="I36" t="s">
        <v>210</v>
      </c>
      <c r="J36" t="s">
        <v>5</v>
      </c>
      <c r="K36" t="s">
        <v>211</v>
      </c>
      <c r="L36">
        <v>1191</v>
      </c>
      <c r="N36">
        <v>1013</v>
      </c>
      <c r="O36" t="s">
        <v>212</v>
      </c>
      <c r="P36" t="s">
        <v>212</v>
      </c>
      <c r="Q36">
        <v>1</v>
      </c>
      <c r="W36">
        <v>0</v>
      </c>
      <c r="X36">
        <v>476480486</v>
      </c>
      <c r="Y36">
        <v>47.6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5</v>
      </c>
      <c r="AT36">
        <v>47.6</v>
      </c>
      <c r="AU36" t="s">
        <v>5</v>
      </c>
      <c r="AV36">
        <v>1</v>
      </c>
      <c r="AW36">
        <v>2</v>
      </c>
      <c r="AX36">
        <v>49689036</v>
      </c>
      <c r="AY36">
        <v>1</v>
      </c>
      <c r="AZ36">
        <v>0</v>
      </c>
      <c r="BA36">
        <v>38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Y36*Source!I149</f>
        <v>433.15999999999997</v>
      </c>
      <c r="CY36">
        <f>AD36</f>
        <v>0</v>
      </c>
      <c r="CZ36">
        <f>AH36</f>
        <v>0</v>
      </c>
      <c r="DA36">
        <f>AL36</f>
        <v>1</v>
      </c>
      <c r="DB36">
        <f t="shared" si="2"/>
        <v>0</v>
      </c>
      <c r="DC36">
        <f t="shared" si="3"/>
        <v>0</v>
      </c>
    </row>
    <row r="37" spans="1:107" x14ac:dyDescent="0.2">
      <c r="A37">
        <f>ROW(Source!A149)</f>
        <v>149</v>
      </c>
      <c r="B37">
        <v>49688178</v>
      </c>
      <c r="C37">
        <v>49689030</v>
      </c>
      <c r="D37">
        <v>30595321</v>
      </c>
      <c r="E37">
        <v>1</v>
      </c>
      <c r="F37">
        <v>1</v>
      </c>
      <c r="G37">
        <v>30515945</v>
      </c>
      <c r="H37">
        <v>2</v>
      </c>
      <c r="I37" t="s">
        <v>220</v>
      </c>
      <c r="J37" t="s">
        <v>221</v>
      </c>
      <c r="K37" t="s">
        <v>222</v>
      </c>
      <c r="L37">
        <v>1367</v>
      </c>
      <c r="N37">
        <v>1011</v>
      </c>
      <c r="O37" t="s">
        <v>216</v>
      </c>
      <c r="P37" t="s">
        <v>216</v>
      </c>
      <c r="Q37">
        <v>1</v>
      </c>
      <c r="W37">
        <v>0</v>
      </c>
      <c r="X37">
        <v>-266174272</v>
      </c>
      <c r="Y37">
        <v>1.79</v>
      </c>
      <c r="AA37">
        <v>0</v>
      </c>
      <c r="AB37">
        <v>1677.19</v>
      </c>
      <c r="AC37">
        <v>471.66</v>
      </c>
      <c r="AD37">
        <v>0</v>
      </c>
      <c r="AE37">
        <v>0</v>
      </c>
      <c r="AF37">
        <v>190.93</v>
      </c>
      <c r="AG37">
        <v>18.149999999999999</v>
      </c>
      <c r="AH37">
        <v>0</v>
      </c>
      <c r="AI37">
        <v>1</v>
      </c>
      <c r="AJ37">
        <v>8.39</v>
      </c>
      <c r="AK37">
        <v>24.82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5</v>
      </c>
      <c r="AT37">
        <v>1.79</v>
      </c>
      <c r="AU37" t="s">
        <v>5</v>
      </c>
      <c r="AV37">
        <v>0</v>
      </c>
      <c r="AW37">
        <v>2</v>
      </c>
      <c r="AX37">
        <v>49689037</v>
      </c>
      <c r="AY37">
        <v>1</v>
      </c>
      <c r="AZ37">
        <v>0</v>
      </c>
      <c r="BA37">
        <v>39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Y37*Source!I149</f>
        <v>16.288999999999998</v>
      </c>
      <c r="CY37">
        <f>AB37</f>
        <v>1677.19</v>
      </c>
      <c r="CZ37">
        <f>AF37</f>
        <v>190.93</v>
      </c>
      <c r="DA37">
        <f>AJ37</f>
        <v>8.39</v>
      </c>
      <c r="DB37">
        <f t="shared" si="2"/>
        <v>341.76</v>
      </c>
      <c r="DC37">
        <f t="shared" si="3"/>
        <v>32.49</v>
      </c>
    </row>
    <row r="38" spans="1:107" x14ac:dyDescent="0.2">
      <c r="A38">
        <f>ROW(Source!A149)</f>
        <v>149</v>
      </c>
      <c r="B38">
        <v>49688178</v>
      </c>
      <c r="C38">
        <v>49689030</v>
      </c>
      <c r="D38">
        <v>30595500</v>
      </c>
      <c r="E38">
        <v>1</v>
      </c>
      <c r="F38">
        <v>1</v>
      </c>
      <c r="G38">
        <v>30515945</v>
      </c>
      <c r="H38">
        <v>2</v>
      </c>
      <c r="I38" t="s">
        <v>223</v>
      </c>
      <c r="J38" t="s">
        <v>224</v>
      </c>
      <c r="K38" t="s">
        <v>225</v>
      </c>
      <c r="L38">
        <v>1367</v>
      </c>
      <c r="N38">
        <v>1011</v>
      </c>
      <c r="O38" t="s">
        <v>216</v>
      </c>
      <c r="P38" t="s">
        <v>216</v>
      </c>
      <c r="Q38">
        <v>1</v>
      </c>
      <c r="W38">
        <v>0</v>
      </c>
      <c r="X38">
        <v>366114799</v>
      </c>
      <c r="Y38">
        <v>1.47</v>
      </c>
      <c r="AA38">
        <v>0</v>
      </c>
      <c r="AB38">
        <v>2063.61</v>
      </c>
      <c r="AC38">
        <v>347.44</v>
      </c>
      <c r="AD38">
        <v>0</v>
      </c>
      <c r="AE38">
        <v>0</v>
      </c>
      <c r="AF38">
        <v>246.68</v>
      </c>
      <c r="AG38">
        <v>13.37</v>
      </c>
      <c r="AH38">
        <v>0</v>
      </c>
      <c r="AI38">
        <v>1</v>
      </c>
      <c r="AJ38">
        <v>7.99</v>
      </c>
      <c r="AK38">
        <v>24.82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5</v>
      </c>
      <c r="AT38">
        <v>1.47</v>
      </c>
      <c r="AU38" t="s">
        <v>5</v>
      </c>
      <c r="AV38">
        <v>0</v>
      </c>
      <c r="AW38">
        <v>2</v>
      </c>
      <c r="AX38">
        <v>49689038</v>
      </c>
      <c r="AY38">
        <v>1</v>
      </c>
      <c r="AZ38">
        <v>0</v>
      </c>
      <c r="BA38">
        <v>40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Y38*Source!I149</f>
        <v>13.376999999999999</v>
      </c>
      <c r="CY38">
        <f>AB38</f>
        <v>2063.61</v>
      </c>
      <c r="CZ38">
        <f>AF38</f>
        <v>246.68</v>
      </c>
      <c r="DA38">
        <f>AJ38</f>
        <v>7.99</v>
      </c>
      <c r="DB38">
        <f t="shared" si="2"/>
        <v>362.62</v>
      </c>
      <c r="DC38">
        <f t="shared" si="3"/>
        <v>19.649999999999999</v>
      </c>
    </row>
    <row r="39" spans="1:107" x14ac:dyDescent="0.2">
      <c r="A39">
        <f>ROW(Source!A149)</f>
        <v>149</v>
      </c>
      <c r="B39">
        <v>49688178</v>
      </c>
      <c r="C39">
        <v>49689030</v>
      </c>
      <c r="D39">
        <v>30571181</v>
      </c>
      <c r="E39">
        <v>1</v>
      </c>
      <c r="F39">
        <v>1</v>
      </c>
      <c r="G39">
        <v>30515945</v>
      </c>
      <c r="H39">
        <v>3</v>
      </c>
      <c r="I39" t="s">
        <v>226</v>
      </c>
      <c r="J39" t="s">
        <v>227</v>
      </c>
      <c r="K39" t="s">
        <v>228</v>
      </c>
      <c r="L39">
        <v>1339</v>
      </c>
      <c r="N39">
        <v>1007</v>
      </c>
      <c r="O39" t="s">
        <v>27</v>
      </c>
      <c r="P39" t="s">
        <v>27</v>
      </c>
      <c r="Q39">
        <v>1</v>
      </c>
      <c r="W39">
        <v>0</v>
      </c>
      <c r="X39">
        <v>-862991314</v>
      </c>
      <c r="Y39">
        <v>5.2</v>
      </c>
      <c r="AA39">
        <v>35.28</v>
      </c>
      <c r="AB39">
        <v>0</v>
      </c>
      <c r="AC39">
        <v>0</v>
      </c>
      <c r="AD39">
        <v>0</v>
      </c>
      <c r="AE39">
        <v>7.07</v>
      </c>
      <c r="AF39">
        <v>0</v>
      </c>
      <c r="AG39">
        <v>0</v>
      </c>
      <c r="AH39">
        <v>0</v>
      </c>
      <c r="AI39">
        <v>4.99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5</v>
      </c>
      <c r="AT39">
        <v>5.2</v>
      </c>
      <c r="AU39" t="s">
        <v>5</v>
      </c>
      <c r="AV39">
        <v>0</v>
      </c>
      <c r="AW39">
        <v>2</v>
      </c>
      <c r="AX39">
        <v>49689039</v>
      </c>
      <c r="AY39">
        <v>1</v>
      </c>
      <c r="AZ39">
        <v>0</v>
      </c>
      <c r="BA39">
        <v>41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Y39*Source!I149</f>
        <v>47.32</v>
      </c>
      <c r="CY39">
        <f>AA39</f>
        <v>35.28</v>
      </c>
      <c r="CZ39">
        <f>AE39</f>
        <v>7.07</v>
      </c>
      <c r="DA39">
        <f>AI39</f>
        <v>4.99</v>
      </c>
      <c r="DB39">
        <f t="shared" si="2"/>
        <v>36.76</v>
      </c>
      <c r="DC39">
        <f t="shared" si="3"/>
        <v>0</v>
      </c>
    </row>
    <row r="40" spans="1:107" x14ac:dyDescent="0.2">
      <c r="A40">
        <f>ROW(Source!A149)</f>
        <v>149</v>
      </c>
      <c r="B40">
        <v>49688178</v>
      </c>
      <c r="C40">
        <v>49689030</v>
      </c>
      <c r="D40">
        <v>30541208</v>
      </c>
      <c r="E40">
        <v>30515945</v>
      </c>
      <c r="F40">
        <v>1</v>
      </c>
      <c r="G40">
        <v>30515945</v>
      </c>
      <c r="H40">
        <v>3</v>
      </c>
      <c r="I40" t="s">
        <v>229</v>
      </c>
      <c r="J40" t="s">
        <v>5</v>
      </c>
      <c r="K40" t="s">
        <v>230</v>
      </c>
      <c r="L40">
        <v>1344</v>
      </c>
      <c r="N40">
        <v>1008</v>
      </c>
      <c r="O40" t="s">
        <v>231</v>
      </c>
      <c r="P40" t="s">
        <v>231</v>
      </c>
      <c r="Q40">
        <v>1</v>
      </c>
      <c r="W40">
        <v>0</v>
      </c>
      <c r="X40">
        <v>-94250534</v>
      </c>
      <c r="Y40">
        <v>37.24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5</v>
      </c>
      <c r="AT40">
        <v>37.24</v>
      </c>
      <c r="AU40" t="s">
        <v>5</v>
      </c>
      <c r="AV40">
        <v>0</v>
      </c>
      <c r="AW40">
        <v>2</v>
      </c>
      <c r="AX40">
        <v>49689041</v>
      </c>
      <c r="AY40">
        <v>1</v>
      </c>
      <c r="AZ40">
        <v>0</v>
      </c>
      <c r="BA40">
        <v>43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Y40*Source!I149</f>
        <v>338.88400000000001</v>
      </c>
      <c r="CY40">
        <f>AA40</f>
        <v>1</v>
      </c>
      <c r="CZ40">
        <f>AE40</f>
        <v>1</v>
      </c>
      <c r="DA40">
        <f>AI40</f>
        <v>1</v>
      </c>
      <c r="DB40">
        <f t="shared" si="2"/>
        <v>37.24</v>
      </c>
      <c r="DC40">
        <f t="shared" si="3"/>
        <v>0</v>
      </c>
    </row>
    <row r="41" spans="1:107" x14ac:dyDescent="0.2">
      <c r="A41">
        <f>ROW(Source!A150)</f>
        <v>150</v>
      </c>
      <c r="B41">
        <v>49688178</v>
      </c>
      <c r="C41">
        <v>49689042</v>
      </c>
      <c r="D41">
        <v>30515951</v>
      </c>
      <c r="E41">
        <v>30515945</v>
      </c>
      <c r="F41">
        <v>1</v>
      </c>
      <c r="G41">
        <v>30515945</v>
      </c>
      <c r="H41">
        <v>1</v>
      </c>
      <c r="I41" t="s">
        <v>210</v>
      </c>
      <c r="J41" t="s">
        <v>5</v>
      </c>
      <c r="K41" t="s">
        <v>211</v>
      </c>
      <c r="L41">
        <v>1191</v>
      </c>
      <c r="N41">
        <v>1013</v>
      </c>
      <c r="O41" t="s">
        <v>212</v>
      </c>
      <c r="P41" t="s">
        <v>212</v>
      </c>
      <c r="Q41">
        <v>1</v>
      </c>
      <c r="W41">
        <v>0</v>
      </c>
      <c r="X41">
        <v>476480486</v>
      </c>
      <c r="Y41">
        <v>1.38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5</v>
      </c>
      <c r="AT41">
        <v>1.38</v>
      </c>
      <c r="AU41" t="s">
        <v>5</v>
      </c>
      <c r="AV41">
        <v>1</v>
      </c>
      <c r="AW41">
        <v>2</v>
      </c>
      <c r="AX41">
        <v>49689046</v>
      </c>
      <c r="AY41">
        <v>1</v>
      </c>
      <c r="AZ41">
        <v>0</v>
      </c>
      <c r="BA41">
        <v>44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Y41*Source!I150</f>
        <v>2.3043929999999997</v>
      </c>
      <c r="CY41">
        <f>AD41</f>
        <v>0</v>
      </c>
      <c r="CZ41">
        <f>AH41</f>
        <v>0</v>
      </c>
      <c r="DA41">
        <f>AL41</f>
        <v>1</v>
      </c>
      <c r="DB41">
        <f t="shared" si="2"/>
        <v>0</v>
      </c>
      <c r="DC41">
        <f t="shared" si="3"/>
        <v>0</v>
      </c>
    </row>
    <row r="42" spans="1:107" x14ac:dyDescent="0.2">
      <c r="A42">
        <f>ROW(Source!A150)</f>
        <v>150</v>
      </c>
      <c r="B42">
        <v>49688178</v>
      </c>
      <c r="C42">
        <v>49689042</v>
      </c>
      <c r="D42">
        <v>30595229</v>
      </c>
      <c r="E42">
        <v>1</v>
      </c>
      <c r="F42">
        <v>1</v>
      </c>
      <c r="G42">
        <v>30515945</v>
      </c>
      <c r="H42">
        <v>2</v>
      </c>
      <c r="I42" t="s">
        <v>232</v>
      </c>
      <c r="J42" t="s">
        <v>233</v>
      </c>
      <c r="K42" t="s">
        <v>234</v>
      </c>
      <c r="L42">
        <v>1367</v>
      </c>
      <c r="N42">
        <v>1011</v>
      </c>
      <c r="O42" t="s">
        <v>216</v>
      </c>
      <c r="P42" t="s">
        <v>216</v>
      </c>
      <c r="Q42">
        <v>1</v>
      </c>
      <c r="W42">
        <v>0</v>
      </c>
      <c r="X42">
        <v>781556702</v>
      </c>
      <c r="Y42">
        <v>3.9874999999999998</v>
      </c>
      <c r="AA42">
        <v>0</v>
      </c>
      <c r="AB42">
        <v>1939.68</v>
      </c>
      <c r="AC42">
        <v>846.14</v>
      </c>
      <c r="AD42">
        <v>0</v>
      </c>
      <c r="AE42">
        <v>0</v>
      </c>
      <c r="AF42">
        <v>162.4</v>
      </c>
      <c r="AG42">
        <v>28.6</v>
      </c>
      <c r="AH42">
        <v>0</v>
      </c>
      <c r="AI42">
        <v>1</v>
      </c>
      <c r="AJ42">
        <v>10.02</v>
      </c>
      <c r="AK42">
        <v>24.82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5</v>
      </c>
      <c r="AT42">
        <v>3.9874999999999998</v>
      </c>
      <c r="AU42" t="s">
        <v>5</v>
      </c>
      <c r="AV42">
        <v>0</v>
      </c>
      <c r="AW42">
        <v>2</v>
      </c>
      <c r="AX42">
        <v>49689047</v>
      </c>
      <c r="AY42">
        <v>1</v>
      </c>
      <c r="AZ42">
        <v>0</v>
      </c>
      <c r="BA42">
        <v>45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Y42*Source!I150</f>
        <v>6.6585268749999997</v>
      </c>
      <c r="CY42">
        <f>AB42</f>
        <v>1939.68</v>
      </c>
      <c r="CZ42">
        <f>AF42</f>
        <v>162.4</v>
      </c>
      <c r="DA42">
        <f>AJ42</f>
        <v>10.02</v>
      </c>
      <c r="DB42">
        <f t="shared" si="2"/>
        <v>647.57000000000005</v>
      </c>
      <c r="DC42">
        <f t="shared" si="3"/>
        <v>114.04</v>
      </c>
    </row>
    <row r="43" spans="1:107" x14ac:dyDescent="0.2">
      <c r="A43">
        <f>ROW(Source!A150)</f>
        <v>150</v>
      </c>
      <c r="B43">
        <v>49688178</v>
      </c>
      <c r="C43">
        <v>49689042</v>
      </c>
      <c r="D43">
        <v>30595254</v>
      </c>
      <c r="E43">
        <v>1</v>
      </c>
      <c r="F43">
        <v>1</v>
      </c>
      <c r="G43">
        <v>30515945</v>
      </c>
      <c r="H43">
        <v>2</v>
      </c>
      <c r="I43" t="s">
        <v>235</v>
      </c>
      <c r="J43" t="s">
        <v>236</v>
      </c>
      <c r="K43" t="s">
        <v>237</v>
      </c>
      <c r="L43">
        <v>1367</v>
      </c>
      <c r="N43">
        <v>1011</v>
      </c>
      <c r="O43" t="s">
        <v>216</v>
      </c>
      <c r="P43" t="s">
        <v>216</v>
      </c>
      <c r="Q43">
        <v>1</v>
      </c>
      <c r="W43">
        <v>0</v>
      </c>
      <c r="X43">
        <v>1387947568</v>
      </c>
      <c r="Y43">
        <v>0.997</v>
      </c>
      <c r="AA43">
        <v>0</v>
      </c>
      <c r="AB43">
        <v>1701.67</v>
      </c>
      <c r="AC43">
        <v>523.66</v>
      </c>
      <c r="AD43">
        <v>0</v>
      </c>
      <c r="AE43">
        <v>0</v>
      </c>
      <c r="AF43">
        <v>161.49</v>
      </c>
      <c r="AG43">
        <v>17.7</v>
      </c>
      <c r="AH43">
        <v>0</v>
      </c>
      <c r="AI43">
        <v>1</v>
      </c>
      <c r="AJ43">
        <v>8.84</v>
      </c>
      <c r="AK43">
        <v>24.82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5</v>
      </c>
      <c r="AT43">
        <v>0.997</v>
      </c>
      <c r="AU43" t="s">
        <v>5</v>
      </c>
      <c r="AV43">
        <v>0</v>
      </c>
      <c r="AW43">
        <v>2</v>
      </c>
      <c r="AX43">
        <v>49689048</v>
      </c>
      <c r="AY43">
        <v>1</v>
      </c>
      <c r="AZ43">
        <v>0</v>
      </c>
      <c r="BA43">
        <v>46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Y43*Source!I150</f>
        <v>1.66484045</v>
      </c>
      <c r="CY43">
        <f>AB43</f>
        <v>1701.67</v>
      </c>
      <c r="CZ43">
        <f>AF43</f>
        <v>161.49</v>
      </c>
      <c r="DA43">
        <f>AJ43</f>
        <v>8.84</v>
      </c>
      <c r="DB43">
        <f t="shared" si="2"/>
        <v>161.01</v>
      </c>
      <c r="DC43">
        <f t="shared" si="3"/>
        <v>17.649999999999999</v>
      </c>
    </row>
    <row r="44" spans="1:107" x14ac:dyDescent="0.2">
      <c r="A44">
        <f>ROW(Source!A151)</f>
        <v>151</v>
      </c>
      <c r="B44">
        <v>49688178</v>
      </c>
      <c r="C44">
        <v>49689049</v>
      </c>
      <c r="D44">
        <v>30515951</v>
      </c>
      <c r="E44">
        <v>30515945</v>
      </c>
      <c r="F44">
        <v>1</v>
      </c>
      <c r="G44">
        <v>30515945</v>
      </c>
      <c r="H44">
        <v>1</v>
      </c>
      <c r="I44" t="s">
        <v>210</v>
      </c>
      <c r="J44" t="s">
        <v>5</v>
      </c>
      <c r="K44" t="s">
        <v>211</v>
      </c>
      <c r="L44">
        <v>1191</v>
      </c>
      <c r="N44">
        <v>1013</v>
      </c>
      <c r="O44" t="s">
        <v>212</v>
      </c>
      <c r="P44" t="s">
        <v>212</v>
      </c>
      <c r="Q44">
        <v>1</v>
      </c>
      <c r="W44">
        <v>0</v>
      </c>
      <c r="X44">
        <v>476480486</v>
      </c>
      <c r="Y44">
        <v>10.199999999999999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5</v>
      </c>
      <c r="AT44">
        <v>10.199999999999999</v>
      </c>
      <c r="AU44" t="s">
        <v>5</v>
      </c>
      <c r="AV44">
        <v>1</v>
      </c>
      <c r="AW44">
        <v>2</v>
      </c>
      <c r="AX44">
        <v>49689051</v>
      </c>
      <c r="AY44">
        <v>1</v>
      </c>
      <c r="AZ44">
        <v>0</v>
      </c>
      <c r="BA44">
        <v>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Y44*Source!I151</f>
        <v>170.32469999999998</v>
      </c>
      <c r="CY44">
        <f>AD44</f>
        <v>0</v>
      </c>
      <c r="CZ44">
        <f>AH44</f>
        <v>0</v>
      </c>
      <c r="DA44">
        <f>AL44</f>
        <v>1</v>
      </c>
      <c r="DB44">
        <f t="shared" si="2"/>
        <v>0</v>
      </c>
      <c r="DC44">
        <f t="shared" si="3"/>
        <v>0</v>
      </c>
    </row>
    <row r="45" spans="1:107" x14ac:dyDescent="0.2">
      <c r="A45">
        <f>ROW(Source!A187)</f>
        <v>187</v>
      </c>
      <c r="B45">
        <v>49688178</v>
      </c>
      <c r="C45">
        <v>49689052</v>
      </c>
      <c r="D45">
        <v>30515951</v>
      </c>
      <c r="E45">
        <v>30515945</v>
      </c>
      <c r="F45">
        <v>1</v>
      </c>
      <c r="G45">
        <v>30515945</v>
      </c>
      <c r="H45">
        <v>1</v>
      </c>
      <c r="I45" t="s">
        <v>210</v>
      </c>
      <c r="J45" t="s">
        <v>5</v>
      </c>
      <c r="K45" t="s">
        <v>211</v>
      </c>
      <c r="L45">
        <v>1191</v>
      </c>
      <c r="N45">
        <v>1013</v>
      </c>
      <c r="O45" t="s">
        <v>212</v>
      </c>
      <c r="P45" t="s">
        <v>212</v>
      </c>
      <c r="Q45">
        <v>1</v>
      </c>
      <c r="W45">
        <v>0</v>
      </c>
      <c r="X45">
        <v>476480486</v>
      </c>
      <c r="Y45">
        <v>15.31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5</v>
      </c>
      <c r="AT45">
        <v>15.31</v>
      </c>
      <c r="AU45" t="s">
        <v>5</v>
      </c>
      <c r="AV45">
        <v>1</v>
      </c>
      <c r="AW45">
        <v>2</v>
      </c>
      <c r="AX45">
        <v>49689055</v>
      </c>
      <c r="AY45">
        <v>1</v>
      </c>
      <c r="AZ45">
        <v>0</v>
      </c>
      <c r="BA45">
        <v>48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Y45*Source!I187</f>
        <v>4.593</v>
      </c>
      <c r="CY45">
        <f>AD45</f>
        <v>0</v>
      </c>
      <c r="CZ45">
        <f>AH45</f>
        <v>0</v>
      </c>
      <c r="DA45">
        <f>AL45</f>
        <v>1</v>
      </c>
      <c r="DB45">
        <f t="shared" si="2"/>
        <v>0</v>
      </c>
      <c r="DC45">
        <f t="shared" si="3"/>
        <v>0</v>
      </c>
    </row>
    <row r="46" spans="1:107" x14ac:dyDescent="0.2">
      <c r="A46">
        <f>ROW(Source!A187)</f>
        <v>187</v>
      </c>
      <c r="B46">
        <v>49688178</v>
      </c>
      <c r="C46">
        <v>49689052</v>
      </c>
      <c r="D46">
        <v>30595243</v>
      </c>
      <c r="E46">
        <v>1</v>
      </c>
      <c r="F46">
        <v>1</v>
      </c>
      <c r="G46">
        <v>30515945</v>
      </c>
      <c r="H46">
        <v>2</v>
      </c>
      <c r="I46" t="s">
        <v>213</v>
      </c>
      <c r="J46" t="s">
        <v>214</v>
      </c>
      <c r="K46" t="s">
        <v>215</v>
      </c>
      <c r="L46">
        <v>1367</v>
      </c>
      <c r="N46">
        <v>1011</v>
      </c>
      <c r="O46" t="s">
        <v>216</v>
      </c>
      <c r="P46" t="s">
        <v>216</v>
      </c>
      <c r="Q46">
        <v>1</v>
      </c>
      <c r="W46">
        <v>0</v>
      </c>
      <c r="X46">
        <v>-1659124929</v>
      </c>
      <c r="Y46">
        <v>1.21</v>
      </c>
      <c r="AA46">
        <v>0</v>
      </c>
      <c r="AB46">
        <v>887.02</v>
      </c>
      <c r="AC46">
        <v>542.34</v>
      </c>
      <c r="AD46">
        <v>0</v>
      </c>
      <c r="AE46">
        <v>0</v>
      </c>
      <c r="AF46">
        <v>80</v>
      </c>
      <c r="AG46">
        <v>20.87</v>
      </c>
      <c r="AH46">
        <v>0</v>
      </c>
      <c r="AI46">
        <v>1</v>
      </c>
      <c r="AJ46">
        <v>10.59</v>
      </c>
      <c r="AK46">
        <v>24.82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5</v>
      </c>
      <c r="AT46">
        <v>1.21</v>
      </c>
      <c r="AU46" t="s">
        <v>5</v>
      </c>
      <c r="AV46">
        <v>0</v>
      </c>
      <c r="AW46">
        <v>2</v>
      </c>
      <c r="AX46">
        <v>49689056</v>
      </c>
      <c r="AY46">
        <v>1</v>
      </c>
      <c r="AZ46">
        <v>0</v>
      </c>
      <c r="BA46">
        <v>49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Y46*Source!I187</f>
        <v>0.36299999999999999</v>
      </c>
      <c r="CY46">
        <f>AB46</f>
        <v>887.02</v>
      </c>
      <c r="CZ46">
        <f>AF46</f>
        <v>80</v>
      </c>
      <c r="DA46">
        <f>AJ46</f>
        <v>10.59</v>
      </c>
      <c r="DB46">
        <f t="shared" si="2"/>
        <v>96.8</v>
      </c>
      <c r="DC46">
        <f t="shared" si="3"/>
        <v>25.25</v>
      </c>
    </row>
    <row r="47" spans="1:107" x14ac:dyDescent="0.2">
      <c r="A47">
        <f>ROW(Source!A188)</f>
        <v>188</v>
      </c>
      <c r="B47">
        <v>49688178</v>
      </c>
      <c r="C47">
        <v>49689057</v>
      </c>
      <c r="D47">
        <v>30515951</v>
      </c>
      <c r="E47">
        <v>30515945</v>
      </c>
      <c r="F47">
        <v>1</v>
      </c>
      <c r="G47">
        <v>30515945</v>
      </c>
      <c r="H47">
        <v>1</v>
      </c>
      <c r="I47" t="s">
        <v>210</v>
      </c>
      <c r="J47" t="s">
        <v>5</v>
      </c>
      <c r="K47" t="s">
        <v>211</v>
      </c>
      <c r="L47">
        <v>1191</v>
      </c>
      <c r="N47">
        <v>1013</v>
      </c>
      <c r="O47" t="s">
        <v>212</v>
      </c>
      <c r="P47" t="s">
        <v>212</v>
      </c>
      <c r="Q47">
        <v>1</v>
      </c>
      <c r="W47">
        <v>0</v>
      </c>
      <c r="X47">
        <v>476480486</v>
      </c>
      <c r="Y47">
        <v>43.21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5</v>
      </c>
      <c r="AT47">
        <v>43.21</v>
      </c>
      <c r="AU47" t="s">
        <v>5</v>
      </c>
      <c r="AV47">
        <v>1</v>
      </c>
      <c r="AW47">
        <v>2</v>
      </c>
      <c r="AX47">
        <v>49689059</v>
      </c>
      <c r="AY47">
        <v>1</v>
      </c>
      <c r="AZ47">
        <v>0</v>
      </c>
      <c r="BA47">
        <v>50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Y47*Source!I188</f>
        <v>4.3210000000000006</v>
      </c>
      <c r="CY47">
        <f>AD47</f>
        <v>0</v>
      </c>
      <c r="CZ47">
        <f>AH47</f>
        <v>0</v>
      </c>
      <c r="DA47">
        <f>AL47</f>
        <v>1</v>
      </c>
      <c r="DB47">
        <f t="shared" si="2"/>
        <v>0</v>
      </c>
      <c r="DC47">
        <f t="shared" si="3"/>
        <v>0</v>
      </c>
    </row>
    <row r="48" spans="1:107" x14ac:dyDescent="0.2">
      <c r="A48">
        <f>ROW(Source!A189)</f>
        <v>189</v>
      </c>
      <c r="B48">
        <v>49688178</v>
      </c>
      <c r="C48">
        <v>49689060</v>
      </c>
      <c r="D48">
        <v>30515951</v>
      </c>
      <c r="E48">
        <v>30515945</v>
      </c>
      <c r="F48">
        <v>1</v>
      </c>
      <c r="G48">
        <v>30515945</v>
      </c>
      <c r="H48">
        <v>1</v>
      </c>
      <c r="I48" t="s">
        <v>210</v>
      </c>
      <c r="J48" t="s">
        <v>5</v>
      </c>
      <c r="K48" t="s">
        <v>211</v>
      </c>
      <c r="L48">
        <v>1191</v>
      </c>
      <c r="N48">
        <v>1013</v>
      </c>
      <c r="O48" t="s">
        <v>212</v>
      </c>
      <c r="P48" t="s">
        <v>212</v>
      </c>
      <c r="Q48">
        <v>1</v>
      </c>
      <c r="W48">
        <v>0</v>
      </c>
      <c r="X48">
        <v>476480486</v>
      </c>
      <c r="Y48">
        <v>47.6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5</v>
      </c>
      <c r="AT48">
        <v>47.6</v>
      </c>
      <c r="AU48" t="s">
        <v>5</v>
      </c>
      <c r="AV48">
        <v>1</v>
      </c>
      <c r="AW48">
        <v>2</v>
      </c>
      <c r="AX48">
        <v>49689066</v>
      </c>
      <c r="AY48">
        <v>1</v>
      </c>
      <c r="AZ48">
        <v>0</v>
      </c>
      <c r="BA48">
        <v>51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Y48*Source!I189</f>
        <v>19.040000000000003</v>
      </c>
      <c r="CY48">
        <f>AD48</f>
        <v>0</v>
      </c>
      <c r="CZ48">
        <f>AH48</f>
        <v>0</v>
      </c>
      <c r="DA48">
        <f>AL48</f>
        <v>1</v>
      </c>
      <c r="DB48">
        <f t="shared" si="2"/>
        <v>0</v>
      </c>
      <c r="DC48">
        <f t="shared" si="3"/>
        <v>0</v>
      </c>
    </row>
    <row r="49" spans="1:107" x14ac:dyDescent="0.2">
      <c r="A49">
        <f>ROW(Source!A189)</f>
        <v>189</v>
      </c>
      <c r="B49">
        <v>49688178</v>
      </c>
      <c r="C49">
        <v>49689060</v>
      </c>
      <c r="D49">
        <v>30595321</v>
      </c>
      <c r="E49">
        <v>1</v>
      </c>
      <c r="F49">
        <v>1</v>
      </c>
      <c r="G49">
        <v>30515945</v>
      </c>
      <c r="H49">
        <v>2</v>
      </c>
      <c r="I49" t="s">
        <v>220</v>
      </c>
      <c r="J49" t="s">
        <v>221</v>
      </c>
      <c r="K49" t="s">
        <v>222</v>
      </c>
      <c r="L49">
        <v>1367</v>
      </c>
      <c r="N49">
        <v>1011</v>
      </c>
      <c r="O49" t="s">
        <v>216</v>
      </c>
      <c r="P49" t="s">
        <v>216</v>
      </c>
      <c r="Q49">
        <v>1</v>
      </c>
      <c r="W49">
        <v>0</v>
      </c>
      <c r="X49">
        <v>-266174272</v>
      </c>
      <c r="Y49">
        <v>1.79</v>
      </c>
      <c r="AA49">
        <v>0</v>
      </c>
      <c r="AB49">
        <v>1677.19</v>
      </c>
      <c r="AC49">
        <v>471.66</v>
      </c>
      <c r="AD49">
        <v>0</v>
      </c>
      <c r="AE49">
        <v>0</v>
      </c>
      <c r="AF49">
        <v>190.93</v>
      </c>
      <c r="AG49">
        <v>18.149999999999999</v>
      </c>
      <c r="AH49">
        <v>0</v>
      </c>
      <c r="AI49">
        <v>1</v>
      </c>
      <c r="AJ49">
        <v>8.39</v>
      </c>
      <c r="AK49">
        <v>24.82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5</v>
      </c>
      <c r="AT49">
        <v>1.79</v>
      </c>
      <c r="AU49" t="s">
        <v>5</v>
      </c>
      <c r="AV49">
        <v>0</v>
      </c>
      <c r="AW49">
        <v>2</v>
      </c>
      <c r="AX49">
        <v>49689067</v>
      </c>
      <c r="AY49">
        <v>1</v>
      </c>
      <c r="AZ49">
        <v>0</v>
      </c>
      <c r="BA49">
        <v>52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Y49*Source!I189</f>
        <v>0.71600000000000008</v>
      </c>
      <c r="CY49">
        <f>AB49</f>
        <v>1677.19</v>
      </c>
      <c r="CZ49">
        <f>AF49</f>
        <v>190.93</v>
      </c>
      <c r="DA49">
        <f>AJ49</f>
        <v>8.39</v>
      </c>
      <c r="DB49">
        <f t="shared" si="2"/>
        <v>341.76</v>
      </c>
      <c r="DC49">
        <f t="shared" si="3"/>
        <v>32.49</v>
      </c>
    </row>
    <row r="50" spans="1:107" x14ac:dyDescent="0.2">
      <c r="A50">
        <f>ROW(Source!A189)</f>
        <v>189</v>
      </c>
      <c r="B50">
        <v>49688178</v>
      </c>
      <c r="C50">
        <v>49689060</v>
      </c>
      <c r="D50">
        <v>30595500</v>
      </c>
      <c r="E50">
        <v>1</v>
      </c>
      <c r="F50">
        <v>1</v>
      </c>
      <c r="G50">
        <v>30515945</v>
      </c>
      <c r="H50">
        <v>2</v>
      </c>
      <c r="I50" t="s">
        <v>223</v>
      </c>
      <c r="J50" t="s">
        <v>224</v>
      </c>
      <c r="K50" t="s">
        <v>225</v>
      </c>
      <c r="L50">
        <v>1367</v>
      </c>
      <c r="N50">
        <v>1011</v>
      </c>
      <c r="O50" t="s">
        <v>216</v>
      </c>
      <c r="P50" t="s">
        <v>216</v>
      </c>
      <c r="Q50">
        <v>1</v>
      </c>
      <c r="W50">
        <v>0</v>
      </c>
      <c r="X50">
        <v>366114799</v>
      </c>
      <c r="Y50">
        <v>1.47</v>
      </c>
      <c r="AA50">
        <v>0</v>
      </c>
      <c r="AB50">
        <v>2063.61</v>
      </c>
      <c r="AC50">
        <v>347.44</v>
      </c>
      <c r="AD50">
        <v>0</v>
      </c>
      <c r="AE50">
        <v>0</v>
      </c>
      <c r="AF50">
        <v>246.68</v>
      </c>
      <c r="AG50">
        <v>13.37</v>
      </c>
      <c r="AH50">
        <v>0</v>
      </c>
      <c r="AI50">
        <v>1</v>
      </c>
      <c r="AJ50">
        <v>7.99</v>
      </c>
      <c r="AK50">
        <v>24.82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5</v>
      </c>
      <c r="AT50">
        <v>1.47</v>
      </c>
      <c r="AU50" t="s">
        <v>5</v>
      </c>
      <c r="AV50">
        <v>0</v>
      </c>
      <c r="AW50">
        <v>2</v>
      </c>
      <c r="AX50">
        <v>49689068</v>
      </c>
      <c r="AY50">
        <v>1</v>
      </c>
      <c r="AZ50">
        <v>0</v>
      </c>
      <c r="BA50">
        <v>53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Y50*Source!I189</f>
        <v>0.58799999999999997</v>
      </c>
      <c r="CY50">
        <f>AB50</f>
        <v>2063.61</v>
      </c>
      <c r="CZ50">
        <f>AF50</f>
        <v>246.68</v>
      </c>
      <c r="DA50">
        <f>AJ50</f>
        <v>7.99</v>
      </c>
      <c r="DB50">
        <f t="shared" si="2"/>
        <v>362.62</v>
      </c>
      <c r="DC50">
        <f t="shared" si="3"/>
        <v>19.649999999999999</v>
      </c>
    </row>
    <row r="51" spans="1:107" x14ac:dyDescent="0.2">
      <c r="A51">
        <f>ROW(Source!A189)</f>
        <v>189</v>
      </c>
      <c r="B51">
        <v>49688178</v>
      </c>
      <c r="C51">
        <v>49689060</v>
      </c>
      <c r="D51">
        <v>30571181</v>
      </c>
      <c r="E51">
        <v>1</v>
      </c>
      <c r="F51">
        <v>1</v>
      </c>
      <c r="G51">
        <v>30515945</v>
      </c>
      <c r="H51">
        <v>3</v>
      </c>
      <c r="I51" t="s">
        <v>226</v>
      </c>
      <c r="J51" t="s">
        <v>227</v>
      </c>
      <c r="K51" t="s">
        <v>228</v>
      </c>
      <c r="L51">
        <v>1339</v>
      </c>
      <c r="N51">
        <v>1007</v>
      </c>
      <c r="O51" t="s">
        <v>27</v>
      </c>
      <c r="P51" t="s">
        <v>27</v>
      </c>
      <c r="Q51">
        <v>1</v>
      </c>
      <c r="W51">
        <v>0</v>
      </c>
      <c r="X51">
        <v>-862991314</v>
      </c>
      <c r="Y51">
        <v>5.2</v>
      </c>
      <c r="AA51">
        <v>35.28</v>
      </c>
      <c r="AB51">
        <v>0</v>
      </c>
      <c r="AC51">
        <v>0</v>
      </c>
      <c r="AD51">
        <v>0</v>
      </c>
      <c r="AE51">
        <v>7.07</v>
      </c>
      <c r="AF51">
        <v>0</v>
      </c>
      <c r="AG51">
        <v>0</v>
      </c>
      <c r="AH51">
        <v>0</v>
      </c>
      <c r="AI51">
        <v>4.99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5</v>
      </c>
      <c r="AT51">
        <v>5.2</v>
      </c>
      <c r="AU51" t="s">
        <v>5</v>
      </c>
      <c r="AV51">
        <v>0</v>
      </c>
      <c r="AW51">
        <v>2</v>
      </c>
      <c r="AX51">
        <v>49689069</v>
      </c>
      <c r="AY51">
        <v>1</v>
      </c>
      <c r="AZ51">
        <v>0</v>
      </c>
      <c r="BA51">
        <v>54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Y51*Source!I189</f>
        <v>2.08</v>
      </c>
      <c r="CY51">
        <f>AA51</f>
        <v>35.28</v>
      </c>
      <c r="CZ51">
        <f>AE51</f>
        <v>7.07</v>
      </c>
      <c r="DA51">
        <f>AI51</f>
        <v>4.99</v>
      </c>
      <c r="DB51">
        <f t="shared" si="2"/>
        <v>36.76</v>
      </c>
      <c r="DC51">
        <f t="shared" si="3"/>
        <v>0</v>
      </c>
    </row>
    <row r="52" spans="1:107" x14ac:dyDescent="0.2">
      <c r="A52">
        <f>ROW(Source!A189)</f>
        <v>189</v>
      </c>
      <c r="B52">
        <v>49688178</v>
      </c>
      <c r="C52">
        <v>49689060</v>
      </c>
      <c r="D52">
        <v>30541208</v>
      </c>
      <c r="E52">
        <v>30515945</v>
      </c>
      <c r="F52">
        <v>1</v>
      </c>
      <c r="G52">
        <v>30515945</v>
      </c>
      <c r="H52">
        <v>3</v>
      </c>
      <c r="I52" t="s">
        <v>229</v>
      </c>
      <c r="J52" t="s">
        <v>5</v>
      </c>
      <c r="K52" t="s">
        <v>230</v>
      </c>
      <c r="L52">
        <v>1344</v>
      </c>
      <c r="N52">
        <v>1008</v>
      </c>
      <c r="O52" t="s">
        <v>231</v>
      </c>
      <c r="P52" t="s">
        <v>231</v>
      </c>
      <c r="Q52">
        <v>1</v>
      </c>
      <c r="W52">
        <v>0</v>
      </c>
      <c r="X52">
        <v>-94250534</v>
      </c>
      <c r="Y52">
        <v>37.24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5</v>
      </c>
      <c r="AT52">
        <v>37.24</v>
      </c>
      <c r="AU52" t="s">
        <v>5</v>
      </c>
      <c r="AV52">
        <v>0</v>
      </c>
      <c r="AW52">
        <v>2</v>
      </c>
      <c r="AX52">
        <v>49689071</v>
      </c>
      <c r="AY52">
        <v>1</v>
      </c>
      <c r="AZ52">
        <v>0</v>
      </c>
      <c r="BA52">
        <v>56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Y52*Source!I189</f>
        <v>14.896000000000001</v>
      </c>
      <c r="CY52">
        <f>AA52</f>
        <v>1</v>
      </c>
      <c r="CZ52">
        <f>AE52</f>
        <v>1</v>
      </c>
      <c r="DA52">
        <f>AI52</f>
        <v>1</v>
      </c>
      <c r="DB52">
        <f t="shared" si="2"/>
        <v>37.24</v>
      </c>
      <c r="DC52">
        <f t="shared" si="3"/>
        <v>0</v>
      </c>
    </row>
    <row r="53" spans="1:107" x14ac:dyDescent="0.2">
      <c r="A53">
        <f>ROW(Source!A225)</f>
        <v>225</v>
      </c>
      <c r="B53">
        <v>49688178</v>
      </c>
      <c r="C53">
        <v>49689072</v>
      </c>
      <c r="D53">
        <v>30515951</v>
      </c>
      <c r="E53">
        <v>30515945</v>
      </c>
      <c r="F53">
        <v>1</v>
      </c>
      <c r="G53">
        <v>30515945</v>
      </c>
      <c r="H53">
        <v>1</v>
      </c>
      <c r="I53" t="s">
        <v>210</v>
      </c>
      <c r="J53" t="s">
        <v>5</v>
      </c>
      <c r="K53" t="s">
        <v>211</v>
      </c>
      <c r="L53">
        <v>1191</v>
      </c>
      <c r="N53">
        <v>1013</v>
      </c>
      <c r="O53" t="s">
        <v>212</v>
      </c>
      <c r="P53" t="s">
        <v>212</v>
      </c>
      <c r="Q53">
        <v>1</v>
      </c>
      <c r="W53">
        <v>0</v>
      </c>
      <c r="X53">
        <v>476480486</v>
      </c>
      <c r="Y53">
        <v>1.96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 t="s">
        <v>5</v>
      </c>
      <c r="AT53">
        <v>0.49</v>
      </c>
      <c r="AU53" t="s">
        <v>121</v>
      </c>
      <c r="AV53">
        <v>1</v>
      </c>
      <c r="AW53">
        <v>2</v>
      </c>
      <c r="AX53">
        <v>49689076</v>
      </c>
      <c r="AY53">
        <v>1</v>
      </c>
      <c r="AZ53">
        <v>0</v>
      </c>
      <c r="BA53">
        <v>57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Y53*Source!I225</f>
        <v>19.316388</v>
      </c>
      <c r="CY53">
        <f>AD53</f>
        <v>0</v>
      </c>
      <c r="CZ53">
        <f>AH53</f>
        <v>0</v>
      </c>
      <c r="DA53">
        <f>AL53</f>
        <v>1</v>
      </c>
      <c r="DB53">
        <f>ROUND((ROUND(AT53*CZ53,2)*4),6)</f>
        <v>0</v>
      </c>
      <c r="DC53">
        <f>ROUND((ROUND(AT53*AG53,2)*4),6)</f>
        <v>0</v>
      </c>
    </row>
    <row r="54" spans="1:107" x14ac:dyDescent="0.2">
      <c r="A54">
        <f>ROW(Source!A225)</f>
        <v>225</v>
      </c>
      <c r="B54">
        <v>49688178</v>
      </c>
      <c r="C54">
        <v>49689072</v>
      </c>
      <c r="D54">
        <v>30595500</v>
      </c>
      <c r="E54">
        <v>1</v>
      </c>
      <c r="F54">
        <v>1</v>
      </c>
      <c r="G54">
        <v>30515945</v>
      </c>
      <c r="H54">
        <v>2</v>
      </c>
      <c r="I54" t="s">
        <v>223</v>
      </c>
      <c r="J54" t="s">
        <v>224</v>
      </c>
      <c r="K54" t="s">
        <v>225</v>
      </c>
      <c r="L54">
        <v>1367</v>
      </c>
      <c r="N54">
        <v>1011</v>
      </c>
      <c r="O54" t="s">
        <v>216</v>
      </c>
      <c r="P54" t="s">
        <v>216</v>
      </c>
      <c r="Q54">
        <v>1</v>
      </c>
      <c r="W54">
        <v>0</v>
      </c>
      <c r="X54">
        <v>366114799</v>
      </c>
      <c r="Y54">
        <v>0.96</v>
      </c>
      <c r="AA54">
        <v>0</v>
      </c>
      <c r="AB54">
        <v>1970.97</v>
      </c>
      <c r="AC54">
        <v>331.84</v>
      </c>
      <c r="AD54">
        <v>0</v>
      </c>
      <c r="AE54">
        <v>0</v>
      </c>
      <c r="AF54">
        <v>246.68</v>
      </c>
      <c r="AG54">
        <v>13.37</v>
      </c>
      <c r="AH54">
        <v>0</v>
      </c>
      <c r="AI54">
        <v>1</v>
      </c>
      <c r="AJ54">
        <v>7.99</v>
      </c>
      <c r="AK54">
        <v>24.82</v>
      </c>
      <c r="AL54">
        <v>1</v>
      </c>
      <c r="AN54">
        <v>0</v>
      </c>
      <c r="AO54">
        <v>1</v>
      </c>
      <c r="AP54">
        <v>1</v>
      </c>
      <c r="AQ54">
        <v>0</v>
      </c>
      <c r="AR54">
        <v>0</v>
      </c>
      <c r="AS54" t="s">
        <v>5</v>
      </c>
      <c r="AT54">
        <v>0.24</v>
      </c>
      <c r="AU54" t="s">
        <v>121</v>
      </c>
      <c r="AV54">
        <v>0</v>
      </c>
      <c r="AW54">
        <v>2</v>
      </c>
      <c r="AX54">
        <v>49689077</v>
      </c>
      <c r="AY54">
        <v>1</v>
      </c>
      <c r="AZ54">
        <v>0</v>
      </c>
      <c r="BA54">
        <v>58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Y54*Source!I225</f>
        <v>9.4610880000000002</v>
      </c>
      <c r="CY54">
        <f>AB54</f>
        <v>1970.97</v>
      </c>
      <c r="CZ54">
        <f>AF54</f>
        <v>246.68</v>
      </c>
      <c r="DA54">
        <f>AJ54</f>
        <v>7.99</v>
      </c>
      <c r="DB54">
        <f>ROUND((ROUND(AT54*CZ54,2)*4),6)</f>
        <v>236.8</v>
      </c>
      <c r="DC54">
        <f>ROUND((ROUND(AT54*AG54,2)*4),6)</f>
        <v>12.84</v>
      </c>
    </row>
    <row r="55" spans="1:107" x14ac:dyDescent="0.2">
      <c r="A55">
        <f>ROW(Source!A225)</f>
        <v>225</v>
      </c>
      <c r="B55">
        <v>49688178</v>
      </c>
      <c r="C55">
        <v>49689072</v>
      </c>
      <c r="D55">
        <v>30571181</v>
      </c>
      <c r="E55">
        <v>1</v>
      </c>
      <c r="F55">
        <v>1</v>
      </c>
      <c r="G55">
        <v>30515945</v>
      </c>
      <c r="H55">
        <v>3</v>
      </c>
      <c r="I55" t="s">
        <v>226</v>
      </c>
      <c r="J55" t="s">
        <v>227</v>
      </c>
      <c r="K55" t="s">
        <v>228</v>
      </c>
      <c r="L55">
        <v>1339</v>
      </c>
      <c r="N55">
        <v>1007</v>
      </c>
      <c r="O55" t="s">
        <v>27</v>
      </c>
      <c r="P55" t="s">
        <v>27</v>
      </c>
      <c r="Q55">
        <v>1</v>
      </c>
      <c r="W55">
        <v>0</v>
      </c>
      <c r="X55">
        <v>-862991314</v>
      </c>
      <c r="Y55">
        <v>4</v>
      </c>
      <c r="AA55">
        <v>35.28</v>
      </c>
      <c r="AB55">
        <v>0</v>
      </c>
      <c r="AC55">
        <v>0</v>
      </c>
      <c r="AD55">
        <v>0</v>
      </c>
      <c r="AE55">
        <v>7.07</v>
      </c>
      <c r="AF55">
        <v>0</v>
      </c>
      <c r="AG55">
        <v>0</v>
      </c>
      <c r="AH55">
        <v>0</v>
      </c>
      <c r="AI55">
        <v>4.99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S55" t="s">
        <v>5</v>
      </c>
      <c r="AT55">
        <v>1</v>
      </c>
      <c r="AU55" t="s">
        <v>121</v>
      </c>
      <c r="AV55">
        <v>0</v>
      </c>
      <c r="AW55">
        <v>2</v>
      </c>
      <c r="AX55">
        <v>49689078</v>
      </c>
      <c r="AY55">
        <v>1</v>
      </c>
      <c r="AZ55">
        <v>0</v>
      </c>
      <c r="BA55">
        <v>59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Y55*Source!I225</f>
        <v>39.421199999999999</v>
      </c>
      <c r="CY55">
        <f>AA55</f>
        <v>35.28</v>
      </c>
      <c r="CZ55">
        <f>AE55</f>
        <v>7.07</v>
      </c>
      <c r="DA55">
        <f>AI55</f>
        <v>4.99</v>
      </c>
      <c r="DB55">
        <f>ROUND((ROUND(AT55*CZ55,2)*4),6)</f>
        <v>28.28</v>
      </c>
      <c r="DC55">
        <f>ROUND((ROUND(AT55*AG55,2)*4),6)</f>
        <v>0</v>
      </c>
    </row>
    <row r="56" spans="1:107" x14ac:dyDescent="0.2">
      <c r="A56">
        <f>ROW(Source!A226)</f>
        <v>226</v>
      </c>
      <c r="B56">
        <v>49688178</v>
      </c>
      <c r="C56">
        <v>49689079</v>
      </c>
      <c r="D56">
        <v>30515951</v>
      </c>
      <c r="E56">
        <v>30515945</v>
      </c>
      <c r="F56">
        <v>1</v>
      </c>
      <c r="G56">
        <v>30515945</v>
      </c>
      <c r="H56">
        <v>1</v>
      </c>
      <c r="I56" t="s">
        <v>210</v>
      </c>
      <c r="J56" t="s">
        <v>5</v>
      </c>
      <c r="K56" t="s">
        <v>211</v>
      </c>
      <c r="L56">
        <v>1191</v>
      </c>
      <c r="N56">
        <v>1013</v>
      </c>
      <c r="O56" t="s">
        <v>212</v>
      </c>
      <c r="P56" t="s">
        <v>212</v>
      </c>
      <c r="Q56">
        <v>1</v>
      </c>
      <c r="W56">
        <v>0</v>
      </c>
      <c r="X56">
        <v>476480486</v>
      </c>
      <c r="Y56">
        <v>26.36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1</v>
      </c>
      <c r="AQ56">
        <v>0</v>
      </c>
      <c r="AR56">
        <v>0</v>
      </c>
      <c r="AS56" t="s">
        <v>5</v>
      </c>
      <c r="AT56">
        <v>6.59</v>
      </c>
      <c r="AU56" t="s">
        <v>121</v>
      </c>
      <c r="AV56">
        <v>1</v>
      </c>
      <c r="AW56">
        <v>2</v>
      </c>
      <c r="AX56">
        <v>49689081</v>
      </c>
      <c r="AY56">
        <v>1</v>
      </c>
      <c r="AZ56">
        <v>0</v>
      </c>
      <c r="BA56">
        <v>60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Y56*Source!I226</f>
        <v>86.595236</v>
      </c>
      <c r="CY56">
        <f>AD56</f>
        <v>0</v>
      </c>
      <c r="CZ56">
        <f>AH56</f>
        <v>0</v>
      </c>
      <c r="DA56">
        <f>AL56</f>
        <v>1</v>
      </c>
      <c r="DB56">
        <f>ROUND((ROUND(AT56*CZ56,2)*4),6)</f>
        <v>0</v>
      </c>
      <c r="DC56">
        <f>ROUND((ROUND(AT56*AG56,2)*4),6)</f>
        <v>0</v>
      </c>
    </row>
    <row r="57" spans="1:107" x14ac:dyDescent="0.2">
      <c r="A57">
        <f>ROW(Source!A298)</f>
        <v>298</v>
      </c>
      <c r="B57">
        <v>49688178</v>
      </c>
      <c r="C57">
        <v>49689082</v>
      </c>
      <c r="D57">
        <v>31070581</v>
      </c>
      <c r="E57">
        <v>1</v>
      </c>
      <c r="F57">
        <v>1</v>
      </c>
      <c r="G57">
        <v>30515945</v>
      </c>
      <c r="H57">
        <v>2</v>
      </c>
      <c r="I57" t="s">
        <v>238</v>
      </c>
      <c r="J57" t="s">
        <v>239</v>
      </c>
      <c r="K57" t="s">
        <v>240</v>
      </c>
      <c r="L57">
        <v>1367</v>
      </c>
      <c r="N57">
        <v>1011</v>
      </c>
      <c r="O57" t="s">
        <v>216</v>
      </c>
      <c r="P57" t="s">
        <v>216</v>
      </c>
      <c r="Q57">
        <v>1</v>
      </c>
      <c r="W57">
        <v>0</v>
      </c>
      <c r="X57">
        <v>-1897129346</v>
      </c>
      <c r="Y57">
        <v>1</v>
      </c>
      <c r="AA57">
        <v>0</v>
      </c>
      <c r="AB57">
        <v>1399.94</v>
      </c>
      <c r="AC57">
        <v>419.95</v>
      </c>
      <c r="AD57">
        <v>0</v>
      </c>
      <c r="AE57">
        <v>0</v>
      </c>
      <c r="AF57">
        <v>162.03</v>
      </c>
      <c r="AG57">
        <v>16.920000000000002</v>
      </c>
      <c r="AH57">
        <v>0</v>
      </c>
      <c r="AI57">
        <v>1</v>
      </c>
      <c r="AJ57">
        <v>8.64</v>
      </c>
      <c r="AK57">
        <v>24.82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5</v>
      </c>
      <c r="AT57">
        <v>1</v>
      </c>
      <c r="AU57" t="s">
        <v>5</v>
      </c>
      <c r="AV57">
        <v>0</v>
      </c>
      <c r="AW57">
        <v>2</v>
      </c>
      <c r="AX57">
        <v>49689889</v>
      </c>
      <c r="AY57">
        <v>1</v>
      </c>
      <c r="AZ57">
        <v>0</v>
      </c>
      <c r="BA57">
        <v>61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Y57*Source!I298</f>
        <v>21497</v>
      </c>
      <c r="CY57">
        <f>AB57</f>
        <v>1399.94</v>
      </c>
      <c r="CZ57">
        <f>AF57</f>
        <v>162.03</v>
      </c>
      <c r="DA57">
        <f>AJ57</f>
        <v>8.64</v>
      </c>
      <c r="DB57">
        <f>ROUND(ROUND(AT57*CZ57,2),6)</f>
        <v>162.03</v>
      </c>
      <c r="DC57">
        <f>ROUND(ROUND(AT57*AG57,2),6)</f>
        <v>16.920000000000002</v>
      </c>
    </row>
    <row r="58" spans="1:107" x14ac:dyDescent="0.2">
      <c r="A58">
        <f>ROW(Source!A334)</f>
        <v>334</v>
      </c>
      <c r="B58">
        <v>49688178</v>
      </c>
      <c r="C58">
        <v>49689085</v>
      </c>
      <c r="D58">
        <v>31070581</v>
      </c>
      <c r="E58">
        <v>1</v>
      </c>
      <c r="F58">
        <v>1</v>
      </c>
      <c r="G58">
        <v>30515945</v>
      </c>
      <c r="H58">
        <v>2</v>
      </c>
      <c r="I58" t="s">
        <v>238</v>
      </c>
      <c r="J58" t="s">
        <v>239</v>
      </c>
      <c r="K58" t="s">
        <v>240</v>
      </c>
      <c r="L58">
        <v>1367</v>
      </c>
      <c r="N58">
        <v>1011</v>
      </c>
      <c r="O58" t="s">
        <v>216</v>
      </c>
      <c r="P58" t="s">
        <v>216</v>
      </c>
      <c r="Q58">
        <v>1</v>
      </c>
      <c r="W58">
        <v>0</v>
      </c>
      <c r="X58">
        <v>-1897129346</v>
      </c>
      <c r="Y58">
        <v>1</v>
      </c>
      <c r="AA58">
        <v>0</v>
      </c>
      <c r="AB58">
        <v>1399.94</v>
      </c>
      <c r="AC58">
        <v>419.95</v>
      </c>
      <c r="AD58">
        <v>0</v>
      </c>
      <c r="AE58">
        <v>0</v>
      </c>
      <c r="AF58">
        <v>162.03</v>
      </c>
      <c r="AG58">
        <v>16.920000000000002</v>
      </c>
      <c r="AH58">
        <v>0</v>
      </c>
      <c r="AI58">
        <v>1</v>
      </c>
      <c r="AJ58">
        <v>8.64</v>
      </c>
      <c r="AK58">
        <v>24.82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5</v>
      </c>
      <c r="AT58">
        <v>1</v>
      </c>
      <c r="AU58" t="s">
        <v>5</v>
      </c>
      <c r="AV58">
        <v>0</v>
      </c>
      <c r="AW58">
        <v>2</v>
      </c>
      <c r="AX58">
        <v>49689890</v>
      </c>
      <c r="AY58">
        <v>1</v>
      </c>
      <c r="AZ58">
        <v>0</v>
      </c>
      <c r="BA58">
        <v>62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Y58*Source!I334</f>
        <v>233.779</v>
      </c>
      <c r="CY58">
        <f>AB58</f>
        <v>1399.94</v>
      </c>
      <c r="CZ58">
        <f>AF58</f>
        <v>162.03</v>
      </c>
      <c r="DA58">
        <f>AJ58</f>
        <v>8.64</v>
      </c>
      <c r="DB58">
        <f>ROUND(ROUND(AT58*CZ58,2),6)</f>
        <v>162.03</v>
      </c>
      <c r="DC58">
        <f>ROUND(ROUND(AT58*AG58,2),6)</f>
        <v>16.920000000000002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49688947</v>
      </c>
      <c r="C1">
        <v>49688942</v>
      </c>
      <c r="D1">
        <v>30515951</v>
      </c>
      <c r="E1">
        <v>30515945</v>
      </c>
      <c r="F1">
        <v>1</v>
      </c>
      <c r="G1">
        <v>30515945</v>
      </c>
      <c r="H1">
        <v>1</v>
      </c>
      <c r="I1" t="s">
        <v>210</v>
      </c>
      <c r="J1" t="s">
        <v>5</v>
      </c>
      <c r="K1" t="s">
        <v>211</v>
      </c>
      <c r="L1">
        <v>1191</v>
      </c>
      <c r="N1">
        <v>1013</v>
      </c>
      <c r="O1" t="s">
        <v>212</v>
      </c>
      <c r="P1" t="s">
        <v>212</v>
      </c>
      <c r="Q1">
        <v>1</v>
      </c>
      <c r="X1">
        <v>54.93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5</v>
      </c>
      <c r="AG1">
        <v>54.93</v>
      </c>
      <c r="AH1">
        <v>2</v>
      </c>
      <c r="AI1">
        <v>49688943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49688948</v>
      </c>
      <c r="C2">
        <v>49688942</v>
      </c>
      <c r="D2">
        <v>30595243</v>
      </c>
      <c r="E2">
        <v>1</v>
      </c>
      <c r="F2">
        <v>1</v>
      </c>
      <c r="G2">
        <v>30515945</v>
      </c>
      <c r="H2">
        <v>2</v>
      </c>
      <c r="I2" t="s">
        <v>213</v>
      </c>
      <c r="J2" t="s">
        <v>214</v>
      </c>
      <c r="K2" t="s">
        <v>215</v>
      </c>
      <c r="L2">
        <v>1367</v>
      </c>
      <c r="N2">
        <v>1011</v>
      </c>
      <c r="O2" t="s">
        <v>216</v>
      </c>
      <c r="P2" t="s">
        <v>216</v>
      </c>
      <c r="Q2">
        <v>1</v>
      </c>
      <c r="X2">
        <v>2.04</v>
      </c>
      <c r="Y2">
        <v>0</v>
      </c>
      <c r="Z2">
        <v>80</v>
      </c>
      <c r="AA2">
        <v>20.87</v>
      </c>
      <c r="AB2">
        <v>0</v>
      </c>
      <c r="AC2">
        <v>0</v>
      </c>
      <c r="AD2">
        <v>1</v>
      </c>
      <c r="AE2">
        <v>0</v>
      </c>
      <c r="AF2" t="s">
        <v>5</v>
      </c>
      <c r="AG2">
        <v>2.04</v>
      </c>
      <c r="AH2">
        <v>2</v>
      </c>
      <c r="AI2">
        <v>49688944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49688949</v>
      </c>
      <c r="C3">
        <v>49688942</v>
      </c>
      <c r="D3">
        <v>30590235</v>
      </c>
      <c r="E3">
        <v>1</v>
      </c>
      <c r="F3">
        <v>1</v>
      </c>
      <c r="G3">
        <v>30515945</v>
      </c>
      <c r="H3">
        <v>3</v>
      </c>
      <c r="I3" t="s">
        <v>217</v>
      </c>
      <c r="J3" t="s">
        <v>218</v>
      </c>
      <c r="K3" t="s">
        <v>219</v>
      </c>
      <c r="L3">
        <v>1339</v>
      </c>
      <c r="N3">
        <v>1007</v>
      </c>
      <c r="O3" t="s">
        <v>27</v>
      </c>
      <c r="P3" t="s">
        <v>27</v>
      </c>
      <c r="Q3">
        <v>1</v>
      </c>
      <c r="X3">
        <v>4.6500000000000004</v>
      </c>
      <c r="Y3">
        <v>407.48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 t="s">
        <v>5</v>
      </c>
      <c r="AG3">
        <v>4.6500000000000004</v>
      </c>
      <c r="AH3">
        <v>2</v>
      </c>
      <c r="AI3">
        <v>49688945</v>
      </c>
      <c r="AJ3">
        <v>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ROW(Source!A28)</f>
        <v>28</v>
      </c>
      <c r="B4">
        <v>49688950</v>
      </c>
      <c r="C4">
        <v>49688942</v>
      </c>
      <c r="D4">
        <v>30531738</v>
      </c>
      <c r="E4">
        <v>30515945</v>
      </c>
      <c r="F4">
        <v>1</v>
      </c>
      <c r="G4">
        <v>30515945</v>
      </c>
      <c r="H4">
        <v>3</v>
      </c>
      <c r="I4" t="s">
        <v>241</v>
      </c>
      <c r="J4" t="s">
        <v>5</v>
      </c>
      <c r="K4" t="s">
        <v>26</v>
      </c>
      <c r="L4">
        <v>1339</v>
      </c>
      <c r="N4">
        <v>1007</v>
      </c>
      <c r="O4" t="s">
        <v>27</v>
      </c>
      <c r="P4" t="s">
        <v>27</v>
      </c>
      <c r="Q4">
        <v>1</v>
      </c>
      <c r="X4">
        <v>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5</v>
      </c>
      <c r="AG4">
        <v>14</v>
      </c>
      <c r="AH4">
        <v>3</v>
      </c>
      <c r="AI4">
        <v>-1</v>
      </c>
      <c r="AJ4" t="s">
        <v>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ROW(Source!A30)</f>
        <v>30</v>
      </c>
      <c r="B5">
        <v>49688956</v>
      </c>
      <c r="C5">
        <v>49688952</v>
      </c>
      <c r="D5">
        <v>30515951</v>
      </c>
      <c r="E5">
        <v>30515945</v>
      </c>
      <c r="F5">
        <v>1</v>
      </c>
      <c r="G5">
        <v>30515945</v>
      </c>
      <c r="H5">
        <v>1</v>
      </c>
      <c r="I5" t="s">
        <v>210</v>
      </c>
      <c r="J5" t="s">
        <v>5</v>
      </c>
      <c r="K5" t="s">
        <v>211</v>
      </c>
      <c r="L5">
        <v>1191</v>
      </c>
      <c r="N5">
        <v>1013</v>
      </c>
      <c r="O5" t="s">
        <v>212</v>
      </c>
      <c r="P5" t="s">
        <v>212</v>
      </c>
      <c r="Q5">
        <v>1</v>
      </c>
      <c r="X5">
        <v>101.91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5</v>
      </c>
      <c r="AG5">
        <v>101.91</v>
      </c>
      <c r="AH5">
        <v>2</v>
      </c>
      <c r="AI5">
        <v>49688953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ROW(Source!A30)</f>
        <v>30</v>
      </c>
      <c r="B6">
        <v>49688957</v>
      </c>
      <c r="C6">
        <v>49688952</v>
      </c>
      <c r="D6">
        <v>30590235</v>
      </c>
      <c r="E6">
        <v>1</v>
      </c>
      <c r="F6">
        <v>1</v>
      </c>
      <c r="G6">
        <v>30515945</v>
      </c>
      <c r="H6">
        <v>3</v>
      </c>
      <c r="I6" t="s">
        <v>217</v>
      </c>
      <c r="J6" t="s">
        <v>218</v>
      </c>
      <c r="K6" t="s">
        <v>219</v>
      </c>
      <c r="L6">
        <v>1339</v>
      </c>
      <c r="N6">
        <v>1007</v>
      </c>
      <c r="O6" t="s">
        <v>27</v>
      </c>
      <c r="P6" t="s">
        <v>27</v>
      </c>
      <c r="Q6">
        <v>1</v>
      </c>
      <c r="X6">
        <v>4.6500000000000004</v>
      </c>
      <c r="Y6">
        <v>407.48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t="s">
        <v>5</v>
      </c>
      <c r="AG6">
        <v>4.6500000000000004</v>
      </c>
      <c r="AH6">
        <v>2</v>
      </c>
      <c r="AI6">
        <v>49688954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ROW(Source!A30)</f>
        <v>30</v>
      </c>
      <c r="B7">
        <v>49688958</v>
      </c>
      <c r="C7">
        <v>49688952</v>
      </c>
      <c r="D7">
        <v>30531738</v>
      </c>
      <c r="E7">
        <v>30515945</v>
      </c>
      <c r="F7">
        <v>1</v>
      </c>
      <c r="G7">
        <v>30515945</v>
      </c>
      <c r="H7">
        <v>3</v>
      </c>
      <c r="I7" t="s">
        <v>241</v>
      </c>
      <c r="J7" t="s">
        <v>5</v>
      </c>
      <c r="K7" t="s">
        <v>26</v>
      </c>
      <c r="L7">
        <v>1339</v>
      </c>
      <c r="N7">
        <v>1007</v>
      </c>
      <c r="O7" t="s">
        <v>27</v>
      </c>
      <c r="P7" t="s">
        <v>27</v>
      </c>
      <c r="Q7">
        <v>1</v>
      </c>
      <c r="X7">
        <v>14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5</v>
      </c>
      <c r="AG7">
        <v>14</v>
      </c>
      <c r="AH7">
        <v>3</v>
      </c>
      <c r="AI7">
        <v>-1</v>
      </c>
      <c r="AJ7" t="s">
        <v>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ROW(Source!A32)</f>
        <v>32</v>
      </c>
      <c r="B8">
        <v>49688966</v>
      </c>
      <c r="C8">
        <v>49688960</v>
      </c>
      <c r="D8">
        <v>30515951</v>
      </c>
      <c r="E8">
        <v>30515945</v>
      </c>
      <c r="F8">
        <v>1</v>
      </c>
      <c r="G8">
        <v>30515945</v>
      </c>
      <c r="H8">
        <v>1</v>
      </c>
      <c r="I8" t="s">
        <v>210</v>
      </c>
      <c r="J8" t="s">
        <v>5</v>
      </c>
      <c r="K8" t="s">
        <v>211</v>
      </c>
      <c r="L8">
        <v>1191</v>
      </c>
      <c r="N8">
        <v>1013</v>
      </c>
      <c r="O8" t="s">
        <v>212</v>
      </c>
      <c r="P8" t="s">
        <v>212</v>
      </c>
      <c r="Q8">
        <v>1</v>
      </c>
      <c r="X8">
        <v>70.5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 t="s">
        <v>5</v>
      </c>
      <c r="AG8">
        <v>70.5</v>
      </c>
      <c r="AH8">
        <v>2</v>
      </c>
      <c r="AI8">
        <v>49688961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ROW(Source!A32)</f>
        <v>32</v>
      </c>
      <c r="B9">
        <v>49688967</v>
      </c>
      <c r="C9">
        <v>49688960</v>
      </c>
      <c r="D9">
        <v>30595321</v>
      </c>
      <c r="E9">
        <v>1</v>
      </c>
      <c r="F9">
        <v>1</v>
      </c>
      <c r="G9">
        <v>30515945</v>
      </c>
      <c r="H9">
        <v>2</v>
      </c>
      <c r="I9" t="s">
        <v>220</v>
      </c>
      <c r="J9" t="s">
        <v>221</v>
      </c>
      <c r="K9" t="s">
        <v>222</v>
      </c>
      <c r="L9">
        <v>1367</v>
      </c>
      <c r="N9">
        <v>1011</v>
      </c>
      <c r="O9" t="s">
        <v>216</v>
      </c>
      <c r="P9" t="s">
        <v>216</v>
      </c>
      <c r="Q9">
        <v>1</v>
      </c>
      <c r="X9">
        <v>2.8</v>
      </c>
      <c r="Y9">
        <v>0</v>
      </c>
      <c r="Z9">
        <v>190.93</v>
      </c>
      <c r="AA9">
        <v>18.149999999999999</v>
      </c>
      <c r="AB9">
        <v>0</v>
      </c>
      <c r="AC9">
        <v>0</v>
      </c>
      <c r="AD9">
        <v>1</v>
      </c>
      <c r="AE9">
        <v>0</v>
      </c>
      <c r="AF9" t="s">
        <v>5</v>
      </c>
      <c r="AG9">
        <v>2.8</v>
      </c>
      <c r="AH9">
        <v>2</v>
      </c>
      <c r="AI9">
        <v>49688962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ROW(Source!A32)</f>
        <v>32</v>
      </c>
      <c r="B10">
        <v>49688968</v>
      </c>
      <c r="C10">
        <v>49688960</v>
      </c>
      <c r="D10">
        <v>30595500</v>
      </c>
      <c r="E10">
        <v>1</v>
      </c>
      <c r="F10">
        <v>1</v>
      </c>
      <c r="G10">
        <v>30515945</v>
      </c>
      <c r="H10">
        <v>2</v>
      </c>
      <c r="I10" t="s">
        <v>223</v>
      </c>
      <c r="J10" t="s">
        <v>224</v>
      </c>
      <c r="K10" t="s">
        <v>225</v>
      </c>
      <c r="L10">
        <v>1367</v>
      </c>
      <c r="N10">
        <v>1011</v>
      </c>
      <c r="O10" t="s">
        <v>216</v>
      </c>
      <c r="P10" t="s">
        <v>216</v>
      </c>
      <c r="Q10">
        <v>1</v>
      </c>
      <c r="X10">
        <v>2.2000000000000002</v>
      </c>
      <c r="Y10">
        <v>0</v>
      </c>
      <c r="Z10">
        <v>246.68</v>
      </c>
      <c r="AA10">
        <v>13.37</v>
      </c>
      <c r="AB10">
        <v>0</v>
      </c>
      <c r="AC10">
        <v>0</v>
      </c>
      <c r="AD10">
        <v>1</v>
      </c>
      <c r="AE10">
        <v>0</v>
      </c>
      <c r="AF10" t="s">
        <v>5</v>
      </c>
      <c r="AG10">
        <v>2.2000000000000002</v>
      </c>
      <c r="AH10">
        <v>2</v>
      </c>
      <c r="AI10">
        <v>49688963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ROW(Source!A32)</f>
        <v>32</v>
      </c>
      <c r="B11">
        <v>49688969</v>
      </c>
      <c r="C11">
        <v>49688960</v>
      </c>
      <c r="D11">
        <v>30571181</v>
      </c>
      <c r="E11">
        <v>1</v>
      </c>
      <c r="F11">
        <v>1</v>
      </c>
      <c r="G11">
        <v>30515945</v>
      </c>
      <c r="H11">
        <v>3</v>
      </c>
      <c r="I11" t="s">
        <v>226</v>
      </c>
      <c r="J11" t="s">
        <v>227</v>
      </c>
      <c r="K11" t="s">
        <v>228</v>
      </c>
      <c r="L11">
        <v>1339</v>
      </c>
      <c r="N11">
        <v>1007</v>
      </c>
      <c r="O11" t="s">
        <v>27</v>
      </c>
      <c r="P11" t="s">
        <v>27</v>
      </c>
      <c r="Q11">
        <v>1</v>
      </c>
      <c r="X11">
        <v>8.8000000000000007</v>
      </c>
      <c r="Y11">
        <v>7.07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5</v>
      </c>
      <c r="AG11">
        <v>8.8000000000000007</v>
      </c>
      <c r="AH11">
        <v>2</v>
      </c>
      <c r="AI11">
        <v>49688964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ROW(Source!A32)</f>
        <v>32</v>
      </c>
      <c r="B12">
        <v>49688970</v>
      </c>
      <c r="C12">
        <v>49688960</v>
      </c>
      <c r="D12">
        <v>30532403</v>
      </c>
      <c r="E12">
        <v>30515945</v>
      </c>
      <c r="F12">
        <v>1</v>
      </c>
      <c r="G12">
        <v>30515945</v>
      </c>
      <c r="H12">
        <v>3</v>
      </c>
      <c r="I12" t="s">
        <v>242</v>
      </c>
      <c r="J12" t="s">
        <v>5</v>
      </c>
      <c r="K12" t="s">
        <v>243</v>
      </c>
      <c r="L12">
        <v>1354</v>
      </c>
      <c r="N12">
        <v>1010</v>
      </c>
      <c r="O12" t="s">
        <v>179</v>
      </c>
      <c r="P12" t="s">
        <v>179</v>
      </c>
      <c r="Q12">
        <v>1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5</v>
      </c>
      <c r="AG12">
        <v>10</v>
      </c>
      <c r="AH12">
        <v>3</v>
      </c>
      <c r="AI12">
        <v>-1</v>
      </c>
      <c r="AJ12" t="s">
        <v>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ROW(Source!A32)</f>
        <v>32</v>
      </c>
      <c r="B13">
        <v>49688971</v>
      </c>
      <c r="C13">
        <v>49688960</v>
      </c>
      <c r="D13">
        <v>30541208</v>
      </c>
      <c r="E13">
        <v>30515945</v>
      </c>
      <c r="F13">
        <v>1</v>
      </c>
      <c r="G13">
        <v>30515945</v>
      </c>
      <c r="H13">
        <v>3</v>
      </c>
      <c r="I13" t="s">
        <v>229</v>
      </c>
      <c r="J13" t="s">
        <v>5</v>
      </c>
      <c r="K13" t="s">
        <v>230</v>
      </c>
      <c r="L13">
        <v>1344</v>
      </c>
      <c r="N13">
        <v>1008</v>
      </c>
      <c r="O13" t="s">
        <v>231</v>
      </c>
      <c r="P13" t="s">
        <v>231</v>
      </c>
      <c r="Q13">
        <v>1</v>
      </c>
      <c r="X13">
        <v>51.1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5</v>
      </c>
      <c r="AG13">
        <v>51.1</v>
      </c>
      <c r="AH13">
        <v>2</v>
      </c>
      <c r="AI13">
        <v>49688965</v>
      </c>
      <c r="AJ13">
        <v>12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ROW(Source!A33)</f>
        <v>33</v>
      </c>
      <c r="B14">
        <v>49688976</v>
      </c>
      <c r="C14">
        <v>49688972</v>
      </c>
      <c r="D14">
        <v>30515951</v>
      </c>
      <c r="E14">
        <v>30515945</v>
      </c>
      <c r="F14">
        <v>1</v>
      </c>
      <c r="G14">
        <v>30515945</v>
      </c>
      <c r="H14">
        <v>1</v>
      </c>
      <c r="I14" t="s">
        <v>210</v>
      </c>
      <c r="J14" t="s">
        <v>5</v>
      </c>
      <c r="K14" t="s">
        <v>211</v>
      </c>
      <c r="L14">
        <v>1191</v>
      </c>
      <c r="N14">
        <v>1013</v>
      </c>
      <c r="O14" t="s">
        <v>212</v>
      </c>
      <c r="P14" t="s">
        <v>212</v>
      </c>
      <c r="Q14">
        <v>1</v>
      </c>
      <c r="X14">
        <v>1.38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 t="s">
        <v>5</v>
      </c>
      <c r="AG14">
        <v>1.38</v>
      </c>
      <c r="AH14">
        <v>2</v>
      </c>
      <c r="AI14">
        <v>49688973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ROW(Source!A33)</f>
        <v>33</v>
      </c>
      <c r="B15">
        <v>49688977</v>
      </c>
      <c r="C15">
        <v>49688972</v>
      </c>
      <c r="D15">
        <v>30595229</v>
      </c>
      <c r="E15">
        <v>1</v>
      </c>
      <c r="F15">
        <v>1</v>
      </c>
      <c r="G15">
        <v>30515945</v>
      </c>
      <c r="H15">
        <v>2</v>
      </c>
      <c r="I15" t="s">
        <v>232</v>
      </c>
      <c r="J15" t="s">
        <v>233</v>
      </c>
      <c r="K15" t="s">
        <v>234</v>
      </c>
      <c r="L15">
        <v>1367</v>
      </c>
      <c r="N15">
        <v>1011</v>
      </c>
      <c r="O15" t="s">
        <v>216</v>
      </c>
      <c r="P15" t="s">
        <v>216</v>
      </c>
      <c r="Q15">
        <v>1</v>
      </c>
      <c r="X15">
        <v>3.9874999999999998</v>
      </c>
      <c r="Y15">
        <v>0</v>
      </c>
      <c r="Z15">
        <v>162.4</v>
      </c>
      <c r="AA15">
        <v>28.6</v>
      </c>
      <c r="AB15">
        <v>0</v>
      </c>
      <c r="AC15">
        <v>0</v>
      </c>
      <c r="AD15">
        <v>1</v>
      </c>
      <c r="AE15">
        <v>0</v>
      </c>
      <c r="AF15" t="s">
        <v>5</v>
      </c>
      <c r="AG15">
        <v>3.9874999999999998</v>
      </c>
      <c r="AH15">
        <v>2</v>
      </c>
      <c r="AI15">
        <v>49688974</v>
      </c>
      <c r="AJ15">
        <v>14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ROW(Source!A33)</f>
        <v>33</v>
      </c>
      <c r="B16">
        <v>49688978</v>
      </c>
      <c r="C16">
        <v>49688972</v>
      </c>
      <c r="D16">
        <v>30595254</v>
      </c>
      <c r="E16">
        <v>1</v>
      </c>
      <c r="F16">
        <v>1</v>
      </c>
      <c r="G16">
        <v>30515945</v>
      </c>
      <c r="H16">
        <v>2</v>
      </c>
      <c r="I16" t="s">
        <v>235</v>
      </c>
      <c r="J16" t="s">
        <v>236</v>
      </c>
      <c r="K16" t="s">
        <v>237</v>
      </c>
      <c r="L16">
        <v>1367</v>
      </c>
      <c r="N16">
        <v>1011</v>
      </c>
      <c r="O16" t="s">
        <v>216</v>
      </c>
      <c r="P16" t="s">
        <v>216</v>
      </c>
      <c r="Q16">
        <v>1</v>
      </c>
      <c r="X16">
        <v>0.997</v>
      </c>
      <c r="Y16">
        <v>0</v>
      </c>
      <c r="Z16">
        <v>161.49</v>
      </c>
      <c r="AA16">
        <v>17.7</v>
      </c>
      <c r="AB16">
        <v>0</v>
      </c>
      <c r="AC16">
        <v>0</v>
      </c>
      <c r="AD16">
        <v>1</v>
      </c>
      <c r="AE16">
        <v>0</v>
      </c>
      <c r="AF16" t="s">
        <v>5</v>
      </c>
      <c r="AG16">
        <v>0.997</v>
      </c>
      <c r="AH16">
        <v>2</v>
      </c>
      <c r="AI16">
        <v>49688975</v>
      </c>
      <c r="AJ16">
        <v>15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ROW(Source!A34)</f>
        <v>34</v>
      </c>
      <c r="B17">
        <v>49688981</v>
      </c>
      <c r="C17">
        <v>49688979</v>
      </c>
      <c r="D17">
        <v>30515951</v>
      </c>
      <c r="E17">
        <v>30515945</v>
      </c>
      <c r="F17">
        <v>1</v>
      </c>
      <c r="G17">
        <v>30515945</v>
      </c>
      <c r="H17">
        <v>1</v>
      </c>
      <c r="I17" t="s">
        <v>210</v>
      </c>
      <c r="J17" t="s">
        <v>5</v>
      </c>
      <c r="K17" t="s">
        <v>211</v>
      </c>
      <c r="L17">
        <v>1191</v>
      </c>
      <c r="N17">
        <v>1013</v>
      </c>
      <c r="O17" t="s">
        <v>212</v>
      </c>
      <c r="P17" t="s">
        <v>212</v>
      </c>
      <c r="Q17">
        <v>1</v>
      </c>
      <c r="X17">
        <v>10.199999999999999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 t="s">
        <v>5</v>
      </c>
      <c r="AG17">
        <v>10.199999999999999</v>
      </c>
      <c r="AH17">
        <v>2</v>
      </c>
      <c r="AI17">
        <v>49688980</v>
      </c>
      <c r="AJ17">
        <v>16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ROW(Source!A70)</f>
        <v>70</v>
      </c>
      <c r="B18">
        <v>49688985</v>
      </c>
      <c r="C18">
        <v>49688982</v>
      </c>
      <c r="D18">
        <v>30515951</v>
      </c>
      <c r="E18">
        <v>30515945</v>
      </c>
      <c r="F18">
        <v>1</v>
      </c>
      <c r="G18">
        <v>30515945</v>
      </c>
      <c r="H18">
        <v>1</v>
      </c>
      <c r="I18" t="s">
        <v>210</v>
      </c>
      <c r="J18" t="s">
        <v>5</v>
      </c>
      <c r="K18" t="s">
        <v>211</v>
      </c>
      <c r="L18">
        <v>1191</v>
      </c>
      <c r="N18">
        <v>1013</v>
      </c>
      <c r="O18" t="s">
        <v>212</v>
      </c>
      <c r="P18" t="s">
        <v>212</v>
      </c>
      <c r="Q18">
        <v>1</v>
      </c>
      <c r="X18">
        <v>26.28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 t="s">
        <v>5</v>
      </c>
      <c r="AG18">
        <v>26.28</v>
      </c>
      <c r="AH18">
        <v>2</v>
      </c>
      <c r="AI18">
        <v>49688983</v>
      </c>
      <c r="AJ18">
        <v>17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ROW(Source!A70)</f>
        <v>70</v>
      </c>
      <c r="B19">
        <v>49688986</v>
      </c>
      <c r="C19">
        <v>49688982</v>
      </c>
      <c r="D19">
        <v>30595243</v>
      </c>
      <c r="E19">
        <v>1</v>
      </c>
      <c r="F19">
        <v>1</v>
      </c>
      <c r="G19">
        <v>30515945</v>
      </c>
      <c r="H19">
        <v>2</v>
      </c>
      <c r="I19" t="s">
        <v>213</v>
      </c>
      <c r="J19" t="s">
        <v>214</v>
      </c>
      <c r="K19" t="s">
        <v>215</v>
      </c>
      <c r="L19">
        <v>1367</v>
      </c>
      <c r="N19">
        <v>1011</v>
      </c>
      <c r="O19" t="s">
        <v>216</v>
      </c>
      <c r="P19" t="s">
        <v>216</v>
      </c>
      <c r="Q19">
        <v>1</v>
      </c>
      <c r="X19">
        <v>2.04</v>
      </c>
      <c r="Y19">
        <v>0</v>
      </c>
      <c r="Z19">
        <v>80</v>
      </c>
      <c r="AA19">
        <v>20.87</v>
      </c>
      <c r="AB19">
        <v>0</v>
      </c>
      <c r="AC19">
        <v>0</v>
      </c>
      <c r="AD19">
        <v>1</v>
      </c>
      <c r="AE19">
        <v>0</v>
      </c>
      <c r="AF19" t="s">
        <v>5</v>
      </c>
      <c r="AG19">
        <v>2.04</v>
      </c>
      <c r="AH19">
        <v>2</v>
      </c>
      <c r="AI19">
        <v>49688984</v>
      </c>
      <c r="AJ19">
        <v>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ROW(Source!A71)</f>
        <v>71</v>
      </c>
      <c r="B20">
        <v>49688989</v>
      </c>
      <c r="C20">
        <v>49688987</v>
      </c>
      <c r="D20">
        <v>30515951</v>
      </c>
      <c r="E20">
        <v>30515945</v>
      </c>
      <c r="F20">
        <v>1</v>
      </c>
      <c r="G20">
        <v>30515945</v>
      </c>
      <c r="H20">
        <v>1</v>
      </c>
      <c r="I20" t="s">
        <v>210</v>
      </c>
      <c r="J20" t="s">
        <v>5</v>
      </c>
      <c r="K20" t="s">
        <v>211</v>
      </c>
      <c r="L20">
        <v>1191</v>
      </c>
      <c r="N20">
        <v>1013</v>
      </c>
      <c r="O20" t="s">
        <v>212</v>
      </c>
      <c r="P20" t="s">
        <v>212</v>
      </c>
      <c r="Q20">
        <v>1</v>
      </c>
      <c r="X20">
        <v>73.25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 t="s">
        <v>5</v>
      </c>
      <c r="AG20">
        <v>73.25</v>
      </c>
      <c r="AH20">
        <v>2</v>
      </c>
      <c r="AI20">
        <v>49688988</v>
      </c>
      <c r="AJ20">
        <v>19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ROW(Source!A72)</f>
        <v>72</v>
      </c>
      <c r="B21">
        <v>49688996</v>
      </c>
      <c r="C21">
        <v>49688990</v>
      </c>
      <c r="D21">
        <v>30515951</v>
      </c>
      <c r="E21">
        <v>30515945</v>
      </c>
      <c r="F21">
        <v>1</v>
      </c>
      <c r="G21">
        <v>30515945</v>
      </c>
      <c r="H21">
        <v>1</v>
      </c>
      <c r="I21" t="s">
        <v>210</v>
      </c>
      <c r="J21" t="s">
        <v>5</v>
      </c>
      <c r="K21" t="s">
        <v>211</v>
      </c>
      <c r="L21">
        <v>1191</v>
      </c>
      <c r="N21">
        <v>1013</v>
      </c>
      <c r="O21" t="s">
        <v>212</v>
      </c>
      <c r="P21" t="s">
        <v>212</v>
      </c>
      <c r="Q21">
        <v>1</v>
      </c>
      <c r="X21">
        <v>70.5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5</v>
      </c>
      <c r="AG21">
        <v>70.5</v>
      </c>
      <c r="AH21">
        <v>2</v>
      </c>
      <c r="AI21">
        <v>49688991</v>
      </c>
      <c r="AJ21">
        <v>20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ROW(Source!A72)</f>
        <v>72</v>
      </c>
      <c r="B22">
        <v>49688997</v>
      </c>
      <c r="C22">
        <v>49688990</v>
      </c>
      <c r="D22">
        <v>30595321</v>
      </c>
      <c r="E22">
        <v>1</v>
      </c>
      <c r="F22">
        <v>1</v>
      </c>
      <c r="G22">
        <v>30515945</v>
      </c>
      <c r="H22">
        <v>2</v>
      </c>
      <c r="I22" t="s">
        <v>220</v>
      </c>
      <c r="J22" t="s">
        <v>221</v>
      </c>
      <c r="K22" t="s">
        <v>222</v>
      </c>
      <c r="L22">
        <v>1367</v>
      </c>
      <c r="N22">
        <v>1011</v>
      </c>
      <c r="O22" t="s">
        <v>216</v>
      </c>
      <c r="P22" t="s">
        <v>216</v>
      </c>
      <c r="Q22">
        <v>1</v>
      </c>
      <c r="X22">
        <v>2.8</v>
      </c>
      <c r="Y22">
        <v>0</v>
      </c>
      <c r="Z22">
        <v>190.93</v>
      </c>
      <c r="AA22">
        <v>18.149999999999999</v>
      </c>
      <c r="AB22">
        <v>0</v>
      </c>
      <c r="AC22">
        <v>0</v>
      </c>
      <c r="AD22">
        <v>1</v>
      </c>
      <c r="AE22">
        <v>0</v>
      </c>
      <c r="AF22" t="s">
        <v>5</v>
      </c>
      <c r="AG22">
        <v>2.8</v>
      </c>
      <c r="AH22">
        <v>2</v>
      </c>
      <c r="AI22">
        <v>49688992</v>
      </c>
      <c r="AJ22">
        <v>21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ROW(Source!A72)</f>
        <v>72</v>
      </c>
      <c r="B23">
        <v>49688998</v>
      </c>
      <c r="C23">
        <v>49688990</v>
      </c>
      <c r="D23">
        <v>30595500</v>
      </c>
      <c r="E23">
        <v>1</v>
      </c>
      <c r="F23">
        <v>1</v>
      </c>
      <c r="G23">
        <v>30515945</v>
      </c>
      <c r="H23">
        <v>2</v>
      </c>
      <c r="I23" t="s">
        <v>223</v>
      </c>
      <c r="J23" t="s">
        <v>224</v>
      </c>
      <c r="K23" t="s">
        <v>225</v>
      </c>
      <c r="L23">
        <v>1367</v>
      </c>
      <c r="N23">
        <v>1011</v>
      </c>
      <c r="O23" t="s">
        <v>216</v>
      </c>
      <c r="P23" t="s">
        <v>216</v>
      </c>
      <c r="Q23">
        <v>1</v>
      </c>
      <c r="X23">
        <v>2.2000000000000002</v>
      </c>
      <c r="Y23">
        <v>0</v>
      </c>
      <c r="Z23">
        <v>246.68</v>
      </c>
      <c r="AA23">
        <v>13.37</v>
      </c>
      <c r="AB23">
        <v>0</v>
      </c>
      <c r="AC23">
        <v>0</v>
      </c>
      <c r="AD23">
        <v>1</v>
      </c>
      <c r="AE23">
        <v>0</v>
      </c>
      <c r="AF23" t="s">
        <v>5</v>
      </c>
      <c r="AG23">
        <v>2.2000000000000002</v>
      </c>
      <c r="AH23">
        <v>2</v>
      </c>
      <c r="AI23">
        <v>49688993</v>
      </c>
      <c r="AJ23">
        <v>22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ROW(Source!A72)</f>
        <v>72</v>
      </c>
      <c r="B24">
        <v>49688999</v>
      </c>
      <c r="C24">
        <v>49688990</v>
      </c>
      <c r="D24">
        <v>30571181</v>
      </c>
      <c r="E24">
        <v>1</v>
      </c>
      <c r="F24">
        <v>1</v>
      </c>
      <c r="G24">
        <v>30515945</v>
      </c>
      <c r="H24">
        <v>3</v>
      </c>
      <c r="I24" t="s">
        <v>226</v>
      </c>
      <c r="J24" t="s">
        <v>227</v>
      </c>
      <c r="K24" t="s">
        <v>228</v>
      </c>
      <c r="L24">
        <v>1339</v>
      </c>
      <c r="N24">
        <v>1007</v>
      </c>
      <c r="O24" t="s">
        <v>27</v>
      </c>
      <c r="P24" t="s">
        <v>27</v>
      </c>
      <c r="Q24">
        <v>1</v>
      </c>
      <c r="X24">
        <v>8.8000000000000007</v>
      </c>
      <c r="Y24">
        <v>7.07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5</v>
      </c>
      <c r="AG24">
        <v>8.8000000000000007</v>
      </c>
      <c r="AH24">
        <v>2</v>
      </c>
      <c r="AI24">
        <v>49688994</v>
      </c>
      <c r="AJ24">
        <v>23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ROW(Source!A72)</f>
        <v>72</v>
      </c>
      <c r="B25">
        <v>49689000</v>
      </c>
      <c r="C25">
        <v>49688990</v>
      </c>
      <c r="D25">
        <v>30532403</v>
      </c>
      <c r="E25">
        <v>30515945</v>
      </c>
      <c r="F25">
        <v>1</v>
      </c>
      <c r="G25">
        <v>30515945</v>
      </c>
      <c r="H25">
        <v>3</v>
      </c>
      <c r="I25" t="s">
        <v>242</v>
      </c>
      <c r="J25" t="s">
        <v>5</v>
      </c>
      <c r="K25" t="s">
        <v>243</v>
      </c>
      <c r="L25">
        <v>1354</v>
      </c>
      <c r="N25">
        <v>1010</v>
      </c>
      <c r="O25" t="s">
        <v>179</v>
      </c>
      <c r="P25" t="s">
        <v>179</v>
      </c>
      <c r="Q25">
        <v>1</v>
      </c>
      <c r="X25">
        <v>10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5</v>
      </c>
      <c r="AG25">
        <v>10</v>
      </c>
      <c r="AH25">
        <v>3</v>
      </c>
      <c r="AI25">
        <v>-1</v>
      </c>
      <c r="AJ25" t="s">
        <v>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ROW(Source!A72)</f>
        <v>72</v>
      </c>
      <c r="B26">
        <v>49689001</v>
      </c>
      <c r="C26">
        <v>49688990</v>
      </c>
      <c r="D26">
        <v>30541208</v>
      </c>
      <c r="E26">
        <v>30515945</v>
      </c>
      <c r="F26">
        <v>1</v>
      </c>
      <c r="G26">
        <v>30515945</v>
      </c>
      <c r="H26">
        <v>3</v>
      </c>
      <c r="I26" t="s">
        <v>229</v>
      </c>
      <c r="J26" t="s">
        <v>5</v>
      </c>
      <c r="K26" t="s">
        <v>230</v>
      </c>
      <c r="L26">
        <v>1344</v>
      </c>
      <c r="N26">
        <v>1008</v>
      </c>
      <c r="O26" t="s">
        <v>231</v>
      </c>
      <c r="P26" t="s">
        <v>231</v>
      </c>
      <c r="Q26">
        <v>1</v>
      </c>
      <c r="X26">
        <v>51.1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 t="s">
        <v>5</v>
      </c>
      <c r="AG26">
        <v>51.1</v>
      </c>
      <c r="AH26">
        <v>2</v>
      </c>
      <c r="AI26">
        <v>49688995</v>
      </c>
      <c r="AJ26">
        <v>24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ROW(Source!A108)</f>
        <v>108</v>
      </c>
      <c r="B27">
        <v>49689006</v>
      </c>
      <c r="C27">
        <v>49689002</v>
      </c>
      <c r="D27">
        <v>30515951</v>
      </c>
      <c r="E27">
        <v>30515945</v>
      </c>
      <c r="F27">
        <v>1</v>
      </c>
      <c r="G27">
        <v>30515945</v>
      </c>
      <c r="H27">
        <v>1</v>
      </c>
      <c r="I27" t="s">
        <v>210</v>
      </c>
      <c r="J27" t="s">
        <v>5</v>
      </c>
      <c r="K27" t="s">
        <v>211</v>
      </c>
      <c r="L27">
        <v>1191</v>
      </c>
      <c r="N27">
        <v>1013</v>
      </c>
      <c r="O27" t="s">
        <v>212</v>
      </c>
      <c r="P27" t="s">
        <v>212</v>
      </c>
      <c r="Q27">
        <v>1</v>
      </c>
      <c r="X27">
        <v>0.49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 t="s">
        <v>121</v>
      </c>
      <c r="AG27">
        <v>1.96</v>
      </c>
      <c r="AH27">
        <v>2</v>
      </c>
      <c r="AI27">
        <v>49689003</v>
      </c>
      <c r="AJ27">
        <v>25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ROW(Source!A108)</f>
        <v>108</v>
      </c>
      <c r="B28">
        <v>49689007</v>
      </c>
      <c r="C28">
        <v>49689002</v>
      </c>
      <c r="D28">
        <v>30595500</v>
      </c>
      <c r="E28">
        <v>1</v>
      </c>
      <c r="F28">
        <v>1</v>
      </c>
      <c r="G28">
        <v>30515945</v>
      </c>
      <c r="H28">
        <v>2</v>
      </c>
      <c r="I28" t="s">
        <v>223</v>
      </c>
      <c r="J28" t="s">
        <v>224</v>
      </c>
      <c r="K28" t="s">
        <v>225</v>
      </c>
      <c r="L28">
        <v>1367</v>
      </c>
      <c r="N28">
        <v>1011</v>
      </c>
      <c r="O28" t="s">
        <v>216</v>
      </c>
      <c r="P28" t="s">
        <v>216</v>
      </c>
      <c r="Q28">
        <v>1</v>
      </c>
      <c r="X28">
        <v>0.24</v>
      </c>
      <c r="Y28">
        <v>0</v>
      </c>
      <c r="Z28">
        <v>246.68</v>
      </c>
      <c r="AA28">
        <v>13.37</v>
      </c>
      <c r="AB28">
        <v>0</v>
      </c>
      <c r="AC28">
        <v>0</v>
      </c>
      <c r="AD28">
        <v>1</v>
      </c>
      <c r="AE28">
        <v>0</v>
      </c>
      <c r="AF28" t="s">
        <v>121</v>
      </c>
      <c r="AG28">
        <v>0.96</v>
      </c>
      <c r="AH28">
        <v>2</v>
      </c>
      <c r="AI28">
        <v>49689004</v>
      </c>
      <c r="AJ28">
        <v>26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ROW(Source!A108)</f>
        <v>108</v>
      </c>
      <c r="B29">
        <v>49689008</v>
      </c>
      <c r="C29">
        <v>49689002</v>
      </c>
      <c r="D29">
        <v>30571181</v>
      </c>
      <c r="E29">
        <v>1</v>
      </c>
      <c r="F29">
        <v>1</v>
      </c>
      <c r="G29">
        <v>30515945</v>
      </c>
      <c r="H29">
        <v>3</v>
      </c>
      <c r="I29" t="s">
        <v>226</v>
      </c>
      <c r="J29" t="s">
        <v>227</v>
      </c>
      <c r="K29" t="s">
        <v>228</v>
      </c>
      <c r="L29">
        <v>1339</v>
      </c>
      <c r="N29">
        <v>1007</v>
      </c>
      <c r="O29" t="s">
        <v>27</v>
      </c>
      <c r="P29" t="s">
        <v>27</v>
      </c>
      <c r="Q29">
        <v>1</v>
      </c>
      <c r="X29">
        <v>1</v>
      </c>
      <c r="Y29">
        <v>7.07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 t="s">
        <v>121</v>
      </c>
      <c r="AG29">
        <v>4</v>
      </c>
      <c r="AH29">
        <v>2</v>
      </c>
      <c r="AI29">
        <v>49689005</v>
      </c>
      <c r="AJ29">
        <v>27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ROW(Source!A109)</f>
        <v>109</v>
      </c>
      <c r="B30">
        <v>49689011</v>
      </c>
      <c r="C30">
        <v>49689009</v>
      </c>
      <c r="D30">
        <v>30515951</v>
      </c>
      <c r="E30">
        <v>30515945</v>
      </c>
      <c r="F30">
        <v>1</v>
      </c>
      <c r="G30">
        <v>30515945</v>
      </c>
      <c r="H30">
        <v>1</v>
      </c>
      <c r="I30" t="s">
        <v>210</v>
      </c>
      <c r="J30" t="s">
        <v>5</v>
      </c>
      <c r="K30" t="s">
        <v>211</v>
      </c>
      <c r="L30">
        <v>1191</v>
      </c>
      <c r="N30">
        <v>1013</v>
      </c>
      <c r="O30" t="s">
        <v>212</v>
      </c>
      <c r="P30" t="s">
        <v>212</v>
      </c>
      <c r="Q30">
        <v>1</v>
      </c>
      <c r="X30">
        <v>6.59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121</v>
      </c>
      <c r="AG30">
        <v>26.36</v>
      </c>
      <c r="AH30">
        <v>2</v>
      </c>
      <c r="AI30">
        <v>49689010</v>
      </c>
      <c r="AJ30">
        <v>28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ROW(Source!A145)</f>
        <v>145</v>
      </c>
      <c r="B31">
        <v>49689017</v>
      </c>
      <c r="C31">
        <v>49689012</v>
      </c>
      <c r="D31">
        <v>30515951</v>
      </c>
      <c r="E31">
        <v>30515945</v>
      </c>
      <c r="F31">
        <v>1</v>
      </c>
      <c r="G31">
        <v>30515945</v>
      </c>
      <c r="H31">
        <v>1</v>
      </c>
      <c r="I31" t="s">
        <v>210</v>
      </c>
      <c r="J31" t="s">
        <v>5</v>
      </c>
      <c r="K31" t="s">
        <v>211</v>
      </c>
      <c r="L31">
        <v>1191</v>
      </c>
      <c r="N31">
        <v>1013</v>
      </c>
      <c r="O31" t="s">
        <v>212</v>
      </c>
      <c r="P31" t="s">
        <v>212</v>
      </c>
      <c r="Q31">
        <v>1</v>
      </c>
      <c r="X31">
        <v>35.479999999999997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 t="s">
        <v>5</v>
      </c>
      <c r="AG31">
        <v>35.479999999999997</v>
      </c>
      <c r="AH31">
        <v>2</v>
      </c>
      <c r="AI31">
        <v>49689013</v>
      </c>
      <c r="AJ31">
        <v>29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ROW(Source!A145)</f>
        <v>145</v>
      </c>
      <c r="B32">
        <v>49689018</v>
      </c>
      <c r="C32">
        <v>49689012</v>
      </c>
      <c r="D32">
        <v>30595243</v>
      </c>
      <c r="E32">
        <v>1</v>
      </c>
      <c r="F32">
        <v>1</v>
      </c>
      <c r="G32">
        <v>30515945</v>
      </c>
      <c r="H32">
        <v>2</v>
      </c>
      <c r="I32" t="s">
        <v>213</v>
      </c>
      <c r="J32" t="s">
        <v>214</v>
      </c>
      <c r="K32" t="s">
        <v>215</v>
      </c>
      <c r="L32">
        <v>1367</v>
      </c>
      <c r="N32">
        <v>1011</v>
      </c>
      <c r="O32" t="s">
        <v>216</v>
      </c>
      <c r="P32" t="s">
        <v>216</v>
      </c>
      <c r="Q32">
        <v>1</v>
      </c>
      <c r="X32">
        <v>1.21</v>
      </c>
      <c r="Y32">
        <v>0</v>
      </c>
      <c r="Z32">
        <v>80</v>
      </c>
      <c r="AA32">
        <v>20.87</v>
      </c>
      <c r="AB32">
        <v>0</v>
      </c>
      <c r="AC32">
        <v>0</v>
      </c>
      <c r="AD32">
        <v>1</v>
      </c>
      <c r="AE32">
        <v>0</v>
      </c>
      <c r="AF32" t="s">
        <v>5</v>
      </c>
      <c r="AG32">
        <v>1.21</v>
      </c>
      <c r="AH32">
        <v>2</v>
      </c>
      <c r="AI32">
        <v>49689014</v>
      </c>
      <c r="AJ32">
        <v>30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ROW(Source!A145)</f>
        <v>145</v>
      </c>
      <c r="B33">
        <v>49689019</v>
      </c>
      <c r="C33">
        <v>49689012</v>
      </c>
      <c r="D33">
        <v>30590235</v>
      </c>
      <c r="E33">
        <v>1</v>
      </c>
      <c r="F33">
        <v>1</v>
      </c>
      <c r="G33">
        <v>30515945</v>
      </c>
      <c r="H33">
        <v>3</v>
      </c>
      <c r="I33" t="s">
        <v>217</v>
      </c>
      <c r="J33" t="s">
        <v>218</v>
      </c>
      <c r="K33" t="s">
        <v>219</v>
      </c>
      <c r="L33">
        <v>1339</v>
      </c>
      <c r="N33">
        <v>1007</v>
      </c>
      <c r="O33" t="s">
        <v>27</v>
      </c>
      <c r="P33" t="s">
        <v>27</v>
      </c>
      <c r="Q33">
        <v>1</v>
      </c>
      <c r="X33">
        <v>3.09</v>
      </c>
      <c r="Y33">
        <v>407.48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t="s">
        <v>5</v>
      </c>
      <c r="AG33">
        <v>3.09</v>
      </c>
      <c r="AH33">
        <v>2</v>
      </c>
      <c r="AI33">
        <v>49689015</v>
      </c>
      <c r="AJ33">
        <v>32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ROW(Source!A145)</f>
        <v>145</v>
      </c>
      <c r="B34">
        <v>49689020</v>
      </c>
      <c r="C34">
        <v>49689012</v>
      </c>
      <c r="D34">
        <v>30531738</v>
      </c>
      <c r="E34">
        <v>30515945</v>
      </c>
      <c r="F34">
        <v>1</v>
      </c>
      <c r="G34">
        <v>30515945</v>
      </c>
      <c r="H34">
        <v>3</v>
      </c>
      <c r="I34" t="s">
        <v>241</v>
      </c>
      <c r="J34" t="s">
        <v>5</v>
      </c>
      <c r="K34" t="s">
        <v>26</v>
      </c>
      <c r="L34">
        <v>1339</v>
      </c>
      <c r="N34">
        <v>1007</v>
      </c>
      <c r="O34" t="s">
        <v>27</v>
      </c>
      <c r="P34" t="s">
        <v>27</v>
      </c>
      <c r="Q34">
        <v>1</v>
      </c>
      <c r="X34">
        <v>9.26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5</v>
      </c>
      <c r="AG34">
        <v>9.26</v>
      </c>
      <c r="AH34">
        <v>3</v>
      </c>
      <c r="AI34">
        <v>-1</v>
      </c>
      <c r="AJ34" t="s">
        <v>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ROW(Source!A147)</f>
        <v>147</v>
      </c>
      <c r="B35">
        <v>49689026</v>
      </c>
      <c r="C35">
        <v>49689022</v>
      </c>
      <c r="D35">
        <v>30515951</v>
      </c>
      <c r="E35">
        <v>30515945</v>
      </c>
      <c r="F35">
        <v>1</v>
      </c>
      <c r="G35">
        <v>30515945</v>
      </c>
      <c r="H35">
        <v>1</v>
      </c>
      <c r="I35" t="s">
        <v>210</v>
      </c>
      <c r="J35" t="s">
        <v>5</v>
      </c>
      <c r="K35" t="s">
        <v>211</v>
      </c>
      <c r="L35">
        <v>1191</v>
      </c>
      <c r="N35">
        <v>1013</v>
      </c>
      <c r="O35" t="s">
        <v>212</v>
      </c>
      <c r="P35" t="s">
        <v>212</v>
      </c>
      <c r="Q35">
        <v>1</v>
      </c>
      <c r="X35">
        <v>62.71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5</v>
      </c>
      <c r="AG35">
        <v>62.71</v>
      </c>
      <c r="AH35">
        <v>2</v>
      </c>
      <c r="AI35">
        <v>49689023</v>
      </c>
      <c r="AJ35">
        <v>33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ROW(Source!A147)</f>
        <v>147</v>
      </c>
      <c r="B36">
        <v>49689027</v>
      </c>
      <c r="C36">
        <v>49689022</v>
      </c>
      <c r="D36">
        <v>30590235</v>
      </c>
      <c r="E36">
        <v>1</v>
      </c>
      <c r="F36">
        <v>1</v>
      </c>
      <c r="G36">
        <v>30515945</v>
      </c>
      <c r="H36">
        <v>3</v>
      </c>
      <c r="I36" t="s">
        <v>217</v>
      </c>
      <c r="J36" t="s">
        <v>218</v>
      </c>
      <c r="K36" t="s">
        <v>219</v>
      </c>
      <c r="L36">
        <v>1339</v>
      </c>
      <c r="N36">
        <v>1007</v>
      </c>
      <c r="O36" t="s">
        <v>27</v>
      </c>
      <c r="P36" t="s">
        <v>27</v>
      </c>
      <c r="Q36">
        <v>1</v>
      </c>
      <c r="X36">
        <v>3.09</v>
      </c>
      <c r="Y36">
        <v>407.48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5</v>
      </c>
      <c r="AG36">
        <v>3.09</v>
      </c>
      <c r="AH36">
        <v>2</v>
      </c>
      <c r="AI36">
        <v>49689024</v>
      </c>
      <c r="AJ36">
        <v>35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ROW(Source!A147)</f>
        <v>147</v>
      </c>
      <c r="B37">
        <v>49689028</v>
      </c>
      <c r="C37">
        <v>49689022</v>
      </c>
      <c r="D37">
        <v>30531738</v>
      </c>
      <c r="E37">
        <v>30515945</v>
      </c>
      <c r="F37">
        <v>1</v>
      </c>
      <c r="G37">
        <v>30515945</v>
      </c>
      <c r="H37">
        <v>3</v>
      </c>
      <c r="I37" t="s">
        <v>241</v>
      </c>
      <c r="J37" t="s">
        <v>5</v>
      </c>
      <c r="K37" t="s">
        <v>26</v>
      </c>
      <c r="L37">
        <v>1339</v>
      </c>
      <c r="N37">
        <v>1007</v>
      </c>
      <c r="O37" t="s">
        <v>27</v>
      </c>
      <c r="P37" t="s">
        <v>27</v>
      </c>
      <c r="Q37">
        <v>1</v>
      </c>
      <c r="X37">
        <v>9.26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5</v>
      </c>
      <c r="AG37">
        <v>9.26</v>
      </c>
      <c r="AH37">
        <v>3</v>
      </c>
      <c r="AI37">
        <v>-1</v>
      </c>
      <c r="AJ37" t="s">
        <v>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ROW(Source!A149)</f>
        <v>149</v>
      </c>
      <c r="B38">
        <v>49689036</v>
      </c>
      <c r="C38">
        <v>49689030</v>
      </c>
      <c r="D38">
        <v>30515951</v>
      </c>
      <c r="E38">
        <v>30515945</v>
      </c>
      <c r="F38">
        <v>1</v>
      </c>
      <c r="G38">
        <v>30515945</v>
      </c>
      <c r="H38">
        <v>1</v>
      </c>
      <c r="I38" t="s">
        <v>210</v>
      </c>
      <c r="J38" t="s">
        <v>5</v>
      </c>
      <c r="K38" t="s">
        <v>211</v>
      </c>
      <c r="L38">
        <v>1191</v>
      </c>
      <c r="N38">
        <v>1013</v>
      </c>
      <c r="O38" t="s">
        <v>212</v>
      </c>
      <c r="P38" t="s">
        <v>212</v>
      </c>
      <c r="Q38">
        <v>1</v>
      </c>
      <c r="X38">
        <v>47.6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 t="s">
        <v>5</v>
      </c>
      <c r="AG38">
        <v>47.6</v>
      </c>
      <c r="AH38">
        <v>2</v>
      </c>
      <c r="AI38">
        <v>49689031</v>
      </c>
      <c r="AJ38">
        <v>36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ROW(Source!A149)</f>
        <v>149</v>
      </c>
      <c r="B39">
        <v>49689037</v>
      </c>
      <c r="C39">
        <v>49689030</v>
      </c>
      <c r="D39">
        <v>30595321</v>
      </c>
      <c r="E39">
        <v>1</v>
      </c>
      <c r="F39">
        <v>1</v>
      </c>
      <c r="G39">
        <v>30515945</v>
      </c>
      <c r="H39">
        <v>2</v>
      </c>
      <c r="I39" t="s">
        <v>220</v>
      </c>
      <c r="J39" t="s">
        <v>221</v>
      </c>
      <c r="K39" t="s">
        <v>222</v>
      </c>
      <c r="L39">
        <v>1367</v>
      </c>
      <c r="N39">
        <v>1011</v>
      </c>
      <c r="O39" t="s">
        <v>216</v>
      </c>
      <c r="P39" t="s">
        <v>216</v>
      </c>
      <c r="Q39">
        <v>1</v>
      </c>
      <c r="X39">
        <v>1.79</v>
      </c>
      <c r="Y39">
        <v>0</v>
      </c>
      <c r="Z39">
        <v>190.93</v>
      </c>
      <c r="AA39">
        <v>18.149999999999999</v>
      </c>
      <c r="AB39">
        <v>0</v>
      </c>
      <c r="AC39">
        <v>0</v>
      </c>
      <c r="AD39">
        <v>1</v>
      </c>
      <c r="AE39">
        <v>0</v>
      </c>
      <c r="AF39" t="s">
        <v>5</v>
      </c>
      <c r="AG39">
        <v>1.79</v>
      </c>
      <c r="AH39">
        <v>2</v>
      </c>
      <c r="AI39">
        <v>49689032</v>
      </c>
      <c r="AJ39">
        <v>37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ROW(Source!A149)</f>
        <v>149</v>
      </c>
      <c r="B40">
        <v>49689038</v>
      </c>
      <c r="C40">
        <v>49689030</v>
      </c>
      <c r="D40">
        <v>30595500</v>
      </c>
      <c r="E40">
        <v>1</v>
      </c>
      <c r="F40">
        <v>1</v>
      </c>
      <c r="G40">
        <v>30515945</v>
      </c>
      <c r="H40">
        <v>2</v>
      </c>
      <c r="I40" t="s">
        <v>223</v>
      </c>
      <c r="J40" t="s">
        <v>224</v>
      </c>
      <c r="K40" t="s">
        <v>225</v>
      </c>
      <c r="L40">
        <v>1367</v>
      </c>
      <c r="N40">
        <v>1011</v>
      </c>
      <c r="O40" t="s">
        <v>216</v>
      </c>
      <c r="P40" t="s">
        <v>216</v>
      </c>
      <c r="Q40">
        <v>1</v>
      </c>
      <c r="X40">
        <v>1.47</v>
      </c>
      <c r="Y40">
        <v>0</v>
      </c>
      <c r="Z40">
        <v>246.68</v>
      </c>
      <c r="AA40">
        <v>13.37</v>
      </c>
      <c r="AB40">
        <v>0</v>
      </c>
      <c r="AC40">
        <v>0</v>
      </c>
      <c r="AD40">
        <v>1</v>
      </c>
      <c r="AE40">
        <v>0</v>
      </c>
      <c r="AF40" t="s">
        <v>5</v>
      </c>
      <c r="AG40">
        <v>1.47</v>
      </c>
      <c r="AH40">
        <v>2</v>
      </c>
      <c r="AI40">
        <v>49689033</v>
      </c>
      <c r="AJ40">
        <v>38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ROW(Source!A149)</f>
        <v>149</v>
      </c>
      <c r="B41">
        <v>49689039</v>
      </c>
      <c r="C41">
        <v>49689030</v>
      </c>
      <c r="D41">
        <v>30571181</v>
      </c>
      <c r="E41">
        <v>1</v>
      </c>
      <c r="F41">
        <v>1</v>
      </c>
      <c r="G41">
        <v>30515945</v>
      </c>
      <c r="H41">
        <v>3</v>
      </c>
      <c r="I41" t="s">
        <v>226</v>
      </c>
      <c r="J41" t="s">
        <v>227</v>
      </c>
      <c r="K41" t="s">
        <v>228</v>
      </c>
      <c r="L41">
        <v>1339</v>
      </c>
      <c r="N41">
        <v>1007</v>
      </c>
      <c r="O41" t="s">
        <v>27</v>
      </c>
      <c r="P41" t="s">
        <v>27</v>
      </c>
      <c r="Q41">
        <v>1</v>
      </c>
      <c r="X41">
        <v>5.2</v>
      </c>
      <c r="Y41">
        <v>7.07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5</v>
      </c>
      <c r="AG41">
        <v>5.2</v>
      </c>
      <c r="AH41">
        <v>2</v>
      </c>
      <c r="AI41">
        <v>49689034</v>
      </c>
      <c r="AJ41">
        <v>39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ROW(Source!A149)</f>
        <v>149</v>
      </c>
      <c r="B42">
        <v>49689040</v>
      </c>
      <c r="C42">
        <v>49689030</v>
      </c>
      <c r="D42">
        <v>30532403</v>
      </c>
      <c r="E42">
        <v>30515945</v>
      </c>
      <c r="F42">
        <v>1</v>
      </c>
      <c r="G42">
        <v>30515945</v>
      </c>
      <c r="H42">
        <v>3</v>
      </c>
      <c r="I42" t="s">
        <v>242</v>
      </c>
      <c r="J42" t="s">
        <v>5</v>
      </c>
      <c r="K42" t="s">
        <v>243</v>
      </c>
      <c r="L42">
        <v>1354</v>
      </c>
      <c r="N42">
        <v>1010</v>
      </c>
      <c r="O42" t="s">
        <v>179</v>
      </c>
      <c r="P42" t="s">
        <v>179</v>
      </c>
      <c r="Q42">
        <v>1</v>
      </c>
      <c r="X42">
        <v>10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5</v>
      </c>
      <c r="AG42">
        <v>10</v>
      </c>
      <c r="AH42">
        <v>3</v>
      </c>
      <c r="AI42">
        <v>-1</v>
      </c>
      <c r="AJ42" t="s">
        <v>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ROW(Source!A149)</f>
        <v>149</v>
      </c>
      <c r="B43">
        <v>49689041</v>
      </c>
      <c r="C43">
        <v>49689030</v>
      </c>
      <c r="D43">
        <v>30541208</v>
      </c>
      <c r="E43">
        <v>30515945</v>
      </c>
      <c r="F43">
        <v>1</v>
      </c>
      <c r="G43">
        <v>30515945</v>
      </c>
      <c r="H43">
        <v>3</v>
      </c>
      <c r="I43" t="s">
        <v>229</v>
      </c>
      <c r="J43" t="s">
        <v>5</v>
      </c>
      <c r="K43" t="s">
        <v>230</v>
      </c>
      <c r="L43">
        <v>1344</v>
      </c>
      <c r="N43">
        <v>1008</v>
      </c>
      <c r="O43" t="s">
        <v>231</v>
      </c>
      <c r="P43" t="s">
        <v>231</v>
      </c>
      <c r="Q43">
        <v>1</v>
      </c>
      <c r="X43">
        <v>37.24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5</v>
      </c>
      <c r="AG43">
        <v>37.24</v>
      </c>
      <c r="AH43">
        <v>2</v>
      </c>
      <c r="AI43">
        <v>49689035</v>
      </c>
      <c r="AJ43">
        <v>40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ROW(Source!A150)</f>
        <v>150</v>
      </c>
      <c r="B44">
        <v>49689046</v>
      </c>
      <c r="C44">
        <v>49689042</v>
      </c>
      <c r="D44">
        <v>30515951</v>
      </c>
      <c r="E44">
        <v>30515945</v>
      </c>
      <c r="F44">
        <v>1</v>
      </c>
      <c r="G44">
        <v>30515945</v>
      </c>
      <c r="H44">
        <v>1</v>
      </c>
      <c r="I44" t="s">
        <v>210</v>
      </c>
      <c r="J44" t="s">
        <v>5</v>
      </c>
      <c r="K44" t="s">
        <v>211</v>
      </c>
      <c r="L44">
        <v>1191</v>
      </c>
      <c r="N44">
        <v>1013</v>
      </c>
      <c r="O44" t="s">
        <v>212</v>
      </c>
      <c r="P44" t="s">
        <v>212</v>
      </c>
      <c r="Q44">
        <v>1</v>
      </c>
      <c r="X44">
        <v>1.38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5</v>
      </c>
      <c r="AG44">
        <v>1.38</v>
      </c>
      <c r="AH44">
        <v>2</v>
      </c>
      <c r="AI44">
        <v>49689043</v>
      </c>
      <c r="AJ44">
        <v>41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ROW(Source!A150)</f>
        <v>150</v>
      </c>
      <c r="B45">
        <v>49689047</v>
      </c>
      <c r="C45">
        <v>49689042</v>
      </c>
      <c r="D45">
        <v>30595229</v>
      </c>
      <c r="E45">
        <v>1</v>
      </c>
      <c r="F45">
        <v>1</v>
      </c>
      <c r="G45">
        <v>30515945</v>
      </c>
      <c r="H45">
        <v>2</v>
      </c>
      <c r="I45" t="s">
        <v>232</v>
      </c>
      <c r="J45" t="s">
        <v>233</v>
      </c>
      <c r="K45" t="s">
        <v>234</v>
      </c>
      <c r="L45">
        <v>1367</v>
      </c>
      <c r="N45">
        <v>1011</v>
      </c>
      <c r="O45" t="s">
        <v>216</v>
      </c>
      <c r="P45" t="s">
        <v>216</v>
      </c>
      <c r="Q45">
        <v>1</v>
      </c>
      <c r="X45">
        <v>3.9874999999999998</v>
      </c>
      <c r="Y45">
        <v>0</v>
      </c>
      <c r="Z45">
        <v>162.4</v>
      </c>
      <c r="AA45">
        <v>28.6</v>
      </c>
      <c r="AB45">
        <v>0</v>
      </c>
      <c r="AC45">
        <v>0</v>
      </c>
      <c r="AD45">
        <v>1</v>
      </c>
      <c r="AE45">
        <v>0</v>
      </c>
      <c r="AF45" t="s">
        <v>5</v>
      </c>
      <c r="AG45">
        <v>3.9874999999999998</v>
      </c>
      <c r="AH45">
        <v>2</v>
      </c>
      <c r="AI45">
        <v>49689044</v>
      </c>
      <c r="AJ45">
        <v>42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ROW(Source!A150)</f>
        <v>150</v>
      </c>
      <c r="B46">
        <v>49689048</v>
      </c>
      <c r="C46">
        <v>49689042</v>
      </c>
      <c r="D46">
        <v>30595254</v>
      </c>
      <c r="E46">
        <v>1</v>
      </c>
      <c r="F46">
        <v>1</v>
      </c>
      <c r="G46">
        <v>30515945</v>
      </c>
      <c r="H46">
        <v>2</v>
      </c>
      <c r="I46" t="s">
        <v>235</v>
      </c>
      <c r="J46" t="s">
        <v>236</v>
      </c>
      <c r="K46" t="s">
        <v>237</v>
      </c>
      <c r="L46">
        <v>1367</v>
      </c>
      <c r="N46">
        <v>1011</v>
      </c>
      <c r="O46" t="s">
        <v>216</v>
      </c>
      <c r="P46" t="s">
        <v>216</v>
      </c>
      <c r="Q46">
        <v>1</v>
      </c>
      <c r="X46">
        <v>0.997</v>
      </c>
      <c r="Y46">
        <v>0</v>
      </c>
      <c r="Z46">
        <v>161.49</v>
      </c>
      <c r="AA46">
        <v>17.7</v>
      </c>
      <c r="AB46">
        <v>0</v>
      </c>
      <c r="AC46">
        <v>0</v>
      </c>
      <c r="AD46">
        <v>1</v>
      </c>
      <c r="AE46">
        <v>0</v>
      </c>
      <c r="AF46" t="s">
        <v>5</v>
      </c>
      <c r="AG46">
        <v>0.997</v>
      </c>
      <c r="AH46">
        <v>2</v>
      </c>
      <c r="AI46">
        <v>49689045</v>
      </c>
      <c r="AJ46">
        <v>43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ROW(Source!A151)</f>
        <v>151</v>
      </c>
      <c r="B47">
        <v>49689051</v>
      </c>
      <c r="C47">
        <v>49689049</v>
      </c>
      <c r="D47">
        <v>30515951</v>
      </c>
      <c r="E47">
        <v>30515945</v>
      </c>
      <c r="F47">
        <v>1</v>
      </c>
      <c r="G47">
        <v>30515945</v>
      </c>
      <c r="H47">
        <v>1</v>
      </c>
      <c r="I47" t="s">
        <v>210</v>
      </c>
      <c r="J47" t="s">
        <v>5</v>
      </c>
      <c r="K47" t="s">
        <v>211</v>
      </c>
      <c r="L47">
        <v>1191</v>
      </c>
      <c r="N47">
        <v>1013</v>
      </c>
      <c r="O47" t="s">
        <v>212</v>
      </c>
      <c r="P47" t="s">
        <v>212</v>
      </c>
      <c r="Q47">
        <v>1</v>
      </c>
      <c r="X47">
        <v>10.199999999999999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 t="s">
        <v>5</v>
      </c>
      <c r="AG47">
        <v>10.199999999999999</v>
      </c>
      <c r="AH47">
        <v>2</v>
      </c>
      <c r="AI47">
        <v>49689050</v>
      </c>
      <c r="AJ47">
        <v>44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ROW(Source!A187)</f>
        <v>187</v>
      </c>
      <c r="B48">
        <v>49689055</v>
      </c>
      <c r="C48">
        <v>49689052</v>
      </c>
      <c r="D48">
        <v>30515951</v>
      </c>
      <c r="E48">
        <v>30515945</v>
      </c>
      <c r="F48">
        <v>1</v>
      </c>
      <c r="G48">
        <v>30515945</v>
      </c>
      <c r="H48">
        <v>1</v>
      </c>
      <c r="I48" t="s">
        <v>210</v>
      </c>
      <c r="J48" t="s">
        <v>5</v>
      </c>
      <c r="K48" t="s">
        <v>211</v>
      </c>
      <c r="L48">
        <v>1191</v>
      </c>
      <c r="N48">
        <v>1013</v>
      </c>
      <c r="O48" t="s">
        <v>212</v>
      </c>
      <c r="P48" t="s">
        <v>212</v>
      </c>
      <c r="Q48">
        <v>1</v>
      </c>
      <c r="X48">
        <v>15.31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 t="s">
        <v>5</v>
      </c>
      <c r="AG48">
        <v>15.31</v>
      </c>
      <c r="AH48">
        <v>2</v>
      </c>
      <c r="AI48">
        <v>49689053</v>
      </c>
      <c r="AJ48">
        <v>45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ROW(Source!A187)</f>
        <v>187</v>
      </c>
      <c r="B49">
        <v>49689056</v>
      </c>
      <c r="C49">
        <v>49689052</v>
      </c>
      <c r="D49">
        <v>30595243</v>
      </c>
      <c r="E49">
        <v>1</v>
      </c>
      <c r="F49">
        <v>1</v>
      </c>
      <c r="G49">
        <v>30515945</v>
      </c>
      <c r="H49">
        <v>2</v>
      </c>
      <c r="I49" t="s">
        <v>213</v>
      </c>
      <c r="J49" t="s">
        <v>214</v>
      </c>
      <c r="K49" t="s">
        <v>215</v>
      </c>
      <c r="L49">
        <v>1367</v>
      </c>
      <c r="N49">
        <v>1011</v>
      </c>
      <c r="O49" t="s">
        <v>216</v>
      </c>
      <c r="P49" t="s">
        <v>216</v>
      </c>
      <c r="Q49">
        <v>1</v>
      </c>
      <c r="X49">
        <v>1.21</v>
      </c>
      <c r="Y49">
        <v>0</v>
      </c>
      <c r="Z49">
        <v>80</v>
      </c>
      <c r="AA49">
        <v>20.87</v>
      </c>
      <c r="AB49">
        <v>0</v>
      </c>
      <c r="AC49">
        <v>0</v>
      </c>
      <c r="AD49">
        <v>1</v>
      </c>
      <c r="AE49">
        <v>0</v>
      </c>
      <c r="AF49" t="s">
        <v>5</v>
      </c>
      <c r="AG49">
        <v>1.21</v>
      </c>
      <c r="AH49">
        <v>2</v>
      </c>
      <c r="AI49">
        <v>49689054</v>
      </c>
      <c r="AJ49">
        <v>46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ROW(Source!A188)</f>
        <v>188</v>
      </c>
      <c r="B50">
        <v>49689059</v>
      </c>
      <c r="C50">
        <v>49689057</v>
      </c>
      <c r="D50">
        <v>30515951</v>
      </c>
      <c r="E50">
        <v>30515945</v>
      </c>
      <c r="F50">
        <v>1</v>
      </c>
      <c r="G50">
        <v>30515945</v>
      </c>
      <c r="H50">
        <v>1</v>
      </c>
      <c r="I50" t="s">
        <v>210</v>
      </c>
      <c r="J50" t="s">
        <v>5</v>
      </c>
      <c r="K50" t="s">
        <v>211</v>
      </c>
      <c r="L50">
        <v>1191</v>
      </c>
      <c r="N50">
        <v>1013</v>
      </c>
      <c r="O50" t="s">
        <v>212</v>
      </c>
      <c r="P50" t="s">
        <v>212</v>
      </c>
      <c r="Q50">
        <v>1</v>
      </c>
      <c r="X50">
        <v>43.21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 t="s">
        <v>5</v>
      </c>
      <c r="AG50">
        <v>43.21</v>
      </c>
      <c r="AH50">
        <v>2</v>
      </c>
      <c r="AI50">
        <v>49689058</v>
      </c>
      <c r="AJ50">
        <v>47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ROW(Source!A189)</f>
        <v>189</v>
      </c>
      <c r="B51">
        <v>49689066</v>
      </c>
      <c r="C51">
        <v>49689060</v>
      </c>
      <c r="D51">
        <v>30515951</v>
      </c>
      <c r="E51">
        <v>30515945</v>
      </c>
      <c r="F51">
        <v>1</v>
      </c>
      <c r="G51">
        <v>30515945</v>
      </c>
      <c r="H51">
        <v>1</v>
      </c>
      <c r="I51" t="s">
        <v>210</v>
      </c>
      <c r="J51" t="s">
        <v>5</v>
      </c>
      <c r="K51" t="s">
        <v>211</v>
      </c>
      <c r="L51">
        <v>1191</v>
      </c>
      <c r="N51">
        <v>1013</v>
      </c>
      <c r="O51" t="s">
        <v>212</v>
      </c>
      <c r="P51" t="s">
        <v>212</v>
      </c>
      <c r="Q51">
        <v>1</v>
      </c>
      <c r="X51">
        <v>47.6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 t="s">
        <v>5</v>
      </c>
      <c r="AG51">
        <v>47.6</v>
      </c>
      <c r="AH51">
        <v>2</v>
      </c>
      <c r="AI51">
        <v>49689061</v>
      </c>
      <c r="AJ51">
        <v>48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ROW(Source!A189)</f>
        <v>189</v>
      </c>
      <c r="B52">
        <v>49689067</v>
      </c>
      <c r="C52">
        <v>49689060</v>
      </c>
      <c r="D52">
        <v>30595321</v>
      </c>
      <c r="E52">
        <v>1</v>
      </c>
      <c r="F52">
        <v>1</v>
      </c>
      <c r="G52">
        <v>30515945</v>
      </c>
      <c r="H52">
        <v>2</v>
      </c>
      <c r="I52" t="s">
        <v>220</v>
      </c>
      <c r="J52" t="s">
        <v>221</v>
      </c>
      <c r="K52" t="s">
        <v>222</v>
      </c>
      <c r="L52">
        <v>1367</v>
      </c>
      <c r="N52">
        <v>1011</v>
      </c>
      <c r="O52" t="s">
        <v>216</v>
      </c>
      <c r="P52" t="s">
        <v>216</v>
      </c>
      <c r="Q52">
        <v>1</v>
      </c>
      <c r="X52">
        <v>1.79</v>
      </c>
      <c r="Y52">
        <v>0</v>
      </c>
      <c r="Z52">
        <v>190.93</v>
      </c>
      <c r="AA52">
        <v>18.149999999999999</v>
      </c>
      <c r="AB52">
        <v>0</v>
      </c>
      <c r="AC52">
        <v>0</v>
      </c>
      <c r="AD52">
        <v>1</v>
      </c>
      <c r="AE52">
        <v>0</v>
      </c>
      <c r="AF52" t="s">
        <v>5</v>
      </c>
      <c r="AG52">
        <v>1.79</v>
      </c>
      <c r="AH52">
        <v>2</v>
      </c>
      <c r="AI52">
        <v>49689062</v>
      </c>
      <c r="AJ52">
        <v>49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ROW(Source!A189)</f>
        <v>189</v>
      </c>
      <c r="B53">
        <v>49689068</v>
      </c>
      <c r="C53">
        <v>49689060</v>
      </c>
      <c r="D53">
        <v>30595500</v>
      </c>
      <c r="E53">
        <v>1</v>
      </c>
      <c r="F53">
        <v>1</v>
      </c>
      <c r="G53">
        <v>30515945</v>
      </c>
      <c r="H53">
        <v>2</v>
      </c>
      <c r="I53" t="s">
        <v>223</v>
      </c>
      <c r="J53" t="s">
        <v>224</v>
      </c>
      <c r="K53" t="s">
        <v>225</v>
      </c>
      <c r="L53">
        <v>1367</v>
      </c>
      <c r="N53">
        <v>1011</v>
      </c>
      <c r="O53" t="s">
        <v>216</v>
      </c>
      <c r="P53" t="s">
        <v>216</v>
      </c>
      <c r="Q53">
        <v>1</v>
      </c>
      <c r="X53">
        <v>1.47</v>
      </c>
      <c r="Y53">
        <v>0</v>
      </c>
      <c r="Z53">
        <v>246.68</v>
      </c>
      <c r="AA53">
        <v>13.37</v>
      </c>
      <c r="AB53">
        <v>0</v>
      </c>
      <c r="AC53">
        <v>0</v>
      </c>
      <c r="AD53">
        <v>1</v>
      </c>
      <c r="AE53">
        <v>0</v>
      </c>
      <c r="AF53" t="s">
        <v>5</v>
      </c>
      <c r="AG53">
        <v>1.47</v>
      </c>
      <c r="AH53">
        <v>2</v>
      </c>
      <c r="AI53">
        <v>49689063</v>
      </c>
      <c r="AJ53">
        <v>50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ROW(Source!A189)</f>
        <v>189</v>
      </c>
      <c r="B54">
        <v>49689069</v>
      </c>
      <c r="C54">
        <v>49689060</v>
      </c>
      <c r="D54">
        <v>30571181</v>
      </c>
      <c r="E54">
        <v>1</v>
      </c>
      <c r="F54">
        <v>1</v>
      </c>
      <c r="G54">
        <v>30515945</v>
      </c>
      <c r="H54">
        <v>3</v>
      </c>
      <c r="I54" t="s">
        <v>226</v>
      </c>
      <c r="J54" t="s">
        <v>227</v>
      </c>
      <c r="K54" t="s">
        <v>228</v>
      </c>
      <c r="L54">
        <v>1339</v>
      </c>
      <c r="N54">
        <v>1007</v>
      </c>
      <c r="O54" t="s">
        <v>27</v>
      </c>
      <c r="P54" t="s">
        <v>27</v>
      </c>
      <c r="Q54">
        <v>1</v>
      </c>
      <c r="X54">
        <v>5.2</v>
      </c>
      <c r="Y54">
        <v>7.07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 t="s">
        <v>5</v>
      </c>
      <c r="AG54">
        <v>5.2</v>
      </c>
      <c r="AH54">
        <v>2</v>
      </c>
      <c r="AI54">
        <v>49689064</v>
      </c>
      <c r="AJ54">
        <v>51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ROW(Source!A189)</f>
        <v>189</v>
      </c>
      <c r="B55">
        <v>49689070</v>
      </c>
      <c r="C55">
        <v>49689060</v>
      </c>
      <c r="D55">
        <v>30532403</v>
      </c>
      <c r="E55">
        <v>30515945</v>
      </c>
      <c r="F55">
        <v>1</v>
      </c>
      <c r="G55">
        <v>30515945</v>
      </c>
      <c r="H55">
        <v>3</v>
      </c>
      <c r="I55" t="s">
        <v>242</v>
      </c>
      <c r="J55" t="s">
        <v>5</v>
      </c>
      <c r="K55" t="s">
        <v>243</v>
      </c>
      <c r="L55">
        <v>1354</v>
      </c>
      <c r="N55">
        <v>1010</v>
      </c>
      <c r="O55" t="s">
        <v>179</v>
      </c>
      <c r="P55" t="s">
        <v>179</v>
      </c>
      <c r="Q55">
        <v>1</v>
      </c>
      <c r="X55">
        <v>10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5</v>
      </c>
      <c r="AG55">
        <v>10</v>
      </c>
      <c r="AH55">
        <v>3</v>
      </c>
      <c r="AI55">
        <v>-1</v>
      </c>
      <c r="AJ55" t="s">
        <v>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ROW(Source!A189)</f>
        <v>189</v>
      </c>
      <c r="B56">
        <v>49689071</v>
      </c>
      <c r="C56">
        <v>49689060</v>
      </c>
      <c r="D56">
        <v>30541208</v>
      </c>
      <c r="E56">
        <v>30515945</v>
      </c>
      <c r="F56">
        <v>1</v>
      </c>
      <c r="G56">
        <v>30515945</v>
      </c>
      <c r="H56">
        <v>3</v>
      </c>
      <c r="I56" t="s">
        <v>229</v>
      </c>
      <c r="J56" t="s">
        <v>5</v>
      </c>
      <c r="K56" t="s">
        <v>230</v>
      </c>
      <c r="L56">
        <v>1344</v>
      </c>
      <c r="N56">
        <v>1008</v>
      </c>
      <c r="O56" t="s">
        <v>231</v>
      </c>
      <c r="P56" t="s">
        <v>231</v>
      </c>
      <c r="Q56">
        <v>1</v>
      </c>
      <c r="X56">
        <v>37.24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5</v>
      </c>
      <c r="AG56">
        <v>37.24</v>
      </c>
      <c r="AH56">
        <v>2</v>
      </c>
      <c r="AI56">
        <v>49689065</v>
      </c>
      <c r="AJ56">
        <v>52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ROW(Source!A225)</f>
        <v>225</v>
      </c>
      <c r="B57">
        <v>49689076</v>
      </c>
      <c r="C57">
        <v>49689072</v>
      </c>
      <c r="D57">
        <v>30515951</v>
      </c>
      <c r="E57">
        <v>30515945</v>
      </c>
      <c r="F57">
        <v>1</v>
      </c>
      <c r="G57">
        <v>30515945</v>
      </c>
      <c r="H57">
        <v>1</v>
      </c>
      <c r="I57" t="s">
        <v>210</v>
      </c>
      <c r="J57" t="s">
        <v>5</v>
      </c>
      <c r="K57" t="s">
        <v>211</v>
      </c>
      <c r="L57">
        <v>1191</v>
      </c>
      <c r="N57">
        <v>1013</v>
      </c>
      <c r="O57" t="s">
        <v>212</v>
      </c>
      <c r="P57" t="s">
        <v>212</v>
      </c>
      <c r="Q57">
        <v>1</v>
      </c>
      <c r="X57">
        <v>0.49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 t="s">
        <v>121</v>
      </c>
      <c r="AG57">
        <v>1.96</v>
      </c>
      <c r="AH57">
        <v>2</v>
      </c>
      <c r="AI57">
        <v>49689073</v>
      </c>
      <c r="AJ57">
        <v>53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ROW(Source!A225)</f>
        <v>225</v>
      </c>
      <c r="B58">
        <v>49689077</v>
      </c>
      <c r="C58">
        <v>49689072</v>
      </c>
      <c r="D58">
        <v>30595500</v>
      </c>
      <c r="E58">
        <v>1</v>
      </c>
      <c r="F58">
        <v>1</v>
      </c>
      <c r="G58">
        <v>30515945</v>
      </c>
      <c r="H58">
        <v>2</v>
      </c>
      <c r="I58" t="s">
        <v>223</v>
      </c>
      <c r="J58" t="s">
        <v>224</v>
      </c>
      <c r="K58" t="s">
        <v>225</v>
      </c>
      <c r="L58">
        <v>1367</v>
      </c>
      <c r="N58">
        <v>1011</v>
      </c>
      <c r="O58" t="s">
        <v>216</v>
      </c>
      <c r="P58" t="s">
        <v>216</v>
      </c>
      <c r="Q58">
        <v>1</v>
      </c>
      <c r="X58">
        <v>0.24</v>
      </c>
      <c r="Y58">
        <v>0</v>
      </c>
      <c r="Z58">
        <v>246.68</v>
      </c>
      <c r="AA58">
        <v>13.37</v>
      </c>
      <c r="AB58">
        <v>0</v>
      </c>
      <c r="AC58">
        <v>0</v>
      </c>
      <c r="AD58">
        <v>1</v>
      </c>
      <c r="AE58">
        <v>0</v>
      </c>
      <c r="AF58" t="s">
        <v>121</v>
      </c>
      <c r="AG58">
        <v>0.96</v>
      </c>
      <c r="AH58">
        <v>2</v>
      </c>
      <c r="AI58">
        <v>49689074</v>
      </c>
      <c r="AJ58">
        <v>54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ROW(Source!A225)</f>
        <v>225</v>
      </c>
      <c r="B59">
        <v>49689078</v>
      </c>
      <c r="C59">
        <v>49689072</v>
      </c>
      <c r="D59">
        <v>30571181</v>
      </c>
      <c r="E59">
        <v>1</v>
      </c>
      <c r="F59">
        <v>1</v>
      </c>
      <c r="G59">
        <v>30515945</v>
      </c>
      <c r="H59">
        <v>3</v>
      </c>
      <c r="I59" t="s">
        <v>226</v>
      </c>
      <c r="J59" t="s">
        <v>227</v>
      </c>
      <c r="K59" t="s">
        <v>228</v>
      </c>
      <c r="L59">
        <v>1339</v>
      </c>
      <c r="N59">
        <v>1007</v>
      </c>
      <c r="O59" t="s">
        <v>27</v>
      </c>
      <c r="P59" t="s">
        <v>27</v>
      </c>
      <c r="Q59">
        <v>1</v>
      </c>
      <c r="X59">
        <v>1</v>
      </c>
      <c r="Y59">
        <v>7.07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121</v>
      </c>
      <c r="AG59">
        <v>4</v>
      </c>
      <c r="AH59">
        <v>2</v>
      </c>
      <c r="AI59">
        <v>49689075</v>
      </c>
      <c r="AJ59">
        <v>55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ROW(Source!A226)</f>
        <v>226</v>
      </c>
      <c r="B60">
        <v>49689081</v>
      </c>
      <c r="C60">
        <v>49689079</v>
      </c>
      <c r="D60">
        <v>30515951</v>
      </c>
      <c r="E60">
        <v>30515945</v>
      </c>
      <c r="F60">
        <v>1</v>
      </c>
      <c r="G60">
        <v>30515945</v>
      </c>
      <c r="H60">
        <v>1</v>
      </c>
      <c r="I60" t="s">
        <v>210</v>
      </c>
      <c r="J60" t="s">
        <v>5</v>
      </c>
      <c r="K60" t="s">
        <v>211</v>
      </c>
      <c r="L60">
        <v>1191</v>
      </c>
      <c r="N60">
        <v>1013</v>
      </c>
      <c r="O60" t="s">
        <v>212</v>
      </c>
      <c r="P60" t="s">
        <v>212</v>
      </c>
      <c r="Q60">
        <v>1</v>
      </c>
      <c r="X60">
        <v>6.59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 t="s">
        <v>121</v>
      </c>
      <c r="AG60">
        <v>26.36</v>
      </c>
      <c r="AH60">
        <v>2</v>
      </c>
      <c r="AI60">
        <v>49689080</v>
      </c>
      <c r="AJ60">
        <v>56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ROW(Source!A298)</f>
        <v>298</v>
      </c>
      <c r="B61">
        <v>49689889</v>
      </c>
      <c r="C61">
        <v>49689082</v>
      </c>
      <c r="D61">
        <v>31070581</v>
      </c>
      <c r="E61">
        <v>1</v>
      </c>
      <c r="F61">
        <v>1</v>
      </c>
      <c r="G61">
        <v>30515945</v>
      </c>
      <c r="H61">
        <v>2</v>
      </c>
      <c r="I61" t="s">
        <v>238</v>
      </c>
      <c r="J61" t="s">
        <v>239</v>
      </c>
      <c r="K61" t="s">
        <v>240</v>
      </c>
      <c r="L61">
        <v>1367</v>
      </c>
      <c r="N61">
        <v>1011</v>
      </c>
      <c r="O61" t="s">
        <v>216</v>
      </c>
      <c r="P61" t="s">
        <v>216</v>
      </c>
      <c r="Q61">
        <v>1</v>
      </c>
      <c r="X61">
        <v>1</v>
      </c>
      <c r="Y61">
        <v>0</v>
      </c>
      <c r="Z61">
        <v>162.03</v>
      </c>
      <c r="AA61">
        <v>16.920000000000002</v>
      </c>
      <c r="AB61">
        <v>0</v>
      </c>
      <c r="AC61">
        <v>0</v>
      </c>
      <c r="AD61">
        <v>1</v>
      </c>
      <c r="AE61">
        <v>0</v>
      </c>
      <c r="AF61" t="s">
        <v>5</v>
      </c>
      <c r="AG61">
        <v>1</v>
      </c>
      <c r="AH61">
        <v>2</v>
      </c>
      <c r="AI61">
        <v>49689889</v>
      </c>
      <c r="AJ61">
        <v>57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ROW(Source!A334)</f>
        <v>334</v>
      </c>
      <c r="B62">
        <v>49689890</v>
      </c>
      <c r="C62">
        <v>49689085</v>
      </c>
      <c r="D62">
        <v>31070581</v>
      </c>
      <c r="E62">
        <v>1</v>
      </c>
      <c r="F62">
        <v>1</v>
      </c>
      <c r="G62">
        <v>30515945</v>
      </c>
      <c r="H62">
        <v>2</v>
      </c>
      <c r="I62" t="s">
        <v>238</v>
      </c>
      <c r="J62" t="s">
        <v>239</v>
      </c>
      <c r="K62" t="s">
        <v>240</v>
      </c>
      <c r="L62">
        <v>1367</v>
      </c>
      <c r="N62">
        <v>1011</v>
      </c>
      <c r="O62" t="s">
        <v>216</v>
      </c>
      <c r="P62" t="s">
        <v>216</v>
      </c>
      <c r="Q62">
        <v>1</v>
      </c>
      <c r="X62">
        <v>1</v>
      </c>
      <c r="Y62">
        <v>0</v>
      </c>
      <c r="Z62">
        <v>162.03</v>
      </c>
      <c r="AA62">
        <v>16.920000000000002</v>
      </c>
      <c r="AB62">
        <v>0</v>
      </c>
      <c r="AC62">
        <v>0</v>
      </c>
      <c r="AD62">
        <v>1</v>
      </c>
      <c r="AE62">
        <v>0</v>
      </c>
      <c r="AF62" t="s">
        <v>5</v>
      </c>
      <c r="AG62">
        <v>1</v>
      </c>
      <c r="AH62">
        <v>2</v>
      </c>
      <c r="AI62">
        <v>49689890</v>
      </c>
      <c r="AJ62">
        <v>58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0"/>
  <sheetViews>
    <sheetView view="pageBreakPreview" topLeftCell="A51" zoomScale="85" zoomScaleNormal="100" zoomScaleSheetLayoutView="85" workbookViewId="0">
      <selection activeCell="J12" sqref="J12"/>
    </sheetView>
  </sheetViews>
  <sheetFormatPr defaultRowHeight="12.75" x14ac:dyDescent="0.2"/>
  <cols>
    <col min="1" max="1" width="6.7109375" customWidth="1"/>
    <col min="2" max="2" width="75.7109375" customWidth="1"/>
    <col min="3" max="4" width="15.7109375" customWidth="1"/>
    <col min="5" max="5" width="16.5703125" customWidth="1"/>
    <col min="30" max="30" width="114.7109375" hidden="1" customWidth="1"/>
    <col min="31" max="31" width="129.7109375" hidden="1" customWidth="1"/>
  </cols>
  <sheetData>
    <row r="1" spans="1:31" x14ac:dyDescent="0.2">
      <c r="A1" s="10" t="str">
        <f>[1]Source!B1</f>
        <v>Smeta.RU  (495) 974-1589</v>
      </c>
    </row>
    <row r="2" spans="1:31" ht="15.75" x14ac:dyDescent="0.25">
      <c r="C2" s="301" t="s">
        <v>298</v>
      </c>
      <c r="D2" s="301"/>
      <c r="E2" s="301"/>
      <c r="F2" s="301"/>
    </row>
    <row r="3" spans="1:31" ht="15" x14ac:dyDescent="0.2">
      <c r="C3" s="323" t="s">
        <v>299</v>
      </c>
      <c r="D3" s="323"/>
      <c r="E3" s="323"/>
      <c r="F3" s="323"/>
    </row>
    <row r="4" spans="1:31" ht="48" customHeight="1" x14ac:dyDescent="0.2">
      <c r="C4" s="324" t="s">
        <v>332</v>
      </c>
      <c r="D4" s="325"/>
      <c r="E4" s="325"/>
      <c r="F4" s="196"/>
    </row>
    <row r="5" spans="1:31" ht="54" customHeight="1" x14ac:dyDescent="0.2">
      <c r="C5" s="323" t="s">
        <v>333</v>
      </c>
      <c r="D5" s="323"/>
      <c r="E5" s="323"/>
      <c r="F5" s="323"/>
    </row>
    <row r="6" spans="1:31" ht="38.25" customHeight="1" x14ac:dyDescent="0.2">
      <c r="C6" s="297" t="s">
        <v>302</v>
      </c>
      <c r="D6" s="297"/>
      <c r="E6" s="297"/>
      <c r="F6" s="297"/>
    </row>
    <row r="7" spans="1:31" ht="24.75" customHeight="1" x14ac:dyDescent="0.25">
      <c r="C7" s="313"/>
      <c r="D7" s="313"/>
    </row>
    <row r="8" spans="1:31" ht="15" x14ac:dyDescent="0.25">
      <c r="C8" s="194"/>
      <c r="D8" s="194"/>
    </row>
    <row r="9" spans="1:31" ht="15" x14ac:dyDescent="0.25">
      <c r="C9" s="193"/>
      <c r="D9" s="12"/>
    </row>
    <row r="10" spans="1:31" ht="14.25" x14ac:dyDescent="0.2">
      <c r="A10" s="12"/>
      <c r="B10" s="12"/>
      <c r="C10" s="12"/>
      <c r="D10" s="12"/>
      <c r="E10" s="12"/>
    </row>
    <row r="11" spans="1:31" ht="15.75" x14ac:dyDescent="0.25">
      <c r="A11" s="314" t="s">
        <v>485</v>
      </c>
      <c r="B11" s="314"/>
      <c r="C11" s="314"/>
      <c r="D11" s="314"/>
      <c r="E11" s="12"/>
    </row>
    <row r="12" spans="1:31" ht="36" customHeight="1" x14ac:dyDescent="0.25">
      <c r="A12" s="322" t="s">
        <v>481</v>
      </c>
      <c r="B12" s="322"/>
      <c r="C12" s="322"/>
      <c r="D12" s="322"/>
      <c r="E12" s="12"/>
      <c r="AD12" s="195" t="str">
        <f>CONCATENATE("На капитальный ремонт ", [1]Source!F12, " ", [1]Source!G12)</f>
        <v>На капитальный ремонт Новый объект_(Копия)_(Копия)_(Копия) Озеленение особо охраняемых природных территорий города Москвы в рамках программы "Наше дерево" в весенний период 2021 года</v>
      </c>
    </row>
    <row r="13" spans="1:31" ht="14.25" x14ac:dyDescent="0.2">
      <c r="A13" s="12"/>
      <c r="B13" s="12"/>
      <c r="C13" s="12"/>
      <c r="D13" s="12"/>
      <c r="E13" s="12"/>
    </row>
    <row r="14" spans="1:31" ht="28.5" x14ac:dyDescent="0.2">
      <c r="A14" s="22" t="s">
        <v>258</v>
      </c>
      <c r="B14" s="22" t="s">
        <v>260</v>
      </c>
      <c r="C14" s="22" t="s">
        <v>285</v>
      </c>
      <c r="D14" s="22" t="s">
        <v>286</v>
      </c>
      <c r="E14" s="23" t="s">
        <v>287</v>
      </c>
    </row>
    <row r="15" spans="1:31" ht="14.25" x14ac:dyDescent="0.2">
      <c r="A15" s="54">
        <v>1</v>
      </c>
      <c r="B15" s="54">
        <v>2</v>
      </c>
      <c r="C15" s="54">
        <v>3</v>
      </c>
      <c r="D15" s="54">
        <v>4</v>
      </c>
      <c r="E15" s="55">
        <v>5</v>
      </c>
    </row>
    <row r="16" spans="1:31" ht="33" x14ac:dyDescent="0.25">
      <c r="A16" s="312" t="str">
        <f>CONCATENATE("Локальная смета № 1: ", [1]Source!G20)</f>
        <v>Локальная смета № 1: Посадка деревьев с комом земли 1,5х1,5х0,65 м, 1,0х1,0х0,6 м, восстановление отпада и уходные работы</v>
      </c>
      <c r="B16" s="312"/>
      <c r="C16" s="312"/>
      <c r="D16" s="312"/>
      <c r="E16" s="312"/>
      <c r="AE16" s="197" t="str">
        <f>CONCATENATE("Локальная смета: ", [1]Source!G20)</f>
        <v>Локальная смета: Посадка деревьев с комом земли 1,5х1,5х0,65 м, 1,0х1,0х0,6 м, восстановление отпада и уходные работы</v>
      </c>
    </row>
    <row r="17" spans="1:5" ht="16.5" x14ac:dyDescent="0.25">
      <c r="A17" s="312" t="str">
        <f>CONCATENATE("Раздел: ", [1]Source!G24)</f>
        <v>Раздел: Посадка деревьев с комом земли 1,5х1,5х0,65 м - 4625 шт.</v>
      </c>
      <c r="B17" s="312"/>
      <c r="C17" s="312"/>
      <c r="D17" s="312"/>
      <c r="E17" s="312"/>
    </row>
    <row r="18" spans="1:5" ht="42.75" x14ac:dyDescent="0.2">
      <c r="A18" s="60" t="str">
        <f>[1]Source!E28</f>
        <v>1</v>
      </c>
      <c r="B18" s="61" t="str">
        <f>[1]Source!G28</f>
        <v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v>
      </c>
      <c r="C18" s="62" t="str">
        <f>[1]Source!H28</f>
        <v>10 ям</v>
      </c>
      <c r="D18" s="63">
        <f>[1]Source!I28</f>
        <v>346.875</v>
      </c>
      <c r="E18" s="61"/>
    </row>
    <row r="19" spans="1:5" ht="14.25" x14ac:dyDescent="0.2">
      <c r="A19" s="60" t="str">
        <f>[1]Source!E29</f>
        <v>1,1</v>
      </c>
      <c r="B19" s="61" t="str">
        <f>[1]Source!G29</f>
        <v>Земля растительная</v>
      </c>
      <c r="C19" s="62" t="str">
        <f>[1]Source!H29</f>
        <v>м3</v>
      </c>
      <c r="D19" s="63">
        <f>[1]Source!I29</f>
        <v>4856.25</v>
      </c>
      <c r="E19" s="61"/>
    </row>
    <row r="20" spans="1:5" ht="42.75" x14ac:dyDescent="0.2">
      <c r="A20" s="60" t="str">
        <f>[1]Source!E30</f>
        <v>2</v>
      </c>
      <c r="B20" s="61" t="str">
        <f>[1]Source!G30</f>
        <v>Подготовка стандартных посадочных мест вручную с квадратным комом земли размером 1,5х1,5х0,65 м с добавлением растительной земли до 50%</v>
      </c>
      <c r="C20" s="62" t="str">
        <f>[1]Source!H30</f>
        <v>10 ям</v>
      </c>
      <c r="D20" s="63">
        <f>[1]Source!I30</f>
        <v>115.625</v>
      </c>
      <c r="E20" s="61"/>
    </row>
    <row r="21" spans="1:5" ht="14.25" x14ac:dyDescent="0.2">
      <c r="A21" s="60" t="str">
        <f>[1]Source!E31</f>
        <v>2,1</v>
      </c>
      <c r="B21" s="61" t="str">
        <f>[1]Source!G31</f>
        <v>Земля растительная</v>
      </c>
      <c r="C21" s="62" t="str">
        <f>[1]Source!H31</f>
        <v>м3</v>
      </c>
      <c r="D21" s="63">
        <f>[1]Source!I31</f>
        <v>1618.75</v>
      </c>
      <c r="E21" s="61"/>
    </row>
    <row r="22" spans="1:5" ht="42.75" x14ac:dyDescent="0.2">
      <c r="A22" s="60" t="str">
        <f>[1]Source!E32</f>
        <v>3</v>
      </c>
      <c r="B22" s="61" t="str">
        <f>[1]Source!G32</f>
        <v>Посадка деревьев и кустарников с комом земли размером 1,5х1,5х0,65 м</v>
      </c>
      <c r="C22" s="62" t="str">
        <f>[1]Source!H32</f>
        <v>10 деревьев или кустарников</v>
      </c>
      <c r="D22" s="63">
        <f>[1]Source!I32</f>
        <v>462.5</v>
      </c>
      <c r="E22" s="61"/>
    </row>
    <row r="23" spans="1:5" ht="14.25" x14ac:dyDescent="0.2">
      <c r="A23" s="60" t="str">
        <f>[1]Source!E33</f>
        <v>4</v>
      </c>
      <c r="B23" s="61" t="str">
        <f>[1]Source!G33</f>
        <v>Груша плодовая с комом 1,5х1,5х0,65 м (или эквивалент)</v>
      </c>
      <c r="C23" s="62" t="str">
        <f>[1]Source!H33</f>
        <v>шт.</v>
      </c>
      <c r="D23" s="63">
        <f>[1]Source!I33</f>
        <v>47</v>
      </c>
      <c r="E23" s="61"/>
    </row>
    <row r="24" spans="1:5" ht="14.25" x14ac:dyDescent="0.2">
      <c r="A24" s="60" t="str">
        <f>[1]Source!E34</f>
        <v>5</v>
      </c>
      <c r="B24" s="61" t="str">
        <f>[1]Source!G34</f>
        <v>Груша плодовая с комом 1,5х1,5х0,65 м (или эквивалент)</v>
      </c>
      <c r="C24" s="62" t="str">
        <f>[1]Source!H34</f>
        <v>шт.</v>
      </c>
      <c r="D24" s="63">
        <f>[1]Source!I34</f>
        <v>17</v>
      </c>
      <c r="E24" s="61"/>
    </row>
    <row r="25" spans="1:5" ht="14.25" x14ac:dyDescent="0.2">
      <c r="A25" s="60" t="str">
        <f>[1]Source!E35</f>
        <v>6</v>
      </c>
      <c r="B25" s="61" t="str">
        <f>[1]Source!G35</f>
        <v>Ива белая с комом 1,5х1,5х0,65 м (или эквивалент)</v>
      </c>
      <c r="C25" s="62" t="str">
        <f>[1]Source!H35</f>
        <v>шт.</v>
      </c>
      <c r="D25" s="63">
        <f>[1]Source!I35</f>
        <v>656</v>
      </c>
      <c r="E25" s="61"/>
    </row>
    <row r="26" spans="1:5" ht="14.25" x14ac:dyDescent="0.2">
      <c r="A26" s="60" t="str">
        <f>[1]Source!E36</f>
        <v>7</v>
      </c>
      <c r="B26" s="61" t="str">
        <f>[1]Source!G36</f>
        <v>Клен остролистный 1,5х1,5х0,65 м (или эквивалент)</v>
      </c>
      <c r="C26" s="62" t="str">
        <f>[1]Source!H36</f>
        <v>шт.</v>
      </c>
      <c r="D26" s="63">
        <f>[1]Source!I36</f>
        <v>590</v>
      </c>
      <c r="E26" s="61"/>
    </row>
    <row r="27" spans="1:5" ht="14.25" x14ac:dyDescent="0.2">
      <c r="A27" s="60" t="str">
        <f>[1]Source!E37</f>
        <v>8</v>
      </c>
      <c r="B27" s="61" t="str">
        <f>[1]Source!G37</f>
        <v>Липа мелколистная с комом 1,5х1,5х0,65 м (или эквивалент)</v>
      </c>
      <c r="C27" s="62" t="str">
        <f>[1]Source!H37</f>
        <v>шт.</v>
      </c>
      <c r="D27" s="63">
        <f>[1]Source!I37</f>
        <v>2646</v>
      </c>
      <c r="E27" s="61"/>
    </row>
    <row r="28" spans="1:5" ht="14.25" x14ac:dyDescent="0.2">
      <c r="A28" s="60" t="str">
        <f>[1]Source!E38</f>
        <v>9</v>
      </c>
      <c r="B28" s="61" t="str">
        <f>[1]Source!G38</f>
        <v>Рябина обыкновенная 1,5х1,5х0,65 м (или эквивалент)</v>
      </c>
      <c r="C28" s="62" t="str">
        <f>[1]Source!H38</f>
        <v>шт.</v>
      </c>
      <c r="D28" s="63">
        <f>[1]Source!I38</f>
        <v>362</v>
      </c>
      <c r="E28" s="61"/>
    </row>
    <row r="29" spans="1:5" ht="14.25" x14ac:dyDescent="0.2">
      <c r="A29" s="60" t="str">
        <f>[1]Source!E39</f>
        <v>10</v>
      </c>
      <c r="B29" s="61" t="str">
        <f>[1]Source!G39</f>
        <v>Сосна обыкновенная с комом 1,5х1,5х0,65 м (или эквивалент)</v>
      </c>
      <c r="C29" s="62" t="str">
        <f>[1]Source!H39</f>
        <v>шт.</v>
      </c>
      <c r="D29" s="63">
        <f>[1]Source!I39</f>
        <v>307</v>
      </c>
      <c r="E29" s="61"/>
    </row>
    <row r="30" spans="1:5" ht="57" x14ac:dyDescent="0.2">
      <c r="A30" s="60" t="str">
        <f>[1]Source!E40</f>
        <v>11</v>
      </c>
      <c r="B30" s="61" t="str">
        <f>[1]Source!G40</f>
        <v>Разработка грунта с погрузкой на автомобили-самосвалы экскаваторами с ковшом вместимостью 0,5 м3 группа грунтов 1-3 (Объем грунта на 1 дерево: (5,18 м3 - 1,46 м3) х 50% + 1,46 м3 = 3,32 м3; Общий объем грунта: 3,32 м3/дер. х 4625 дер. = 15355,0 м3)</v>
      </c>
      <c r="C30" s="62" t="str">
        <f>[1]Source!H40</f>
        <v>100 м3 грунта</v>
      </c>
      <c r="D30" s="63">
        <f>[1]Source!I40</f>
        <v>153.55000000000001</v>
      </c>
      <c r="E30" s="61"/>
    </row>
    <row r="31" spans="1:5" ht="28.5" x14ac:dyDescent="0.2">
      <c r="A31" s="60" t="str">
        <f>[1]Source!E41</f>
        <v>12</v>
      </c>
      <c r="B31" s="61" t="str">
        <f>[1]Source!G41</f>
        <v>Планировка участка вручную (разравнивание грунта от разработки ям, толщина слоя 0,1 м)</v>
      </c>
      <c r="C31" s="62" t="str">
        <f>[1]Source!H41</f>
        <v>100 м2</v>
      </c>
      <c r="D31" s="63">
        <f>[1]Source!I41</f>
        <v>1535.5</v>
      </c>
      <c r="E31" s="61"/>
    </row>
    <row r="32" spans="1:5" ht="16.5" x14ac:dyDescent="0.25">
      <c r="A32" s="312" t="str">
        <f>CONCATENATE("Раздел: ", [1]Source!G73)</f>
        <v>Раздел: Восстановление отпада деревьев с комом земли 1,5х1,5х0,65 м - 229 шт.</v>
      </c>
      <c r="B32" s="312"/>
      <c r="C32" s="312"/>
      <c r="D32" s="312"/>
      <c r="E32" s="312"/>
    </row>
    <row r="33" spans="1:5" ht="42.75" x14ac:dyDescent="0.2">
      <c r="A33" s="60" t="str">
        <f>[1]Source!E77</f>
        <v>13</v>
      </c>
      <c r="B33" s="61" t="str">
        <f>[1]Source!G77</f>
        <v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v>
      </c>
      <c r="C33" s="62" t="str">
        <f>[1]Source!H77</f>
        <v>10 ям</v>
      </c>
      <c r="D33" s="63">
        <f>[1]Source!I77</f>
        <v>17.175000000000001</v>
      </c>
      <c r="E33" s="61"/>
    </row>
    <row r="34" spans="1:5" ht="28.5" x14ac:dyDescent="0.2">
      <c r="A34" s="60" t="str">
        <f>[1]Source!E78</f>
        <v>14</v>
      </c>
      <c r="B34" s="61" t="str">
        <f>[1]Source!G78</f>
        <v>Подготовка стандартных посадочных мест вручную с квадратным комом земли размером 1,5х1,5х0,65 м в естественном грунте</v>
      </c>
      <c r="C34" s="62" t="str">
        <f>[1]Source!H78</f>
        <v>10 ям</v>
      </c>
      <c r="D34" s="63">
        <f>[1]Source!I78</f>
        <v>5.7249999999999996</v>
      </c>
      <c r="E34" s="61"/>
    </row>
    <row r="35" spans="1:5" ht="42.75" x14ac:dyDescent="0.2">
      <c r="A35" s="60" t="str">
        <f>[1]Source!E79</f>
        <v>15</v>
      </c>
      <c r="B35" s="61" t="str">
        <f>[1]Source!G79</f>
        <v>Посадка деревьев и кустарников с комом земли размером 1,5х1,5х0,65 м</v>
      </c>
      <c r="C35" s="62" t="str">
        <f>[1]Source!H79</f>
        <v>10 деревьев или кустарников</v>
      </c>
      <c r="D35" s="63">
        <f>[1]Source!I79</f>
        <v>22.9</v>
      </c>
      <c r="E35" s="61"/>
    </row>
    <row r="36" spans="1:5" ht="14.25" x14ac:dyDescent="0.2">
      <c r="A36" s="60" t="str">
        <f>[1]Source!E80</f>
        <v>16</v>
      </c>
      <c r="B36" s="61" t="str">
        <f>[1]Source!G80</f>
        <v>Груша плодовая с комом 1,5х1,5х0,65 м (или эквивалент)</v>
      </c>
      <c r="C36" s="62" t="str">
        <f>[1]Source!H80</f>
        <v>шт.</v>
      </c>
      <c r="D36" s="63">
        <f>[1]Source!I80</f>
        <v>3</v>
      </c>
      <c r="E36" s="61"/>
    </row>
    <row r="37" spans="1:5" ht="14.25" x14ac:dyDescent="0.2">
      <c r="A37" s="60" t="str">
        <f>[1]Source!E81</f>
        <v>17</v>
      </c>
      <c r="B37" s="61" t="str">
        <f>[1]Source!G81</f>
        <v>Ива белая с комом 1,5х1,5х0,65 м (или эквивалент)</v>
      </c>
      <c r="C37" s="62" t="str">
        <f>[1]Source!H81</f>
        <v>шт.</v>
      </c>
      <c r="D37" s="63">
        <f>[1]Source!I81</f>
        <v>32</v>
      </c>
      <c r="E37" s="61"/>
    </row>
    <row r="38" spans="1:5" ht="14.25" x14ac:dyDescent="0.2">
      <c r="A38" s="60" t="str">
        <f>[1]Source!E82</f>
        <v>18</v>
      </c>
      <c r="B38" s="61" t="str">
        <f>[1]Source!G82</f>
        <v>Клен остролистный 1,5х1,5х0,65 м (или эквивалент)</v>
      </c>
      <c r="C38" s="62" t="str">
        <f>[1]Source!H82</f>
        <v>шт.</v>
      </c>
      <c r="D38" s="63">
        <f>[1]Source!I82</f>
        <v>29</v>
      </c>
      <c r="E38" s="61"/>
    </row>
    <row r="39" spans="1:5" ht="14.25" x14ac:dyDescent="0.2">
      <c r="A39" s="60" t="str">
        <f>[1]Source!E83</f>
        <v>19</v>
      </c>
      <c r="B39" s="61" t="str">
        <f>[1]Source!G83</f>
        <v>Липа мелколистная с комом 1,5х1,5х0,65 м  (или эквивалент)</v>
      </c>
      <c r="C39" s="62" t="str">
        <f>[1]Source!H83</f>
        <v>шт.</v>
      </c>
      <c r="D39" s="63">
        <f>[1]Source!I83</f>
        <v>132</v>
      </c>
      <c r="E39" s="61"/>
    </row>
    <row r="40" spans="1:5" ht="14.25" x14ac:dyDescent="0.2">
      <c r="A40" s="60" t="str">
        <f>[1]Source!E84</f>
        <v>20</v>
      </c>
      <c r="B40" s="61" t="str">
        <f>[1]Source!G84</f>
        <v>Рябина обыкновенная 1,5х1,5х0,65 м (или эквивалент)</v>
      </c>
      <c r="C40" s="62" t="str">
        <f>[1]Source!H84</f>
        <v>шт.</v>
      </c>
      <c r="D40" s="63">
        <f>[1]Source!I84</f>
        <v>18</v>
      </c>
      <c r="E40" s="61"/>
    </row>
    <row r="41" spans="1:5" ht="14.25" x14ac:dyDescent="0.2">
      <c r="A41" s="60" t="str">
        <f>[1]Source!E85</f>
        <v>21</v>
      </c>
      <c r="B41" s="61" t="str">
        <f>[1]Source!G85</f>
        <v>Сосна обыкновенная с комом 1,5х1,5х0,65 м  (или эквивалент)</v>
      </c>
      <c r="C41" s="62" t="str">
        <f>[1]Source!H85</f>
        <v>шт.</v>
      </c>
      <c r="D41" s="63">
        <f>[1]Source!I85</f>
        <v>15</v>
      </c>
      <c r="E41" s="61"/>
    </row>
    <row r="42" spans="1:5" ht="16.5" x14ac:dyDescent="0.25">
      <c r="A42" s="312" t="str">
        <f>CONCATENATE("Раздел: ", [1]Source!G117)</f>
        <v>Раздел: Уход за деревьями с комом земли 1,5х1,5х0,65 м - 4625 шт.</v>
      </c>
      <c r="B42" s="312"/>
      <c r="C42" s="312"/>
      <c r="D42" s="312"/>
      <c r="E42" s="312"/>
    </row>
    <row r="43" spans="1:5" ht="42.75" x14ac:dyDescent="0.2">
      <c r="A43" s="60" t="str">
        <f>[1]Source!E121</f>
        <v>22</v>
      </c>
      <c r="B43" s="61" t="str">
        <f>[1]Source!G121</f>
        <v>Полив зеленых насаждений из шланга поливомоечной машины (К=4)</v>
      </c>
      <c r="C43" s="62" t="str">
        <f>[1]Source!H121</f>
        <v>1 м3 выливаемой воды</v>
      </c>
      <c r="D43" s="63">
        <f>[1]Source!I121</f>
        <v>799.2</v>
      </c>
      <c r="E43" s="61"/>
    </row>
    <row r="44" spans="1:5" ht="42.75" x14ac:dyDescent="0.2">
      <c r="A44" s="60" t="str">
        <f>[1]Source!E122</f>
        <v>23</v>
      </c>
      <c r="B44" s="61" t="str">
        <f>[1]Source!G122</f>
        <v>Прополка и рыхление лунок или канавок (К=4)</v>
      </c>
      <c r="C44" s="62" t="str">
        <f>[1]Source!H122</f>
        <v>100 м2 площади лунок или канавок</v>
      </c>
      <c r="D44" s="63">
        <f>[1]Source!I122</f>
        <v>266.39999999999998</v>
      </c>
      <c r="E44" s="61"/>
    </row>
    <row r="45" spans="1:5" ht="16.5" x14ac:dyDescent="0.25">
      <c r="A45" s="312" t="str">
        <f>CONCATENATE("Раздел: ", [1]Source!G154)</f>
        <v>Раздел: Посадка деревьев с комом земли 1,0х1,0х0,6 м - 91 шт.</v>
      </c>
      <c r="B45" s="312"/>
      <c r="C45" s="312"/>
      <c r="D45" s="312"/>
      <c r="E45" s="312"/>
    </row>
    <row r="46" spans="1:5" ht="42.75" x14ac:dyDescent="0.2">
      <c r="A46" s="60" t="str">
        <f>[1]Source!E158</f>
        <v>24</v>
      </c>
      <c r="B46" s="61" t="str">
        <f>[1]Source!G158</f>
        <v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v>
      </c>
      <c r="C46" s="62" t="str">
        <f>[1]Source!H158</f>
        <v>10 ям</v>
      </c>
      <c r="D46" s="63">
        <f>[1]Source!I158</f>
        <v>6.8250000000000002</v>
      </c>
      <c r="E46" s="61"/>
    </row>
    <row r="47" spans="1:5" ht="14.25" x14ac:dyDescent="0.2">
      <c r="A47" s="60" t="str">
        <f>[1]Source!E159</f>
        <v>24,1</v>
      </c>
      <c r="B47" s="61" t="str">
        <f>[1]Source!G159</f>
        <v>Земля растительная</v>
      </c>
      <c r="C47" s="62" t="str">
        <f>[1]Source!H159</f>
        <v>м3</v>
      </c>
      <c r="D47" s="63">
        <f>[1]Source!I159</f>
        <v>63.1995</v>
      </c>
      <c r="E47" s="61"/>
    </row>
    <row r="48" spans="1:5" ht="28.5" x14ac:dyDescent="0.2">
      <c r="A48" s="60" t="str">
        <f>[1]Source!E160</f>
        <v>25</v>
      </c>
      <c r="B48" s="61" t="str">
        <f>[1]Source!G160</f>
        <v>Подготовка стандартных посадочных мест вручную с квадратным комом земли размером 1,0х1,0х0,6 м с добавлением растительной земли 50%</v>
      </c>
      <c r="C48" s="62" t="str">
        <f>[1]Source!H160</f>
        <v>10 ям</v>
      </c>
      <c r="D48" s="63">
        <f>[1]Source!I160</f>
        <v>2.2749999999999999</v>
      </c>
      <c r="E48" s="61"/>
    </row>
    <row r="49" spans="1:31" ht="14.25" x14ac:dyDescent="0.2">
      <c r="A49" s="60" t="str">
        <f>[1]Source!E161</f>
        <v>25,1</v>
      </c>
      <c r="B49" s="61" t="str">
        <f>[1]Source!G161</f>
        <v>Земля растительная</v>
      </c>
      <c r="C49" s="62" t="str">
        <f>[1]Source!H161</f>
        <v>м3</v>
      </c>
      <c r="D49" s="63">
        <f>[1]Source!I161</f>
        <v>21.066500000000001</v>
      </c>
      <c r="E49" s="61"/>
    </row>
    <row r="50" spans="1:31" ht="42.75" x14ac:dyDescent="0.2">
      <c r="A50" s="60" t="str">
        <f>[1]Source!E162</f>
        <v>26</v>
      </c>
      <c r="B50" s="61" t="str">
        <f>[1]Source!G162</f>
        <v>Посадка деревьев и кустарников с комом земли размером 1,0х1,0х0,6 м</v>
      </c>
      <c r="C50" s="62" t="str">
        <f>[1]Source!H162</f>
        <v>10 деревьев или кустарников</v>
      </c>
      <c r="D50" s="63">
        <f>[1]Source!I162</f>
        <v>9.1</v>
      </c>
      <c r="E50" s="61"/>
    </row>
    <row r="51" spans="1:31" ht="14.25" x14ac:dyDescent="0.2">
      <c r="A51" s="60" t="str">
        <f>[1]Source!E163</f>
        <v>27</v>
      </c>
      <c r="B51" s="61" t="str">
        <f>[1]Source!G163</f>
        <v>Яблоня домашняя с комом 1,0х1,0х0,6 м (или эквивалент)</v>
      </c>
      <c r="C51" s="62" t="str">
        <f>[1]Source!H163</f>
        <v>шт.</v>
      </c>
      <c r="D51" s="63">
        <f>[1]Source!I163</f>
        <v>63</v>
      </c>
      <c r="E51" s="61"/>
    </row>
    <row r="52" spans="1:31" ht="14.25" x14ac:dyDescent="0.2">
      <c r="A52" s="60" t="str">
        <f>[1]Source!E164</f>
        <v>28</v>
      </c>
      <c r="B52" s="61" t="str">
        <f>[1]Source!G164</f>
        <v>Яблоня домашняя с комом 1,0х1,0х0,6 м (или эквивалент)</v>
      </c>
      <c r="C52" s="62" t="str">
        <f>[1]Source!H164</f>
        <v>шт.</v>
      </c>
      <c r="D52" s="63">
        <f>[1]Source!I164</f>
        <v>28</v>
      </c>
      <c r="E52" s="61"/>
    </row>
    <row r="53" spans="1:31" ht="57" x14ac:dyDescent="0.2">
      <c r="A53" s="60" t="str">
        <f>[1]Source!E165</f>
        <v>29</v>
      </c>
      <c r="B53" s="61" t="str">
        <f>[1]Source!G165</f>
        <v>Разработка грунта с погрузкой на автомобили-самосвалы экскаваторами с ковшом вместимостью 0,5 м3 группа грунтов 1-3 (Объем грунта на 1 дерево: (3,07 м3 - 0,6 м3) х 50% + 0,6 м3 = 1,835 м3; Общий объем грунта: 1,835 м3/дер. х 91 дер. = 166,985 м3)</v>
      </c>
      <c r="C53" s="62" t="str">
        <f>[1]Source!H165</f>
        <v>100 м3 грунта</v>
      </c>
      <c r="D53" s="63">
        <f>[1]Source!I165</f>
        <v>1.6698500000000001</v>
      </c>
      <c r="E53" s="61"/>
    </row>
    <row r="54" spans="1:31" ht="28.5" x14ac:dyDescent="0.2">
      <c r="A54" s="60" t="str">
        <f>[1]Source!E166</f>
        <v>30</v>
      </c>
      <c r="B54" s="61" t="str">
        <f>[1]Source!G166</f>
        <v>Планировка участка вручную (разравнивание грунта от разработки ям, толщина слоя 0,1 м)</v>
      </c>
      <c r="C54" s="62" t="str">
        <f>[1]Source!H166</f>
        <v>100 м2</v>
      </c>
      <c r="D54" s="63">
        <f>[1]Source!I166</f>
        <v>16.698499999999999</v>
      </c>
      <c r="E54" s="61"/>
    </row>
    <row r="55" spans="1:31" ht="16.5" x14ac:dyDescent="0.25">
      <c r="A55" s="312" t="str">
        <f>CONCATENATE("Раздел: ", [1]Source!G198)</f>
        <v>Раздел: Восстановление отпада деревьев с комом земли 1,0х1,0х0,6 м - 4 шт.</v>
      </c>
      <c r="B55" s="312"/>
      <c r="C55" s="312"/>
      <c r="D55" s="312"/>
      <c r="E55" s="312"/>
    </row>
    <row r="56" spans="1:31" ht="42.75" x14ac:dyDescent="0.2">
      <c r="A56" s="60" t="str">
        <f>[1]Source!E202</f>
        <v>31</v>
      </c>
      <c r="B56" s="61" t="str">
        <f>[1]Source!G202</f>
        <v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v>
      </c>
      <c r="C56" s="62" t="str">
        <f>[1]Source!H202</f>
        <v>10 ям</v>
      </c>
      <c r="D56" s="63">
        <f>[1]Source!I202</f>
        <v>0.3</v>
      </c>
      <c r="E56" s="61"/>
    </row>
    <row r="57" spans="1:31" ht="28.5" x14ac:dyDescent="0.2">
      <c r="A57" s="60" t="str">
        <f>[1]Source!E203</f>
        <v>32</v>
      </c>
      <c r="B57" s="61" t="str">
        <f>[1]Source!G203</f>
        <v>Подготовка стандартных посадочных мест вручную с квадратным комом земли размером 1,0х1,0х0,6 м в естественном грунте</v>
      </c>
      <c r="C57" s="62" t="str">
        <f>[1]Source!H203</f>
        <v>10 ям</v>
      </c>
      <c r="D57" s="63">
        <f>[1]Source!I203</f>
        <v>0.1</v>
      </c>
      <c r="E57" s="61"/>
    </row>
    <row r="58" spans="1:31" ht="42.75" x14ac:dyDescent="0.2">
      <c r="A58" s="60" t="str">
        <f>[1]Source!E204</f>
        <v>33</v>
      </c>
      <c r="B58" s="61" t="str">
        <f>[1]Source!G204</f>
        <v>Посадка деревьев и кустарников с комом земли размером 1,0х1,0х0,6 м</v>
      </c>
      <c r="C58" s="62" t="str">
        <f>[1]Source!H204</f>
        <v>10 деревьев или кустарников</v>
      </c>
      <c r="D58" s="63">
        <f>[1]Source!I204</f>
        <v>0.4</v>
      </c>
      <c r="E58" s="61"/>
    </row>
    <row r="59" spans="1:31" ht="14.25" x14ac:dyDescent="0.2">
      <c r="A59" s="60" t="str">
        <f>[1]Source!E205</f>
        <v>34</v>
      </c>
      <c r="B59" s="61" t="str">
        <f>[1]Source!G205</f>
        <v>Яблоня домашняя с комом 1,0х1,0х0,6 м (или эквивалент)</v>
      </c>
      <c r="C59" s="62" t="str">
        <f>[1]Source!H205</f>
        <v>шт.</v>
      </c>
      <c r="D59" s="63">
        <f>[1]Source!I205</f>
        <v>4</v>
      </c>
      <c r="E59" s="61"/>
    </row>
    <row r="60" spans="1:31" ht="16.5" x14ac:dyDescent="0.25">
      <c r="A60" s="312" t="str">
        <f>CONCATENATE("Раздел: ", [1]Source!G237)</f>
        <v>Раздел: Уход за деревьями с комом 1,0х1,0х0,6 м - 91 шт.</v>
      </c>
      <c r="B60" s="312"/>
      <c r="C60" s="312"/>
      <c r="D60" s="312"/>
      <c r="E60" s="312"/>
    </row>
    <row r="61" spans="1:31" ht="42.75" x14ac:dyDescent="0.2">
      <c r="A61" s="60" t="str">
        <f>[1]Source!E241</f>
        <v>35</v>
      </c>
      <c r="B61" s="61" t="str">
        <f>[1]Source!G241</f>
        <v>Полив зеленых насаждений из шланга поливомоечной машины (К=4)</v>
      </c>
      <c r="C61" s="62" t="str">
        <f>[1]Source!H241</f>
        <v>1 м3 выливаемой воды</v>
      </c>
      <c r="D61" s="63">
        <f>[1]Source!I241</f>
        <v>9.8552999999999997</v>
      </c>
      <c r="E61" s="61"/>
    </row>
    <row r="62" spans="1:31" ht="42.75" x14ac:dyDescent="0.2">
      <c r="A62" s="60" t="str">
        <f>[1]Source!E242</f>
        <v>36</v>
      </c>
      <c r="B62" s="61" t="str">
        <f>[1]Source!G242</f>
        <v>Прополка и рыхление лунок или канавок (К=4)</v>
      </c>
      <c r="C62" s="62" t="str">
        <f>[1]Source!H242</f>
        <v>100 м2 площади лунок или канавок</v>
      </c>
      <c r="D62" s="63">
        <f>[1]Source!I242</f>
        <v>3.2850999999999999</v>
      </c>
      <c r="E62" s="61"/>
    </row>
    <row r="63" spans="1:31" ht="33" x14ac:dyDescent="0.25">
      <c r="A63" s="312" t="str">
        <f>CONCATENATE("Локальная смета № 2: ", [1]Source!G304)</f>
        <v>Локальная смета № 2: Затраты на перевозку отходов строительства и сноса, в т.ч. грунта, автотранспортными средствами</v>
      </c>
      <c r="B63" s="312"/>
      <c r="C63" s="312"/>
      <c r="D63" s="312"/>
      <c r="E63" s="312"/>
      <c r="AE63" s="197" t="str">
        <f>CONCATENATE("Локальная смета: ", [1]Source!G304)</f>
        <v>Локальная смета: Затраты на перевозку отходов строительства и сноса, в т.ч. грунта, автотранспортными средствами</v>
      </c>
    </row>
    <row r="64" spans="1:31" ht="16.5" x14ac:dyDescent="0.25">
      <c r="A64" s="312" t="str">
        <f>CONCATENATE("Раздел: ", [1]Source!G308)</f>
        <v>Раздел: Посадка деревьев с комом земли 1,5х1,5х0,65 м - 4625 шт.</v>
      </c>
      <c r="B64" s="312"/>
      <c r="C64" s="312"/>
      <c r="D64" s="312"/>
      <c r="E64" s="312"/>
    </row>
    <row r="65" spans="1:5" ht="28.5" x14ac:dyDescent="0.2">
      <c r="A65" s="60" t="str">
        <f>[1]Source!E312</f>
        <v>37</v>
      </c>
      <c r="B65" s="61" t="str">
        <f>[1]Source!G312</f>
        <v>Перевозка грунтов растительного слоя и торфов на расстояние до 1 км автосамосвалами грузоподъемностью до 20 т</v>
      </c>
      <c r="C65" s="62" t="str">
        <f>[1]Source!H312</f>
        <v>т</v>
      </c>
      <c r="D65" s="63">
        <f>[1]Source!I312</f>
        <v>21497</v>
      </c>
      <c r="E65" s="61"/>
    </row>
    <row r="66" spans="1:5" ht="16.5" x14ac:dyDescent="0.25">
      <c r="A66" s="312" t="str">
        <f>CONCATENATE("Раздел: ", [1]Source!G344)</f>
        <v>Раздел: Посадка деревьев с комом земли 1,0х1,0х0,6 м - 91 шт.</v>
      </c>
      <c r="B66" s="312"/>
      <c r="C66" s="312"/>
      <c r="D66" s="312"/>
      <c r="E66" s="312"/>
    </row>
    <row r="67" spans="1:5" ht="28.5" x14ac:dyDescent="0.2">
      <c r="A67" s="56" t="str">
        <f>[1]Source!E348</f>
        <v>38</v>
      </c>
      <c r="B67" s="57" t="str">
        <f>[1]Source!G348</f>
        <v>Перевозка грунтов растительного слоя и торфов на расстояние до 1 км автосамосвалами грузоподъемностью до 20 т</v>
      </c>
      <c r="C67" s="58" t="str">
        <f>[1]Source!H348</f>
        <v>т</v>
      </c>
      <c r="D67" s="59">
        <f>[1]Source!I348</f>
        <v>233.779</v>
      </c>
      <c r="E67" s="57"/>
    </row>
    <row r="70" spans="1:5" ht="15" x14ac:dyDescent="0.25">
      <c r="A70" s="20"/>
      <c r="B70" s="20"/>
      <c r="C70" s="20"/>
      <c r="D70" s="20"/>
      <c r="E70" s="20"/>
    </row>
  </sheetData>
  <mergeCells count="18">
    <mergeCell ref="C7:D7"/>
    <mergeCell ref="C2:F2"/>
    <mergeCell ref="C3:F3"/>
    <mergeCell ref="C4:E4"/>
    <mergeCell ref="C5:F5"/>
    <mergeCell ref="C6:F6"/>
    <mergeCell ref="A66:E66"/>
    <mergeCell ref="A11:D11"/>
    <mergeCell ref="A12:D12"/>
    <mergeCell ref="A16:E16"/>
    <mergeCell ref="A17:E17"/>
    <mergeCell ref="A32:E32"/>
    <mergeCell ref="A42:E42"/>
    <mergeCell ref="A45:E45"/>
    <mergeCell ref="A55:E55"/>
    <mergeCell ref="A60:E60"/>
    <mergeCell ref="A63:E63"/>
    <mergeCell ref="A64:E64"/>
  </mergeCells>
  <pageMargins left="0.7" right="0.7" top="0.75" bottom="0.75" header="0.3" footer="0.3"/>
  <pageSetup paperSize="9" scale="68" fitToHeight="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0"/>
  <sheetViews>
    <sheetView view="pageBreakPreview" topLeftCell="A21" zoomScale="70" zoomScaleNormal="85" zoomScaleSheetLayoutView="70" workbookViewId="0">
      <selection activeCell="L19" sqref="L19"/>
    </sheetView>
  </sheetViews>
  <sheetFormatPr defaultColWidth="9.140625" defaultRowHeight="15" x14ac:dyDescent="0.25"/>
  <cols>
    <col min="1" max="1" width="9.140625" style="198"/>
    <col min="2" max="2" width="26.5703125" style="198" customWidth="1"/>
    <col min="3" max="3" width="28.5703125" style="198" customWidth="1"/>
    <col min="4" max="4" width="32" style="198" customWidth="1"/>
    <col min="5" max="5" width="33.85546875" style="198" customWidth="1"/>
    <col min="6" max="6" width="31.140625" style="198" customWidth="1"/>
    <col min="7" max="7" width="32.85546875" style="198" customWidth="1"/>
    <col min="8" max="10" width="9.140625" style="198"/>
    <col min="11" max="11" width="13.42578125" style="198" customWidth="1"/>
    <col min="12" max="16384" width="9.140625" style="198"/>
  </cols>
  <sheetData>
    <row r="2" spans="1:13" ht="15.75" x14ac:dyDescent="0.25">
      <c r="A2" s="327" t="s">
        <v>298</v>
      </c>
      <c r="B2" s="327"/>
      <c r="C2" s="327"/>
      <c r="D2" s="327"/>
      <c r="E2" s="327"/>
    </row>
    <row r="3" spans="1:13" ht="15.75" x14ac:dyDescent="0.25">
      <c r="A3" s="328" t="s">
        <v>334</v>
      </c>
      <c r="B3" s="328"/>
      <c r="C3" s="328"/>
      <c r="D3" s="328"/>
      <c r="E3" s="328"/>
    </row>
    <row r="4" spans="1:13" ht="15.75" x14ac:dyDescent="0.25">
      <c r="A4" s="328" t="s">
        <v>335</v>
      </c>
      <c r="B4" s="328"/>
      <c r="C4" s="328"/>
      <c r="D4" s="328"/>
      <c r="E4" s="328"/>
    </row>
    <row r="5" spans="1:13" ht="15.75" x14ac:dyDescent="0.25">
      <c r="A5" s="199"/>
      <c r="B5" s="200"/>
      <c r="C5" s="200"/>
      <c r="D5" s="201"/>
      <c r="E5" s="202"/>
    </row>
    <row r="6" spans="1:13" ht="15.75" x14ac:dyDescent="0.25">
      <c r="A6" s="199"/>
      <c r="B6" s="200"/>
      <c r="C6" s="200"/>
      <c r="D6" s="201"/>
      <c r="E6" s="202"/>
    </row>
    <row r="7" spans="1:13" ht="15.75" x14ac:dyDescent="0.25">
      <c r="A7" s="329" t="s">
        <v>336</v>
      </c>
      <c r="B7" s="329"/>
      <c r="C7" s="329"/>
      <c r="D7" s="329"/>
      <c r="E7" s="329"/>
    </row>
    <row r="8" spans="1:13" ht="15.75" x14ac:dyDescent="0.25">
      <c r="A8" s="200"/>
      <c r="B8" s="200"/>
      <c r="C8" s="200"/>
      <c r="D8" s="200"/>
      <c r="E8" s="200"/>
    </row>
    <row r="9" spans="1:13" ht="15.75" x14ac:dyDescent="0.25">
      <c r="A9" s="329" t="s">
        <v>337</v>
      </c>
      <c r="B9" s="329"/>
      <c r="C9" s="329"/>
      <c r="D9" s="329"/>
      <c r="E9" s="329"/>
    </row>
    <row r="12" spans="1:13" x14ac:dyDescent="0.25">
      <c r="A12" s="326"/>
      <c r="B12" s="326"/>
      <c r="C12" s="326"/>
      <c r="D12" s="326"/>
      <c r="E12" s="326"/>
      <c r="F12" s="326"/>
      <c r="G12" s="326"/>
      <c r="H12" s="203"/>
      <c r="I12" s="203"/>
      <c r="J12" s="203"/>
      <c r="K12" s="203"/>
      <c r="L12" s="203"/>
      <c r="M12" s="203"/>
    </row>
    <row r="13" spans="1:13" ht="24" customHeight="1" x14ac:dyDescent="0.25">
      <c r="A13" s="330" t="s">
        <v>338</v>
      </c>
      <c r="B13" s="330"/>
      <c r="C13" s="330"/>
      <c r="D13" s="330"/>
      <c r="E13" s="330"/>
      <c r="F13" s="330"/>
      <c r="G13" s="330"/>
      <c r="H13" s="203"/>
      <c r="I13" s="203"/>
      <c r="J13" s="203"/>
      <c r="K13" s="203"/>
      <c r="L13" s="203"/>
      <c r="M13" s="203"/>
    </row>
    <row r="14" spans="1:13" x14ac:dyDescent="0.25">
      <c r="A14" s="326"/>
      <c r="B14" s="326"/>
      <c r="C14" s="326"/>
      <c r="D14" s="326"/>
      <c r="E14" s="326"/>
      <c r="F14" s="326"/>
      <c r="G14" s="326"/>
      <c r="H14" s="203"/>
      <c r="I14" s="203"/>
      <c r="J14" s="203"/>
      <c r="K14" s="203"/>
      <c r="L14" s="203"/>
      <c r="M14" s="203"/>
    </row>
    <row r="15" spans="1:13" ht="36" customHeight="1" x14ac:dyDescent="0.25">
      <c r="A15" s="331" t="s">
        <v>486</v>
      </c>
      <c r="B15" s="332"/>
      <c r="C15" s="332"/>
      <c r="D15" s="332"/>
      <c r="E15" s="332"/>
      <c r="F15" s="332"/>
      <c r="G15" s="333"/>
      <c r="H15" s="204"/>
      <c r="I15" s="204"/>
      <c r="J15" s="204"/>
      <c r="K15" s="204"/>
      <c r="L15" s="204"/>
      <c r="M15" s="204"/>
    </row>
    <row r="16" spans="1:13" ht="36" customHeight="1" x14ac:dyDescent="0.25">
      <c r="A16" s="334" t="s">
        <v>339</v>
      </c>
      <c r="B16" s="205" t="s">
        <v>340</v>
      </c>
      <c r="C16" s="334"/>
      <c r="D16" s="334"/>
      <c r="E16" s="205"/>
      <c r="F16" s="206" t="s">
        <v>341</v>
      </c>
      <c r="G16" s="206" t="s">
        <v>342</v>
      </c>
      <c r="H16" s="207"/>
      <c r="I16" s="207"/>
      <c r="J16" s="207"/>
      <c r="K16" s="207"/>
    </row>
    <row r="17" spans="1:11" x14ac:dyDescent="0.25">
      <c r="A17" s="334"/>
      <c r="B17" s="205">
        <v>1</v>
      </c>
      <c r="C17" s="205">
        <v>2</v>
      </c>
      <c r="D17" s="205">
        <v>3</v>
      </c>
      <c r="E17" s="205">
        <v>4</v>
      </c>
      <c r="F17" s="205">
        <v>5</v>
      </c>
      <c r="G17" s="205">
        <v>6</v>
      </c>
      <c r="H17" s="207"/>
    </row>
    <row r="18" spans="1:11" x14ac:dyDescent="0.25">
      <c r="A18" s="334"/>
      <c r="B18" s="335"/>
      <c r="C18" s="335"/>
      <c r="D18" s="335"/>
      <c r="E18" s="335"/>
      <c r="F18" s="335"/>
      <c r="G18" s="335"/>
      <c r="H18" s="207"/>
      <c r="I18" s="207"/>
      <c r="J18" s="207"/>
      <c r="K18" s="207"/>
    </row>
    <row r="19" spans="1:11" ht="98.25" customHeight="1" x14ac:dyDescent="0.25">
      <c r="A19" s="334">
        <v>1</v>
      </c>
      <c r="B19" s="344" t="s">
        <v>343</v>
      </c>
      <c r="C19" s="346" t="s">
        <v>344</v>
      </c>
      <c r="D19" s="346" t="s">
        <v>345</v>
      </c>
      <c r="E19" s="346" t="s">
        <v>346</v>
      </c>
      <c r="F19" s="336"/>
      <c r="G19" s="336"/>
      <c r="H19" s="207"/>
      <c r="I19" s="207"/>
      <c r="J19" s="207"/>
      <c r="K19" s="207"/>
    </row>
    <row r="20" spans="1:11" hidden="1" x14ac:dyDescent="0.25">
      <c r="A20" s="334"/>
      <c r="B20" s="345"/>
      <c r="C20" s="347"/>
      <c r="D20" s="347"/>
      <c r="E20" s="347"/>
      <c r="F20" s="337"/>
      <c r="G20" s="337"/>
      <c r="H20" s="207"/>
      <c r="I20" s="207"/>
      <c r="J20" s="207"/>
      <c r="K20" s="207"/>
    </row>
    <row r="21" spans="1:11" ht="44.25" customHeight="1" x14ac:dyDescent="0.25">
      <c r="A21" s="334"/>
      <c r="B21" s="206" t="s">
        <v>347</v>
      </c>
      <c r="C21" s="338" t="s">
        <v>348</v>
      </c>
      <c r="D21" s="339"/>
      <c r="E21" s="340"/>
      <c r="F21" s="208"/>
      <c r="G21" s="208"/>
      <c r="H21" s="207"/>
      <c r="I21" s="207"/>
      <c r="J21" s="207"/>
      <c r="K21" s="207"/>
    </row>
    <row r="22" spans="1:11" x14ac:dyDescent="0.25">
      <c r="A22" s="334"/>
      <c r="B22" s="209" t="s">
        <v>349</v>
      </c>
      <c r="C22" s="341">
        <v>50</v>
      </c>
      <c r="D22" s="342"/>
      <c r="E22" s="343"/>
      <c r="F22" s="208"/>
      <c r="G22" s="208"/>
      <c r="H22" s="207"/>
      <c r="I22" s="207"/>
      <c r="J22" s="207"/>
      <c r="K22" s="207"/>
    </row>
    <row r="23" spans="1:11" x14ac:dyDescent="0.25">
      <c r="A23" s="334"/>
      <c r="B23" s="209" t="s">
        <v>350</v>
      </c>
      <c r="C23" s="210"/>
      <c r="D23" s="210"/>
      <c r="E23" s="210"/>
      <c r="F23" s="208"/>
      <c r="G23" s="208"/>
      <c r="H23" s="207"/>
      <c r="I23" s="207"/>
      <c r="J23" s="207"/>
      <c r="K23" s="207"/>
    </row>
    <row r="24" spans="1:11" ht="30" x14ac:dyDescent="0.25">
      <c r="A24" s="334"/>
      <c r="B24" s="209" t="s">
        <v>351</v>
      </c>
      <c r="C24" s="211">
        <v>25000</v>
      </c>
      <c r="D24" s="211">
        <v>24500</v>
      </c>
      <c r="E24" s="211">
        <v>27000</v>
      </c>
      <c r="F24" s="212">
        <v>24500</v>
      </c>
      <c r="G24" s="212">
        <f>F24</f>
        <v>24500</v>
      </c>
      <c r="H24" s="207"/>
      <c r="I24" s="207"/>
      <c r="J24" s="207"/>
      <c r="K24" s="207"/>
    </row>
    <row r="25" spans="1:11" x14ac:dyDescent="0.25">
      <c r="A25" s="334"/>
      <c r="B25" s="213" t="s">
        <v>352</v>
      </c>
      <c r="C25" s="211">
        <f>C22*C24</f>
        <v>1250000</v>
      </c>
      <c r="D25" s="211">
        <f>C22*D24</f>
        <v>1225000</v>
      </c>
      <c r="E25" s="211">
        <f>C22*E24</f>
        <v>1350000</v>
      </c>
      <c r="F25" s="212">
        <f>C22*F24</f>
        <v>1225000</v>
      </c>
      <c r="G25" s="212">
        <f>C22*G24</f>
        <v>1225000</v>
      </c>
      <c r="H25" s="207"/>
      <c r="I25" s="207"/>
      <c r="J25" s="207"/>
      <c r="K25" s="207"/>
    </row>
    <row r="26" spans="1:11" x14ac:dyDescent="0.25">
      <c r="A26" s="334">
        <v>2</v>
      </c>
      <c r="B26" s="344" t="s">
        <v>343</v>
      </c>
      <c r="C26" s="346" t="s">
        <v>344</v>
      </c>
      <c r="D26" s="346" t="s">
        <v>345</v>
      </c>
      <c r="E26" s="346" t="s">
        <v>346</v>
      </c>
      <c r="F26" s="336"/>
      <c r="G26" s="336"/>
      <c r="H26" s="207"/>
      <c r="I26" s="207"/>
      <c r="J26" s="207"/>
      <c r="K26" s="207"/>
    </row>
    <row r="27" spans="1:11" ht="66" customHeight="1" x14ac:dyDescent="0.25">
      <c r="A27" s="334"/>
      <c r="B27" s="345"/>
      <c r="C27" s="347"/>
      <c r="D27" s="347"/>
      <c r="E27" s="347"/>
      <c r="F27" s="337"/>
      <c r="G27" s="337"/>
      <c r="H27" s="207"/>
      <c r="I27" s="207"/>
      <c r="J27" s="207"/>
      <c r="K27" s="207"/>
    </row>
    <row r="28" spans="1:11" ht="48.6" customHeight="1" x14ac:dyDescent="0.25">
      <c r="A28" s="334"/>
      <c r="B28" s="206" t="s">
        <v>347</v>
      </c>
      <c r="C28" s="338" t="s">
        <v>353</v>
      </c>
      <c r="D28" s="339"/>
      <c r="E28" s="340"/>
      <c r="F28" s="208"/>
      <c r="G28" s="208"/>
      <c r="H28" s="207"/>
      <c r="I28" s="207"/>
      <c r="J28" s="207"/>
      <c r="K28" s="207"/>
    </row>
    <row r="29" spans="1:11" x14ac:dyDescent="0.25">
      <c r="A29" s="334"/>
      <c r="B29" s="209" t="s">
        <v>349</v>
      </c>
      <c r="C29" s="341">
        <v>688</v>
      </c>
      <c r="D29" s="342"/>
      <c r="E29" s="343"/>
      <c r="F29" s="208"/>
      <c r="G29" s="208"/>
      <c r="H29" s="207"/>
      <c r="I29" s="207"/>
      <c r="J29" s="207"/>
      <c r="K29" s="207"/>
    </row>
    <row r="30" spans="1:11" x14ac:dyDescent="0.25">
      <c r="A30" s="334"/>
      <c r="B30" s="209" t="s">
        <v>350</v>
      </c>
      <c r="C30" s="210"/>
      <c r="D30" s="210"/>
      <c r="E30" s="210"/>
      <c r="F30" s="208"/>
      <c r="G30" s="208"/>
      <c r="H30" s="207"/>
      <c r="I30" s="207"/>
      <c r="J30" s="207"/>
      <c r="K30" s="207"/>
    </row>
    <row r="31" spans="1:11" ht="30" x14ac:dyDescent="0.25">
      <c r="A31" s="334"/>
      <c r="B31" s="209" t="s">
        <v>351</v>
      </c>
      <c r="C31" s="211">
        <v>54000</v>
      </c>
      <c r="D31" s="211">
        <v>54600</v>
      </c>
      <c r="E31" s="211">
        <v>60000</v>
      </c>
      <c r="F31" s="212">
        <v>54000</v>
      </c>
      <c r="G31" s="212">
        <f>F31</f>
        <v>54000</v>
      </c>
      <c r="H31" s="207"/>
      <c r="I31" s="207"/>
      <c r="J31" s="207"/>
      <c r="K31" s="207"/>
    </row>
    <row r="32" spans="1:11" x14ac:dyDescent="0.25">
      <c r="A32" s="334"/>
      <c r="B32" s="213" t="s">
        <v>352</v>
      </c>
      <c r="C32" s="211">
        <f>C29*C31</f>
        <v>37152000</v>
      </c>
      <c r="D32" s="211">
        <f>C29*D31</f>
        <v>37564800</v>
      </c>
      <c r="E32" s="211">
        <f>C29*E31</f>
        <v>41280000</v>
      </c>
      <c r="F32" s="212">
        <f>C29*F31</f>
        <v>37152000</v>
      </c>
      <c r="G32" s="212">
        <f>C29*G31</f>
        <v>37152000</v>
      </c>
      <c r="H32" s="207"/>
      <c r="I32" s="207"/>
      <c r="J32" s="207"/>
      <c r="K32" s="207"/>
    </row>
    <row r="33" spans="1:7" ht="108" customHeight="1" x14ac:dyDescent="0.25">
      <c r="A33" s="334">
        <v>3</v>
      </c>
      <c r="B33" s="344" t="s">
        <v>343</v>
      </c>
      <c r="C33" s="346" t="s">
        <v>344</v>
      </c>
      <c r="D33" s="346" t="s">
        <v>345</v>
      </c>
      <c r="E33" s="346" t="s">
        <v>346</v>
      </c>
      <c r="F33" s="336"/>
      <c r="G33" s="336"/>
    </row>
    <row r="34" spans="1:7" ht="15.75" hidden="1" customHeight="1" x14ac:dyDescent="0.25">
      <c r="A34" s="334"/>
      <c r="B34" s="345"/>
      <c r="C34" s="347"/>
      <c r="D34" s="347"/>
      <c r="E34" s="347"/>
      <c r="F34" s="337"/>
      <c r="G34" s="337"/>
    </row>
    <row r="35" spans="1:7" ht="45" x14ac:dyDescent="0.25">
      <c r="A35" s="334"/>
      <c r="B35" s="206" t="s">
        <v>347</v>
      </c>
      <c r="C35" s="348" t="s">
        <v>354</v>
      </c>
      <c r="D35" s="349"/>
      <c r="E35" s="350"/>
      <c r="F35" s="214"/>
      <c r="G35" s="214"/>
    </row>
    <row r="36" spans="1:7" x14ac:dyDescent="0.25">
      <c r="A36" s="334"/>
      <c r="B36" s="209" t="s">
        <v>349</v>
      </c>
      <c r="C36" s="351">
        <v>619</v>
      </c>
      <c r="D36" s="352"/>
      <c r="E36" s="353"/>
      <c r="F36" s="214"/>
      <c r="G36" s="214"/>
    </row>
    <row r="37" spans="1:7" x14ac:dyDescent="0.25">
      <c r="A37" s="334"/>
      <c r="B37" s="209" t="s">
        <v>350</v>
      </c>
      <c r="C37" s="215"/>
      <c r="D37" s="215"/>
      <c r="E37" s="215"/>
      <c r="F37" s="214"/>
      <c r="G37" s="214"/>
    </row>
    <row r="38" spans="1:7" x14ac:dyDescent="0.25">
      <c r="A38" s="334"/>
      <c r="B38" s="209" t="s">
        <v>355</v>
      </c>
      <c r="C38" s="216">
        <v>83160</v>
      </c>
      <c r="D38" s="216">
        <v>84084</v>
      </c>
      <c r="E38" s="216">
        <v>92400</v>
      </c>
      <c r="F38" s="217">
        <v>83160</v>
      </c>
      <c r="G38" s="217">
        <f>F38</f>
        <v>83160</v>
      </c>
    </row>
    <row r="39" spans="1:7" x14ac:dyDescent="0.25">
      <c r="A39" s="334"/>
      <c r="B39" s="213" t="s">
        <v>352</v>
      </c>
      <c r="C39" s="216">
        <f>C36*C38</f>
        <v>51476040</v>
      </c>
      <c r="D39" s="216">
        <f>C36*D38</f>
        <v>52047996</v>
      </c>
      <c r="E39" s="216">
        <f>C36*E38</f>
        <v>57195600</v>
      </c>
      <c r="F39" s="217">
        <f>C36*F38</f>
        <v>51476040</v>
      </c>
      <c r="G39" s="217">
        <f>C36*G38</f>
        <v>51476040</v>
      </c>
    </row>
    <row r="40" spans="1:7" x14ac:dyDescent="0.25">
      <c r="A40" s="334">
        <v>4</v>
      </c>
      <c r="B40" s="344" t="s">
        <v>343</v>
      </c>
      <c r="C40" s="346" t="s">
        <v>344</v>
      </c>
      <c r="D40" s="346" t="s">
        <v>345</v>
      </c>
      <c r="E40" s="346" t="s">
        <v>346</v>
      </c>
      <c r="F40" s="336"/>
      <c r="G40" s="336"/>
    </row>
    <row r="41" spans="1:7" ht="82.5" customHeight="1" x14ac:dyDescent="0.25">
      <c r="A41" s="334"/>
      <c r="B41" s="345"/>
      <c r="C41" s="347"/>
      <c r="D41" s="347"/>
      <c r="E41" s="347"/>
      <c r="F41" s="337"/>
      <c r="G41" s="337"/>
    </row>
    <row r="42" spans="1:7" ht="47.25" customHeight="1" x14ac:dyDescent="0.25">
      <c r="A42" s="334"/>
      <c r="B42" s="206" t="s">
        <v>347</v>
      </c>
      <c r="C42" s="348" t="s">
        <v>356</v>
      </c>
      <c r="D42" s="349"/>
      <c r="E42" s="350"/>
      <c r="F42" s="214"/>
      <c r="G42" s="214"/>
    </row>
    <row r="43" spans="1:7" x14ac:dyDescent="0.25">
      <c r="A43" s="334"/>
      <c r="B43" s="209" t="s">
        <v>349</v>
      </c>
      <c r="C43" s="351">
        <v>2778</v>
      </c>
      <c r="D43" s="352"/>
      <c r="E43" s="353"/>
      <c r="F43" s="214"/>
      <c r="G43" s="214"/>
    </row>
    <row r="44" spans="1:7" x14ac:dyDescent="0.25">
      <c r="A44" s="334"/>
      <c r="B44" s="209" t="s">
        <v>350</v>
      </c>
      <c r="C44" s="215"/>
      <c r="D44" s="215"/>
      <c r="E44" s="215"/>
      <c r="F44" s="214"/>
      <c r="G44" s="214"/>
    </row>
    <row r="45" spans="1:7" ht="30" x14ac:dyDescent="0.25">
      <c r="A45" s="334"/>
      <c r="B45" s="209" t="s">
        <v>351</v>
      </c>
      <c r="C45" s="216">
        <v>65772</v>
      </c>
      <c r="D45" s="216">
        <v>66502.8</v>
      </c>
      <c r="E45" s="216">
        <v>73080</v>
      </c>
      <c r="F45" s="217">
        <v>65772</v>
      </c>
      <c r="G45" s="217">
        <f>F45</f>
        <v>65772</v>
      </c>
    </row>
    <row r="46" spans="1:7" x14ac:dyDescent="0.25">
      <c r="A46" s="334"/>
      <c r="B46" s="213" t="s">
        <v>352</v>
      </c>
      <c r="C46" s="216">
        <f>C43*C45</f>
        <v>182714616</v>
      </c>
      <c r="D46" s="216">
        <f>C43*D45</f>
        <v>184744778.40000001</v>
      </c>
      <c r="E46" s="216">
        <f>C43*E45</f>
        <v>203016240</v>
      </c>
      <c r="F46" s="217">
        <f>C43*F45</f>
        <v>182714616</v>
      </c>
      <c r="G46" s="217">
        <f>C43*G45</f>
        <v>182714616</v>
      </c>
    </row>
    <row r="47" spans="1:7" x14ac:dyDescent="0.25">
      <c r="A47" s="334">
        <v>5</v>
      </c>
      <c r="B47" s="344" t="s">
        <v>343</v>
      </c>
      <c r="C47" s="346" t="s">
        <v>344</v>
      </c>
      <c r="D47" s="346" t="s">
        <v>345</v>
      </c>
      <c r="E47" s="346" t="s">
        <v>346</v>
      </c>
      <c r="F47" s="336"/>
      <c r="G47" s="336"/>
    </row>
    <row r="48" spans="1:7" ht="72" customHeight="1" x14ac:dyDescent="0.25">
      <c r="A48" s="334"/>
      <c r="B48" s="345"/>
      <c r="C48" s="347"/>
      <c r="D48" s="347"/>
      <c r="E48" s="347"/>
      <c r="F48" s="337"/>
      <c r="G48" s="337"/>
    </row>
    <row r="49" spans="1:7" ht="45" x14ac:dyDescent="0.25">
      <c r="A49" s="334"/>
      <c r="B49" s="206" t="s">
        <v>347</v>
      </c>
      <c r="C49" s="348" t="s">
        <v>357</v>
      </c>
      <c r="D49" s="349"/>
      <c r="E49" s="350"/>
      <c r="F49" s="214"/>
      <c r="G49" s="214"/>
    </row>
    <row r="50" spans="1:7" x14ac:dyDescent="0.25">
      <c r="A50" s="334"/>
      <c r="B50" s="209" t="s">
        <v>349</v>
      </c>
      <c r="C50" s="351">
        <v>380</v>
      </c>
      <c r="D50" s="352"/>
      <c r="E50" s="353"/>
      <c r="F50" s="214"/>
      <c r="G50" s="214"/>
    </row>
    <row r="51" spans="1:7" x14ac:dyDescent="0.25">
      <c r="A51" s="334"/>
      <c r="B51" s="209" t="s">
        <v>350</v>
      </c>
      <c r="C51" s="215"/>
      <c r="D51" s="215"/>
      <c r="E51" s="215"/>
      <c r="F51" s="214"/>
      <c r="G51" s="214"/>
    </row>
    <row r="52" spans="1:7" ht="30" x14ac:dyDescent="0.25">
      <c r="A52" s="334"/>
      <c r="B52" s="209" t="s">
        <v>351</v>
      </c>
      <c r="C52" s="216">
        <v>52693.2</v>
      </c>
      <c r="D52" s="216">
        <v>53278.68</v>
      </c>
      <c r="E52" s="216">
        <v>58548</v>
      </c>
      <c r="F52" s="217">
        <v>52693.2</v>
      </c>
      <c r="G52" s="217">
        <f>F52</f>
        <v>52693.2</v>
      </c>
    </row>
    <row r="53" spans="1:7" x14ac:dyDescent="0.25">
      <c r="A53" s="334"/>
      <c r="B53" s="213" t="s">
        <v>352</v>
      </c>
      <c r="C53" s="216">
        <f>C50*C52</f>
        <v>20023416</v>
      </c>
      <c r="D53" s="216">
        <f>C50*D52</f>
        <v>20245898.399999999</v>
      </c>
      <c r="E53" s="216">
        <f>C50*E52</f>
        <v>22248240</v>
      </c>
      <c r="F53" s="217">
        <f>C50*F52</f>
        <v>20023416</v>
      </c>
      <c r="G53" s="217">
        <f>C50*G52</f>
        <v>20023416</v>
      </c>
    </row>
    <row r="54" spans="1:7" x14ac:dyDescent="0.25">
      <c r="A54" s="334">
        <v>6</v>
      </c>
      <c r="B54" s="344" t="s">
        <v>343</v>
      </c>
      <c r="C54" s="346" t="s">
        <v>344</v>
      </c>
      <c r="D54" s="346" t="s">
        <v>345</v>
      </c>
      <c r="E54" s="346" t="s">
        <v>346</v>
      </c>
      <c r="F54" s="336"/>
      <c r="G54" s="336"/>
    </row>
    <row r="55" spans="1:7" ht="62.25" customHeight="1" x14ac:dyDescent="0.25">
      <c r="A55" s="334"/>
      <c r="B55" s="345"/>
      <c r="C55" s="347"/>
      <c r="D55" s="347"/>
      <c r="E55" s="347"/>
      <c r="F55" s="337"/>
      <c r="G55" s="337"/>
    </row>
    <row r="56" spans="1:7" ht="44.25" customHeight="1" x14ac:dyDescent="0.25">
      <c r="A56" s="334"/>
      <c r="B56" s="206" t="s">
        <v>347</v>
      </c>
      <c r="C56" s="348" t="s">
        <v>358</v>
      </c>
      <c r="D56" s="349"/>
      <c r="E56" s="350"/>
      <c r="F56" s="214"/>
      <c r="G56" s="214"/>
    </row>
    <row r="57" spans="1:7" x14ac:dyDescent="0.25">
      <c r="A57" s="334"/>
      <c r="B57" s="209" t="s">
        <v>349</v>
      </c>
      <c r="C57" s="351">
        <v>322</v>
      </c>
      <c r="D57" s="352"/>
      <c r="E57" s="353"/>
      <c r="F57" s="214"/>
      <c r="G57" s="214"/>
    </row>
    <row r="58" spans="1:7" x14ac:dyDescent="0.25">
      <c r="A58" s="334"/>
      <c r="B58" s="209" t="s">
        <v>350</v>
      </c>
      <c r="C58" s="215"/>
      <c r="D58" s="215"/>
      <c r="E58" s="215"/>
      <c r="F58" s="214"/>
      <c r="G58" s="214"/>
    </row>
    <row r="59" spans="1:7" ht="30" x14ac:dyDescent="0.25">
      <c r="A59" s="334"/>
      <c r="B59" s="209" t="s">
        <v>351</v>
      </c>
      <c r="C59" s="216">
        <v>30240</v>
      </c>
      <c r="D59" s="216">
        <v>30576</v>
      </c>
      <c r="E59" s="216">
        <v>33600</v>
      </c>
      <c r="F59" s="217">
        <v>30240</v>
      </c>
      <c r="G59" s="217">
        <f>F59</f>
        <v>30240</v>
      </c>
    </row>
    <row r="60" spans="1:7" x14ac:dyDescent="0.25">
      <c r="A60" s="334"/>
      <c r="B60" s="213" t="s">
        <v>352</v>
      </c>
      <c r="C60" s="216">
        <f>C57*C59</f>
        <v>9737280</v>
      </c>
      <c r="D60" s="216">
        <f>C57*D59</f>
        <v>9845472</v>
      </c>
      <c r="E60" s="216">
        <f>C57*E59</f>
        <v>10819200</v>
      </c>
      <c r="F60" s="217">
        <f>C57*F59</f>
        <v>9737280</v>
      </c>
      <c r="G60" s="217">
        <f>C57*G59</f>
        <v>9737280</v>
      </c>
    </row>
    <row r="61" spans="1:7" x14ac:dyDescent="0.25">
      <c r="A61" s="334">
        <v>7</v>
      </c>
      <c r="B61" s="344" t="s">
        <v>343</v>
      </c>
      <c r="C61" s="346" t="s">
        <v>344</v>
      </c>
      <c r="D61" s="346" t="s">
        <v>345</v>
      </c>
      <c r="E61" s="346" t="s">
        <v>346</v>
      </c>
      <c r="F61" s="336"/>
      <c r="G61" s="336"/>
    </row>
    <row r="62" spans="1:7" ht="57.75" customHeight="1" x14ac:dyDescent="0.25">
      <c r="A62" s="334"/>
      <c r="B62" s="345"/>
      <c r="C62" s="347"/>
      <c r="D62" s="347"/>
      <c r="E62" s="347"/>
      <c r="F62" s="337"/>
      <c r="G62" s="337"/>
    </row>
    <row r="63" spans="1:7" ht="48" customHeight="1" x14ac:dyDescent="0.25">
      <c r="A63" s="334"/>
      <c r="B63" s="206" t="s">
        <v>347</v>
      </c>
      <c r="C63" s="348" t="s">
        <v>359</v>
      </c>
      <c r="D63" s="349"/>
      <c r="E63" s="350"/>
      <c r="F63" s="218"/>
      <c r="G63" s="218"/>
    </row>
    <row r="64" spans="1:7" x14ac:dyDescent="0.25">
      <c r="A64" s="334"/>
      <c r="B64" s="209" t="s">
        <v>349</v>
      </c>
      <c r="C64" s="351">
        <v>67</v>
      </c>
      <c r="D64" s="352"/>
      <c r="E64" s="353"/>
      <c r="F64" s="214"/>
      <c r="G64" s="214"/>
    </row>
    <row r="65" spans="1:7" x14ac:dyDescent="0.25">
      <c r="A65" s="334"/>
      <c r="B65" s="209" t="s">
        <v>350</v>
      </c>
      <c r="C65" s="215"/>
      <c r="D65" s="215"/>
      <c r="E65" s="215"/>
      <c r="F65" s="214"/>
      <c r="G65" s="214"/>
    </row>
    <row r="66" spans="1:7" ht="30" x14ac:dyDescent="0.25">
      <c r="A66" s="334"/>
      <c r="B66" s="209" t="s">
        <v>351</v>
      </c>
      <c r="C66" s="216">
        <v>26500</v>
      </c>
      <c r="D66" s="216">
        <v>25660</v>
      </c>
      <c r="E66" s="216">
        <v>28200</v>
      </c>
      <c r="F66" s="217">
        <v>25660</v>
      </c>
      <c r="G66" s="217">
        <f>F66</f>
        <v>25660</v>
      </c>
    </row>
    <row r="67" spans="1:7" x14ac:dyDescent="0.25">
      <c r="A67" s="334"/>
      <c r="B67" s="213" t="s">
        <v>352</v>
      </c>
      <c r="C67" s="216">
        <f>C64*C66</f>
        <v>1775500</v>
      </c>
      <c r="D67" s="216">
        <f>C64*D66</f>
        <v>1719220</v>
      </c>
      <c r="E67" s="216">
        <f>C64*E66</f>
        <v>1889400</v>
      </c>
      <c r="F67" s="217">
        <f>C64*F66</f>
        <v>1719220</v>
      </c>
      <c r="G67" s="217">
        <f>C64*G66+0.22-0.22</f>
        <v>1719220</v>
      </c>
    </row>
    <row r="68" spans="1:7" ht="24.75" customHeight="1" x14ac:dyDescent="0.25">
      <c r="A68" s="336"/>
      <c r="B68" s="354"/>
      <c r="C68" s="355"/>
      <c r="D68" s="355"/>
      <c r="E68" s="356"/>
      <c r="F68" s="219" t="s">
        <v>360</v>
      </c>
      <c r="G68" s="220">
        <f>SUM(G25+G32+G39+G46+G53+G60+G67)</f>
        <v>304047572</v>
      </c>
    </row>
    <row r="69" spans="1:7" ht="23.25" customHeight="1" x14ac:dyDescent="0.25">
      <c r="A69" s="337"/>
      <c r="B69" s="354"/>
      <c r="C69" s="355"/>
      <c r="D69" s="355"/>
      <c r="E69" s="356"/>
      <c r="F69" s="219" t="s">
        <v>361</v>
      </c>
      <c r="G69" s="220">
        <v>50674595.329999998</v>
      </c>
    </row>
    <row r="70" spans="1:7" ht="27.6" customHeight="1" x14ac:dyDescent="0.25"/>
    <row r="77" spans="1:7" ht="45" customHeight="1" x14ac:dyDescent="0.25"/>
    <row r="84" ht="45" customHeight="1" x14ac:dyDescent="0.25"/>
    <row r="91" ht="27.95" customHeight="1" x14ac:dyDescent="0.25"/>
    <row r="98" ht="45" customHeight="1" x14ac:dyDescent="0.25"/>
    <row r="105" ht="45" customHeight="1" x14ac:dyDescent="0.25"/>
    <row r="112" ht="45" customHeight="1" x14ac:dyDescent="0.25"/>
    <row r="119" ht="45" customHeight="1" x14ac:dyDescent="0.25"/>
    <row r="133" ht="27.95" customHeight="1" x14ac:dyDescent="0.25"/>
    <row r="140" ht="27.6" customHeight="1" x14ac:dyDescent="0.25"/>
    <row r="147" ht="27.95" customHeight="1" x14ac:dyDescent="0.25"/>
    <row r="154" ht="27.6" customHeight="1" x14ac:dyDescent="0.25"/>
    <row r="161" ht="45" customHeight="1" x14ac:dyDescent="0.25"/>
    <row r="168" ht="45" customHeight="1" x14ac:dyDescent="0.25"/>
    <row r="210" ht="27.6" customHeight="1" x14ac:dyDescent="0.25"/>
  </sheetData>
  <mergeCells count="78">
    <mergeCell ref="F61:F62"/>
    <mergeCell ref="G61:G62"/>
    <mergeCell ref="C63:E63"/>
    <mergeCell ref="C64:E64"/>
    <mergeCell ref="A68:A69"/>
    <mergeCell ref="B68:E68"/>
    <mergeCell ref="B69:E69"/>
    <mergeCell ref="A61:A67"/>
    <mergeCell ref="B61:B62"/>
    <mergeCell ref="C61:C62"/>
    <mergeCell ref="D61:D62"/>
    <mergeCell ref="E61:E62"/>
    <mergeCell ref="F54:F55"/>
    <mergeCell ref="G54:G55"/>
    <mergeCell ref="C56:E56"/>
    <mergeCell ref="C57:E57"/>
    <mergeCell ref="A47:A53"/>
    <mergeCell ref="B47:B48"/>
    <mergeCell ref="C47:C48"/>
    <mergeCell ref="C49:E49"/>
    <mergeCell ref="C50:E50"/>
    <mergeCell ref="A54:A60"/>
    <mergeCell ref="B54:B55"/>
    <mergeCell ref="C54:C55"/>
    <mergeCell ref="D54:D55"/>
    <mergeCell ref="E54:E55"/>
    <mergeCell ref="D47:D48"/>
    <mergeCell ref="E47:E48"/>
    <mergeCell ref="F33:F34"/>
    <mergeCell ref="G33:G34"/>
    <mergeCell ref="C35:E35"/>
    <mergeCell ref="C36:E36"/>
    <mergeCell ref="F40:F41"/>
    <mergeCell ref="G40:G41"/>
    <mergeCell ref="F47:F48"/>
    <mergeCell ref="G47:G48"/>
    <mergeCell ref="A40:A46"/>
    <mergeCell ref="B40:B41"/>
    <mergeCell ref="C40:C41"/>
    <mergeCell ref="D40:D41"/>
    <mergeCell ref="E40:E41"/>
    <mergeCell ref="C42:E42"/>
    <mergeCell ref="C43:E43"/>
    <mergeCell ref="C28:E28"/>
    <mergeCell ref="C29:E29"/>
    <mergeCell ref="A33:A39"/>
    <mergeCell ref="B33:B34"/>
    <mergeCell ref="C33:C34"/>
    <mergeCell ref="D33:D34"/>
    <mergeCell ref="E33:E34"/>
    <mergeCell ref="G19:G20"/>
    <mergeCell ref="C21:E21"/>
    <mergeCell ref="C22:E22"/>
    <mergeCell ref="A26:A32"/>
    <mergeCell ref="B26:B27"/>
    <mergeCell ref="C26:C27"/>
    <mergeCell ref="D26:D27"/>
    <mergeCell ref="E26:E27"/>
    <mergeCell ref="F26:F27"/>
    <mergeCell ref="G26:G27"/>
    <mergeCell ref="A19:A25"/>
    <mergeCell ref="B19:B20"/>
    <mergeCell ref="C19:C20"/>
    <mergeCell ref="D19:D20"/>
    <mergeCell ref="E19:E20"/>
    <mergeCell ref="F19:F20"/>
    <mergeCell ref="A13:G13"/>
    <mergeCell ref="A14:G14"/>
    <mergeCell ref="A15:G15"/>
    <mergeCell ref="A16:A18"/>
    <mergeCell ref="C16:D16"/>
    <mergeCell ref="B18:G18"/>
    <mergeCell ref="A12:G12"/>
    <mergeCell ref="A2:E2"/>
    <mergeCell ref="A3:E3"/>
    <mergeCell ref="A4:E4"/>
    <mergeCell ref="A7:E7"/>
    <mergeCell ref="A9:E9"/>
  </mergeCells>
  <pageMargins left="0.7" right="0.7" top="0.75" bottom="0.75" header="0.3" footer="0.3"/>
  <pageSetup paperSize="9" scale="46" fitToHeight="3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7"/>
  <sheetViews>
    <sheetView view="pageBreakPreview" zoomScale="60" zoomScaleNormal="100" workbookViewId="0">
      <selection activeCell="N4" sqref="N4"/>
    </sheetView>
  </sheetViews>
  <sheetFormatPr defaultRowHeight="15.75" x14ac:dyDescent="0.25"/>
  <cols>
    <col min="1" max="1" width="10.5703125" style="221" customWidth="1"/>
    <col min="2" max="2" width="69.7109375" style="222" customWidth="1"/>
    <col min="3" max="3" width="31.28515625" style="223" customWidth="1"/>
    <col min="4" max="4" width="57.28515625" style="223" customWidth="1"/>
    <col min="5" max="5" width="14.5703125" style="221" customWidth="1"/>
    <col min="6" max="6" width="13.5703125" style="221" hidden="1" customWidth="1"/>
    <col min="7" max="16384" width="9.140625" style="221"/>
  </cols>
  <sheetData>
    <row r="1" spans="1:4" ht="48.75" customHeight="1" x14ac:dyDescent="0.3">
      <c r="D1" s="264" t="s">
        <v>479</v>
      </c>
    </row>
    <row r="2" spans="1:4" ht="26.25" customHeight="1" x14ac:dyDescent="0.25">
      <c r="B2" s="224" t="s">
        <v>298</v>
      </c>
      <c r="C2" s="225"/>
      <c r="D2" s="225"/>
    </row>
    <row r="3" spans="1:4" ht="38.25" customHeight="1" x14ac:dyDescent="0.25">
      <c r="B3" s="226" t="s">
        <v>362</v>
      </c>
      <c r="C3" s="227"/>
      <c r="D3" s="227"/>
    </row>
    <row r="4" spans="1:4" ht="16.5" x14ac:dyDescent="0.25">
      <c r="B4" s="226"/>
      <c r="C4" s="227"/>
      <c r="D4" s="227"/>
    </row>
    <row r="5" spans="1:4" ht="16.5" x14ac:dyDescent="0.25">
      <c r="B5" s="228"/>
      <c r="C5" s="229"/>
      <c r="D5" s="230"/>
    </row>
    <row r="6" spans="1:4" ht="30.75" customHeight="1" x14ac:dyDescent="0.25">
      <c r="B6" s="231" t="s">
        <v>363</v>
      </c>
      <c r="C6" s="232"/>
      <c r="D6" s="232"/>
    </row>
    <row r="7" spans="1:4" ht="6" customHeight="1" x14ac:dyDescent="0.3">
      <c r="B7" s="233"/>
      <c r="C7" s="229"/>
      <c r="D7" s="229"/>
    </row>
    <row r="8" spans="1:4" ht="18.75" customHeight="1" x14ac:dyDescent="0.25">
      <c r="B8" s="234" t="s">
        <v>364</v>
      </c>
      <c r="C8" s="229"/>
      <c r="D8" s="229"/>
    </row>
    <row r="9" spans="1:4" ht="16.5" x14ac:dyDescent="0.25">
      <c r="B9" s="234"/>
    </row>
    <row r="10" spans="1:4" ht="31.5" customHeight="1" x14ac:dyDescent="0.25"/>
    <row r="11" spans="1:4" x14ac:dyDescent="0.25">
      <c r="A11" s="386"/>
      <c r="B11" s="387"/>
      <c r="C11" s="387"/>
      <c r="D11" s="388"/>
    </row>
    <row r="12" spans="1:4" ht="31.5" customHeight="1" x14ac:dyDescent="0.25">
      <c r="A12" s="235" t="s">
        <v>258</v>
      </c>
      <c r="B12" s="235" t="s">
        <v>365</v>
      </c>
      <c r="C12" s="235" t="s">
        <v>366</v>
      </c>
      <c r="D12" s="235" t="s">
        <v>367</v>
      </c>
    </row>
    <row r="13" spans="1:4" x14ac:dyDescent="0.25">
      <c r="A13" s="236">
        <v>1</v>
      </c>
      <c r="B13" s="237">
        <v>2</v>
      </c>
      <c r="C13" s="237">
        <v>3</v>
      </c>
      <c r="D13" s="237">
        <v>4</v>
      </c>
    </row>
    <row r="14" spans="1:4" x14ac:dyDescent="0.25">
      <c r="A14" s="357" t="s">
        <v>368</v>
      </c>
      <c r="B14" s="358"/>
      <c r="C14" s="358"/>
      <c r="D14" s="359"/>
    </row>
    <row r="15" spans="1:4" x14ac:dyDescent="0.25">
      <c r="A15" s="238">
        <v>1</v>
      </c>
      <c r="B15" s="239" t="s">
        <v>369</v>
      </c>
      <c r="C15" s="238" t="s">
        <v>370</v>
      </c>
      <c r="D15" s="240">
        <v>3</v>
      </c>
    </row>
    <row r="16" spans="1:4" x14ac:dyDescent="0.25">
      <c r="A16" s="238">
        <v>2</v>
      </c>
      <c r="B16" s="239" t="s">
        <v>371</v>
      </c>
      <c r="C16" s="238" t="s">
        <v>370</v>
      </c>
      <c r="D16" s="240">
        <v>29</v>
      </c>
    </row>
    <row r="17" spans="1:4" x14ac:dyDescent="0.25">
      <c r="A17" s="238">
        <v>3</v>
      </c>
      <c r="B17" s="239" t="s">
        <v>371</v>
      </c>
      <c r="C17" s="241" t="s">
        <v>372</v>
      </c>
      <c r="D17" s="240">
        <v>65</v>
      </c>
    </row>
    <row r="18" spans="1:4" x14ac:dyDescent="0.25">
      <c r="A18" s="238">
        <v>4</v>
      </c>
      <c r="B18" s="239" t="s">
        <v>371</v>
      </c>
      <c r="C18" s="238" t="s">
        <v>373</v>
      </c>
      <c r="D18" s="240">
        <v>167</v>
      </c>
    </row>
    <row r="19" spans="1:4" ht="31.5" x14ac:dyDescent="0.25">
      <c r="A19" s="238">
        <v>5</v>
      </c>
      <c r="B19" s="239" t="s">
        <v>374</v>
      </c>
      <c r="C19" s="238" t="s">
        <v>372</v>
      </c>
      <c r="D19" s="240">
        <v>90</v>
      </c>
    </row>
    <row r="20" spans="1:4" x14ac:dyDescent="0.25">
      <c r="A20" s="360"/>
      <c r="B20" s="361"/>
      <c r="C20" s="242" t="s">
        <v>375</v>
      </c>
      <c r="D20" s="242">
        <f>SUM(D15:D19)</f>
        <v>354</v>
      </c>
    </row>
    <row r="21" spans="1:4" x14ac:dyDescent="0.25">
      <c r="A21" s="362"/>
      <c r="B21" s="363"/>
      <c r="C21" s="241" t="s">
        <v>372</v>
      </c>
      <c r="D21" s="243">
        <f>SUMIF(C15:C19,C21:C29,D15:D19)</f>
        <v>155</v>
      </c>
    </row>
    <row r="22" spans="1:4" x14ac:dyDescent="0.25">
      <c r="A22" s="362"/>
      <c r="B22" s="363"/>
      <c r="C22" s="241" t="s">
        <v>370</v>
      </c>
      <c r="D22" s="243">
        <f>SUMIF(C15:C19,C22:C30,D15:D19)</f>
        <v>32</v>
      </c>
    </row>
    <row r="23" spans="1:4" x14ac:dyDescent="0.25">
      <c r="A23" s="362"/>
      <c r="B23" s="363"/>
      <c r="C23" s="241" t="s">
        <v>373</v>
      </c>
      <c r="D23" s="243">
        <f>SUMIF(C15:C19,C23:C31,D15:D19)</f>
        <v>167</v>
      </c>
    </row>
    <row r="24" spans="1:4" x14ac:dyDescent="0.25">
      <c r="A24" s="364"/>
      <c r="B24" s="365"/>
      <c r="C24" s="236" t="s">
        <v>376</v>
      </c>
      <c r="D24" s="244">
        <f>SUM(D21:D23)</f>
        <v>354</v>
      </c>
    </row>
    <row r="25" spans="1:4" x14ac:dyDescent="0.25">
      <c r="A25" s="357" t="s">
        <v>377</v>
      </c>
      <c r="B25" s="358"/>
      <c r="C25" s="358"/>
      <c r="D25" s="359"/>
    </row>
    <row r="26" spans="1:4" ht="31.5" x14ac:dyDescent="0.25">
      <c r="A26" s="245">
        <v>1</v>
      </c>
      <c r="B26" s="246" t="s">
        <v>378</v>
      </c>
      <c r="C26" s="247" t="s">
        <v>370</v>
      </c>
      <c r="D26" s="248">
        <v>4</v>
      </c>
    </row>
    <row r="27" spans="1:4" ht="31.5" x14ac:dyDescent="0.25">
      <c r="A27" s="245">
        <v>2</v>
      </c>
      <c r="B27" s="246" t="s">
        <v>379</v>
      </c>
      <c r="C27" s="247" t="s">
        <v>380</v>
      </c>
      <c r="D27" s="248">
        <v>102</v>
      </c>
    </row>
    <row r="28" spans="1:4" ht="31.5" x14ac:dyDescent="0.25">
      <c r="A28" s="245">
        <v>3</v>
      </c>
      <c r="B28" s="246" t="s">
        <v>381</v>
      </c>
      <c r="C28" s="247" t="s">
        <v>382</v>
      </c>
      <c r="D28" s="248">
        <v>327</v>
      </c>
    </row>
    <row r="29" spans="1:4" ht="31.5" x14ac:dyDescent="0.25">
      <c r="A29" s="245">
        <v>4</v>
      </c>
      <c r="B29" s="246" t="s">
        <v>381</v>
      </c>
      <c r="C29" s="247" t="s">
        <v>380</v>
      </c>
      <c r="D29" s="248">
        <v>45</v>
      </c>
    </row>
    <row r="30" spans="1:4" ht="31.5" x14ac:dyDescent="0.25">
      <c r="A30" s="245">
        <v>5</v>
      </c>
      <c r="B30" s="246" t="s">
        <v>383</v>
      </c>
      <c r="C30" s="247" t="s">
        <v>370</v>
      </c>
      <c r="D30" s="248">
        <v>75</v>
      </c>
    </row>
    <row r="31" spans="1:4" ht="31.5" x14ac:dyDescent="0.25">
      <c r="A31" s="245">
        <v>6</v>
      </c>
      <c r="B31" s="246" t="s">
        <v>384</v>
      </c>
      <c r="C31" s="247" t="s">
        <v>370</v>
      </c>
      <c r="D31" s="248">
        <v>2</v>
      </c>
    </row>
    <row r="32" spans="1:4" ht="31.5" x14ac:dyDescent="0.25">
      <c r="A32" s="245">
        <v>7</v>
      </c>
      <c r="B32" s="246" t="s">
        <v>385</v>
      </c>
      <c r="C32" s="247" t="s">
        <v>370</v>
      </c>
      <c r="D32" s="248">
        <v>21</v>
      </c>
    </row>
    <row r="33" spans="1:4" ht="31.5" x14ac:dyDescent="0.25">
      <c r="A33" s="238">
        <v>8</v>
      </c>
      <c r="B33" s="246" t="s">
        <v>386</v>
      </c>
      <c r="C33" s="247" t="s">
        <v>380</v>
      </c>
      <c r="D33" s="248">
        <v>114</v>
      </c>
    </row>
    <row r="34" spans="1:4" x14ac:dyDescent="0.25">
      <c r="A34" s="360"/>
      <c r="B34" s="361"/>
      <c r="C34" s="242" t="s">
        <v>375</v>
      </c>
      <c r="D34" s="242">
        <f>SUM(D26:D33)</f>
        <v>690</v>
      </c>
    </row>
    <row r="35" spans="1:4" x14ac:dyDescent="0.25">
      <c r="A35" s="362"/>
      <c r="B35" s="363"/>
      <c r="C35" s="241" t="s">
        <v>380</v>
      </c>
      <c r="D35" s="243">
        <f>SUMIF(C26:C34,C35:C41,D26:D34)</f>
        <v>261</v>
      </c>
    </row>
    <row r="36" spans="1:4" x14ac:dyDescent="0.25">
      <c r="A36" s="362"/>
      <c r="B36" s="363"/>
      <c r="C36" s="241" t="s">
        <v>382</v>
      </c>
      <c r="D36" s="243">
        <f>SUMIF(C26:C33,C36:C42,D26:D33)</f>
        <v>327</v>
      </c>
    </row>
    <row r="37" spans="1:4" x14ac:dyDescent="0.25">
      <c r="A37" s="362"/>
      <c r="B37" s="363"/>
      <c r="C37" s="241" t="s">
        <v>370</v>
      </c>
      <c r="D37" s="243">
        <f>SUMIF(C26:C33,C37:C44,D26:D33)</f>
        <v>102</v>
      </c>
    </row>
    <row r="38" spans="1:4" x14ac:dyDescent="0.25">
      <c r="A38" s="364"/>
      <c r="B38" s="365"/>
      <c r="C38" s="236" t="s">
        <v>376</v>
      </c>
      <c r="D38" s="244">
        <f>SUM(D35:D37)</f>
        <v>690</v>
      </c>
    </row>
    <row r="39" spans="1:4" x14ac:dyDescent="0.25">
      <c r="A39" s="357" t="s">
        <v>387</v>
      </c>
      <c r="B39" s="358"/>
      <c r="C39" s="358"/>
      <c r="D39" s="359"/>
    </row>
    <row r="40" spans="1:4" x14ac:dyDescent="0.25">
      <c r="A40" s="238">
        <v>1</v>
      </c>
      <c r="B40" s="239" t="s">
        <v>388</v>
      </c>
      <c r="C40" s="238" t="s">
        <v>372</v>
      </c>
      <c r="D40" s="248">
        <v>39</v>
      </c>
    </row>
    <row r="41" spans="1:4" x14ac:dyDescent="0.25">
      <c r="A41" s="238">
        <v>2</v>
      </c>
      <c r="B41" s="239" t="s">
        <v>389</v>
      </c>
      <c r="C41" s="238" t="s">
        <v>372</v>
      </c>
      <c r="D41" s="248">
        <v>18</v>
      </c>
    </row>
    <row r="42" spans="1:4" x14ac:dyDescent="0.25">
      <c r="A42" s="238">
        <v>3</v>
      </c>
      <c r="B42" s="239" t="s">
        <v>390</v>
      </c>
      <c r="C42" s="238" t="s">
        <v>372</v>
      </c>
      <c r="D42" s="248">
        <v>21</v>
      </c>
    </row>
    <row r="43" spans="1:4" x14ac:dyDescent="0.25">
      <c r="A43" s="238">
        <v>4</v>
      </c>
      <c r="B43" s="239" t="s">
        <v>391</v>
      </c>
      <c r="C43" s="238" t="s">
        <v>372</v>
      </c>
      <c r="D43" s="248">
        <v>51</v>
      </c>
    </row>
    <row r="44" spans="1:4" x14ac:dyDescent="0.25">
      <c r="A44" s="238">
        <v>5</v>
      </c>
      <c r="B44" s="239" t="s">
        <v>391</v>
      </c>
      <c r="C44" s="238" t="s">
        <v>372</v>
      </c>
      <c r="D44" s="248">
        <v>6</v>
      </c>
    </row>
    <row r="45" spans="1:4" x14ac:dyDescent="0.25">
      <c r="A45" s="238">
        <v>6</v>
      </c>
      <c r="B45" s="239" t="s">
        <v>391</v>
      </c>
      <c r="C45" s="238" t="s">
        <v>372</v>
      </c>
      <c r="D45" s="248">
        <v>3</v>
      </c>
    </row>
    <row r="46" spans="1:4" x14ac:dyDescent="0.25">
      <c r="A46" s="238">
        <v>7</v>
      </c>
      <c r="B46" s="239" t="s">
        <v>391</v>
      </c>
      <c r="C46" s="238" t="s">
        <v>372</v>
      </c>
      <c r="D46" s="248">
        <v>13</v>
      </c>
    </row>
    <row r="47" spans="1:4" x14ac:dyDescent="0.25">
      <c r="A47" s="238">
        <v>8</v>
      </c>
      <c r="B47" s="239" t="s">
        <v>392</v>
      </c>
      <c r="C47" s="238" t="s">
        <v>380</v>
      </c>
      <c r="D47" s="248">
        <v>5</v>
      </c>
    </row>
    <row r="48" spans="1:4" x14ac:dyDescent="0.25">
      <c r="A48" s="360"/>
      <c r="B48" s="361"/>
      <c r="C48" s="242" t="s">
        <v>375</v>
      </c>
      <c r="D48" s="242">
        <f>SUM(D40:D47)</f>
        <v>156</v>
      </c>
    </row>
    <row r="49" spans="1:4" x14ac:dyDescent="0.25">
      <c r="A49" s="362"/>
      <c r="B49" s="363"/>
      <c r="C49" s="241" t="s">
        <v>380</v>
      </c>
      <c r="D49" s="243">
        <f>SUMIF(C40:C47,C49:C54,D40:D47)</f>
        <v>5</v>
      </c>
    </row>
    <row r="50" spans="1:4" x14ac:dyDescent="0.25">
      <c r="A50" s="362"/>
      <c r="B50" s="363"/>
      <c r="C50" s="241" t="s">
        <v>372</v>
      </c>
      <c r="D50" s="243">
        <f>SUMIF(C40:C47,C50:C56,D40:D47)</f>
        <v>151</v>
      </c>
    </row>
    <row r="51" spans="1:4" x14ac:dyDescent="0.25">
      <c r="A51" s="364"/>
      <c r="B51" s="365"/>
      <c r="C51" s="236" t="s">
        <v>376</v>
      </c>
      <c r="D51" s="244">
        <f>SUM(D49:D50)</f>
        <v>156</v>
      </c>
    </row>
    <row r="52" spans="1:4" x14ac:dyDescent="0.25">
      <c r="A52" s="357" t="s">
        <v>393</v>
      </c>
      <c r="B52" s="358"/>
      <c r="C52" s="358"/>
      <c r="D52" s="359"/>
    </row>
    <row r="53" spans="1:4" x14ac:dyDescent="0.25">
      <c r="A53" s="238">
        <v>1</v>
      </c>
      <c r="B53" s="249" t="s">
        <v>394</v>
      </c>
      <c r="C53" s="238" t="s">
        <v>372</v>
      </c>
      <c r="D53" s="248">
        <v>63</v>
      </c>
    </row>
    <row r="54" spans="1:4" x14ac:dyDescent="0.25">
      <c r="A54" s="238">
        <v>2</v>
      </c>
      <c r="B54" s="249" t="s">
        <v>395</v>
      </c>
      <c r="C54" s="238" t="s">
        <v>372</v>
      </c>
      <c r="D54" s="248">
        <v>126</v>
      </c>
    </row>
    <row r="55" spans="1:4" x14ac:dyDescent="0.25">
      <c r="A55" s="238">
        <v>3</v>
      </c>
      <c r="B55" s="249" t="s">
        <v>395</v>
      </c>
      <c r="C55" s="238" t="s">
        <v>382</v>
      </c>
      <c r="D55" s="248">
        <v>164</v>
      </c>
    </row>
    <row r="56" spans="1:4" x14ac:dyDescent="0.25">
      <c r="A56" s="238">
        <v>4</v>
      </c>
      <c r="B56" s="249" t="s">
        <v>396</v>
      </c>
      <c r="C56" s="238" t="s">
        <v>372</v>
      </c>
      <c r="D56" s="248">
        <v>43</v>
      </c>
    </row>
    <row r="57" spans="1:4" x14ac:dyDescent="0.25">
      <c r="A57" s="360"/>
      <c r="B57" s="361"/>
      <c r="C57" s="242" t="s">
        <v>375</v>
      </c>
      <c r="D57" s="242">
        <f>SUM(D53:D56)</f>
        <v>396</v>
      </c>
    </row>
    <row r="58" spans="1:4" x14ac:dyDescent="0.25">
      <c r="A58" s="362"/>
      <c r="B58" s="363"/>
      <c r="C58" s="241" t="s">
        <v>382</v>
      </c>
      <c r="D58" s="243">
        <f>SUMIF(C53:C56,C58:C64,D53:D56)</f>
        <v>164</v>
      </c>
    </row>
    <row r="59" spans="1:4" x14ac:dyDescent="0.25">
      <c r="A59" s="362"/>
      <c r="B59" s="363"/>
      <c r="C59" s="241" t="s">
        <v>372</v>
      </c>
      <c r="D59" s="243">
        <f>SUMIF(C53:C56,C59:C65,D53:D56)</f>
        <v>232</v>
      </c>
    </row>
    <row r="60" spans="1:4" x14ac:dyDescent="0.25">
      <c r="A60" s="364"/>
      <c r="B60" s="365"/>
      <c r="C60" s="236" t="s">
        <v>376</v>
      </c>
      <c r="D60" s="244">
        <f>SUM(D58:D59)</f>
        <v>396</v>
      </c>
    </row>
    <row r="61" spans="1:4" x14ac:dyDescent="0.25">
      <c r="A61" s="380" t="s">
        <v>397</v>
      </c>
      <c r="B61" s="381"/>
      <c r="C61" s="381"/>
      <c r="D61" s="382"/>
    </row>
    <row r="62" spans="1:4" x14ac:dyDescent="0.25">
      <c r="A62" s="238">
        <v>1</v>
      </c>
      <c r="B62" s="250" t="s">
        <v>398</v>
      </c>
      <c r="C62" s="247" t="s">
        <v>372</v>
      </c>
      <c r="D62" s="251">
        <v>115</v>
      </c>
    </row>
    <row r="63" spans="1:4" x14ac:dyDescent="0.25">
      <c r="A63" s="238">
        <v>2</v>
      </c>
      <c r="B63" s="250" t="s">
        <v>399</v>
      </c>
      <c r="C63" s="247" t="s">
        <v>372</v>
      </c>
      <c r="D63" s="251">
        <v>33</v>
      </c>
    </row>
    <row r="64" spans="1:4" ht="31.5" x14ac:dyDescent="0.25">
      <c r="A64" s="238">
        <v>3</v>
      </c>
      <c r="B64" s="250" t="s">
        <v>400</v>
      </c>
      <c r="C64" s="247" t="s">
        <v>372</v>
      </c>
      <c r="D64" s="251">
        <v>271</v>
      </c>
    </row>
    <row r="65" spans="1:4" ht="31.5" x14ac:dyDescent="0.25">
      <c r="A65" s="238">
        <v>4</v>
      </c>
      <c r="B65" s="250" t="s">
        <v>401</v>
      </c>
      <c r="C65" s="247" t="s">
        <v>372</v>
      </c>
      <c r="D65" s="251">
        <v>10</v>
      </c>
    </row>
    <row r="66" spans="1:4" ht="31.5" x14ac:dyDescent="0.25">
      <c r="A66" s="238">
        <v>5</v>
      </c>
      <c r="B66" s="250" t="s">
        <v>402</v>
      </c>
      <c r="C66" s="247" t="s">
        <v>372</v>
      </c>
      <c r="D66" s="251">
        <v>21</v>
      </c>
    </row>
    <row r="67" spans="1:4" ht="31.5" x14ac:dyDescent="0.25">
      <c r="A67" s="238">
        <v>6</v>
      </c>
      <c r="B67" s="250" t="s">
        <v>403</v>
      </c>
      <c r="C67" s="247" t="s">
        <v>372</v>
      </c>
      <c r="D67" s="251">
        <v>5</v>
      </c>
    </row>
    <row r="68" spans="1:4" ht="31.5" x14ac:dyDescent="0.25">
      <c r="A68" s="238">
        <v>7</v>
      </c>
      <c r="B68" s="250" t="s">
        <v>404</v>
      </c>
      <c r="C68" s="247" t="s">
        <v>372</v>
      </c>
      <c r="D68" s="251">
        <v>12</v>
      </c>
    </row>
    <row r="69" spans="1:4" x14ac:dyDescent="0.25">
      <c r="A69" s="360"/>
      <c r="B69" s="361"/>
      <c r="C69" s="242" t="s">
        <v>375</v>
      </c>
      <c r="D69" s="242">
        <f>SUM(D62:D68)</f>
        <v>467</v>
      </c>
    </row>
    <row r="70" spans="1:4" x14ac:dyDescent="0.25">
      <c r="A70" s="362"/>
      <c r="B70" s="363"/>
      <c r="C70" s="241" t="s">
        <v>372</v>
      </c>
      <c r="D70" s="243">
        <f>SUMIF(C62:C68,C70:C76,D62:D68)</f>
        <v>467</v>
      </c>
    </row>
    <row r="71" spans="1:4" x14ac:dyDescent="0.25">
      <c r="A71" s="364"/>
      <c r="B71" s="365"/>
      <c r="C71" s="236" t="s">
        <v>376</v>
      </c>
      <c r="D71" s="244">
        <f>SUM(D70:D70)</f>
        <v>467</v>
      </c>
    </row>
    <row r="72" spans="1:4" x14ac:dyDescent="0.25">
      <c r="A72" s="380" t="s">
        <v>405</v>
      </c>
      <c r="B72" s="381"/>
      <c r="C72" s="381"/>
      <c r="D72" s="382"/>
    </row>
    <row r="73" spans="1:4" ht="31.5" x14ac:dyDescent="0.25">
      <c r="A73" s="252">
        <v>1</v>
      </c>
      <c r="B73" s="253" t="s">
        <v>406</v>
      </c>
      <c r="C73" s="252" t="s">
        <v>372</v>
      </c>
      <c r="D73" s="254">
        <v>12</v>
      </c>
    </row>
    <row r="74" spans="1:4" x14ac:dyDescent="0.25">
      <c r="A74" s="252">
        <v>2</v>
      </c>
      <c r="B74" s="253" t="s">
        <v>407</v>
      </c>
      <c r="C74" s="252" t="s">
        <v>372</v>
      </c>
      <c r="D74" s="254">
        <v>140</v>
      </c>
    </row>
    <row r="75" spans="1:4" x14ac:dyDescent="0.25">
      <c r="A75" s="252">
        <v>3</v>
      </c>
      <c r="B75" s="253" t="s">
        <v>408</v>
      </c>
      <c r="C75" s="252" t="s">
        <v>372</v>
      </c>
      <c r="D75" s="254">
        <v>44</v>
      </c>
    </row>
    <row r="76" spans="1:4" x14ac:dyDescent="0.25">
      <c r="A76" s="252">
        <v>4</v>
      </c>
      <c r="B76" s="253" t="s">
        <v>409</v>
      </c>
      <c r="C76" s="252" t="s">
        <v>372</v>
      </c>
      <c r="D76" s="254">
        <v>12</v>
      </c>
    </row>
    <row r="77" spans="1:4" x14ac:dyDescent="0.25">
      <c r="A77" s="252">
        <v>5</v>
      </c>
      <c r="B77" s="253" t="s">
        <v>410</v>
      </c>
      <c r="C77" s="252" t="s">
        <v>372</v>
      </c>
      <c r="D77" s="254">
        <v>2</v>
      </c>
    </row>
    <row r="78" spans="1:4" x14ac:dyDescent="0.25">
      <c r="A78" s="252">
        <v>6</v>
      </c>
      <c r="B78" s="253" t="s">
        <v>411</v>
      </c>
      <c r="C78" s="252" t="s">
        <v>373</v>
      </c>
      <c r="D78" s="254">
        <v>26</v>
      </c>
    </row>
    <row r="79" spans="1:4" x14ac:dyDescent="0.25">
      <c r="A79" s="252">
        <v>7</v>
      </c>
      <c r="B79" s="253" t="s">
        <v>411</v>
      </c>
      <c r="C79" s="252" t="s">
        <v>372</v>
      </c>
      <c r="D79" s="254">
        <v>8</v>
      </c>
    </row>
    <row r="80" spans="1:4" x14ac:dyDescent="0.25">
      <c r="A80" s="252">
        <v>8</v>
      </c>
      <c r="B80" s="253" t="s">
        <v>412</v>
      </c>
      <c r="C80" s="252" t="s">
        <v>373</v>
      </c>
      <c r="D80" s="254">
        <v>3</v>
      </c>
    </row>
    <row r="81" spans="1:4" x14ac:dyDescent="0.25">
      <c r="A81" s="252">
        <v>9</v>
      </c>
      <c r="B81" s="253" t="s">
        <v>413</v>
      </c>
      <c r="C81" s="252" t="s">
        <v>372</v>
      </c>
      <c r="D81" s="254">
        <v>2</v>
      </c>
    </row>
    <row r="82" spans="1:4" x14ac:dyDescent="0.25">
      <c r="A82" s="252">
        <v>10</v>
      </c>
      <c r="B82" s="253" t="s">
        <v>414</v>
      </c>
      <c r="C82" s="252" t="s">
        <v>382</v>
      </c>
      <c r="D82" s="254">
        <v>54</v>
      </c>
    </row>
    <row r="83" spans="1:4" x14ac:dyDescent="0.25">
      <c r="A83" s="252">
        <v>11</v>
      </c>
      <c r="B83" s="253" t="s">
        <v>414</v>
      </c>
      <c r="C83" s="252" t="s">
        <v>380</v>
      </c>
      <c r="D83" s="254">
        <v>22</v>
      </c>
    </row>
    <row r="84" spans="1:4" x14ac:dyDescent="0.25">
      <c r="A84" s="252">
        <v>12</v>
      </c>
      <c r="B84" s="253" t="s">
        <v>414</v>
      </c>
      <c r="C84" s="252" t="s">
        <v>372</v>
      </c>
      <c r="D84" s="254">
        <v>7</v>
      </c>
    </row>
    <row r="85" spans="1:4" x14ac:dyDescent="0.25">
      <c r="A85" s="252">
        <v>13</v>
      </c>
      <c r="B85" s="253" t="s">
        <v>414</v>
      </c>
      <c r="C85" s="252" t="s">
        <v>370</v>
      </c>
      <c r="D85" s="254">
        <v>8</v>
      </c>
    </row>
    <row r="86" spans="1:4" ht="31.5" x14ac:dyDescent="0.25">
      <c r="A86" s="252">
        <v>14</v>
      </c>
      <c r="B86" s="253" t="s">
        <v>415</v>
      </c>
      <c r="C86" s="252" t="s">
        <v>373</v>
      </c>
      <c r="D86" s="254">
        <v>28</v>
      </c>
    </row>
    <row r="87" spans="1:4" ht="31.5" x14ac:dyDescent="0.25">
      <c r="A87" s="252">
        <v>15</v>
      </c>
      <c r="B87" s="253" t="s">
        <v>415</v>
      </c>
      <c r="C87" s="252" t="s">
        <v>372</v>
      </c>
      <c r="D87" s="254">
        <v>3</v>
      </c>
    </row>
    <row r="88" spans="1:4" ht="31.5" x14ac:dyDescent="0.25">
      <c r="A88" s="252">
        <v>16</v>
      </c>
      <c r="B88" s="253" t="s">
        <v>416</v>
      </c>
      <c r="C88" s="252" t="s">
        <v>372</v>
      </c>
      <c r="D88" s="254">
        <v>6</v>
      </c>
    </row>
    <row r="89" spans="1:4" ht="31.5" x14ac:dyDescent="0.25">
      <c r="A89" s="252">
        <v>17</v>
      </c>
      <c r="B89" s="253" t="s">
        <v>416</v>
      </c>
      <c r="C89" s="252" t="s">
        <v>373</v>
      </c>
      <c r="D89" s="254">
        <v>6</v>
      </c>
    </row>
    <row r="90" spans="1:4" x14ac:dyDescent="0.25">
      <c r="A90" s="252">
        <v>18</v>
      </c>
      <c r="B90" s="253" t="s">
        <v>417</v>
      </c>
      <c r="C90" s="252" t="s">
        <v>373</v>
      </c>
      <c r="D90" s="254">
        <v>57</v>
      </c>
    </row>
    <row r="91" spans="1:4" x14ac:dyDescent="0.25">
      <c r="A91" s="252">
        <v>19</v>
      </c>
      <c r="B91" s="253" t="s">
        <v>418</v>
      </c>
      <c r="C91" s="252" t="s">
        <v>380</v>
      </c>
      <c r="D91" s="254">
        <v>6</v>
      </c>
    </row>
    <row r="92" spans="1:4" x14ac:dyDescent="0.25">
      <c r="A92" s="252">
        <v>20</v>
      </c>
      <c r="B92" s="253" t="s">
        <v>418</v>
      </c>
      <c r="C92" s="252" t="s">
        <v>382</v>
      </c>
      <c r="D92" s="254">
        <v>7</v>
      </c>
    </row>
    <row r="93" spans="1:4" x14ac:dyDescent="0.25">
      <c r="A93" s="252">
        <v>21</v>
      </c>
      <c r="B93" s="253" t="s">
        <v>418</v>
      </c>
      <c r="C93" s="252" t="s">
        <v>372</v>
      </c>
      <c r="D93" s="254">
        <v>2</v>
      </c>
    </row>
    <row r="94" spans="1:4" x14ac:dyDescent="0.25">
      <c r="A94" s="252">
        <v>22</v>
      </c>
      <c r="B94" s="253" t="s">
        <v>419</v>
      </c>
      <c r="C94" s="252" t="s">
        <v>373</v>
      </c>
      <c r="D94" s="254">
        <v>13</v>
      </c>
    </row>
    <row r="95" spans="1:4" x14ac:dyDescent="0.25">
      <c r="A95" s="252">
        <v>23</v>
      </c>
      <c r="B95" s="253" t="s">
        <v>420</v>
      </c>
      <c r="C95" s="252" t="s">
        <v>382</v>
      </c>
      <c r="D95" s="254">
        <v>18</v>
      </c>
    </row>
    <row r="96" spans="1:4" ht="31.5" x14ac:dyDescent="0.25">
      <c r="A96" s="252">
        <v>24</v>
      </c>
      <c r="B96" s="253" t="s">
        <v>421</v>
      </c>
      <c r="C96" s="252" t="s">
        <v>373</v>
      </c>
      <c r="D96" s="254">
        <v>7</v>
      </c>
    </row>
    <row r="97" spans="1:4" ht="31.5" x14ac:dyDescent="0.25">
      <c r="A97" s="252">
        <v>25</v>
      </c>
      <c r="B97" s="253" t="s">
        <v>422</v>
      </c>
      <c r="C97" s="252" t="s">
        <v>372</v>
      </c>
      <c r="D97" s="254">
        <v>40</v>
      </c>
    </row>
    <row r="98" spans="1:4" ht="31.5" x14ac:dyDescent="0.25">
      <c r="A98" s="252">
        <v>26</v>
      </c>
      <c r="B98" s="253" t="s">
        <v>423</v>
      </c>
      <c r="C98" s="252" t="s">
        <v>372</v>
      </c>
      <c r="D98" s="254">
        <v>30</v>
      </c>
    </row>
    <row r="99" spans="1:4" ht="31.5" x14ac:dyDescent="0.25">
      <c r="A99" s="252">
        <v>27</v>
      </c>
      <c r="B99" s="253" t="s">
        <v>423</v>
      </c>
      <c r="C99" s="252" t="s">
        <v>382</v>
      </c>
      <c r="D99" s="254">
        <v>12</v>
      </c>
    </row>
    <row r="100" spans="1:4" ht="31.5" x14ac:dyDescent="0.25">
      <c r="A100" s="252">
        <v>28</v>
      </c>
      <c r="B100" s="253" t="s">
        <v>422</v>
      </c>
      <c r="C100" s="252" t="s">
        <v>372</v>
      </c>
      <c r="D100" s="254">
        <v>45</v>
      </c>
    </row>
    <row r="101" spans="1:4" ht="31.5" x14ac:dyDescent="0.25">
      <c r="A101" s="252">
        <v>29</v>
      </c>
      <c r="B101" s="253" t="s">
        <v>424</v>
      </c>
      <c r="C101" s="252" t="s">
        <v>372</v>
      </c>
      <c r="D101" s="254">
        <v>86</v>
      </c>
    </row>
    <row r="102" spans="1:4" x14ac:dyDescent="0.25">
      <c r="A102" s="252">
        <v>30</v>
      </c>
      <c r="B102" s="253" t="s">
        <v>425</v>
      </c>
      <c r="C102" s="252" t="s">
        <v>372</v>
      </c>
      <c r="D102" s="254">
        <v>15</v>
      </c>
    </row>
    <row r="103" spans="1:4" x14ac:dyDescent="0.25">
      <c r="A103" s="252">
        <v>31</v>
      </c>
      <c r="B103" s="253" t="s">
        <v>425</v>
      </c>
      <c r="C103" s="252" t="s">
        <v>380</v>
      </c>
      <c r="D103" s="254">
        <v>13</v>
      </c>
    </row>
    <row r="104" spans="1:4" x14ac:dyDescent="0.25">
      <c r="A104" s="374"/>
      <c r="B104" s="375"/>
      <c r="C104" s="242" t="s">
        <v>375</v>
      </c>
      <c r="D104" s="242">
        <f>SUM(D73:D103)</f>
        <v>734</v>
      </c>
    </row>
    <row r="105" spans="1:4" x14ac:dyDescent="0.25">
      <c r="A105" s="376"/>
      <c r="B105" s="377"/>
      <c r="C105" s="241" t="s">
        <v>380</v>
      </c>
      <c r="D105" s="243">
        <f>SUMIF(C73:C103,C105:C113,D73:D103)</f>
        <v>41</v>
      </c>
    </row>
    <row r="106" spans="1:4" x14ac:dyDescent="0.25">
      <c r="A106" s="376"/>
      <c r="B106" s="377"/>
      <c r="C106" s="241" t="s">
        <v>382</v>
      </c>
      <c r="D106" s="243">
        <f>SUMIF(C73:C103,C106:C114,D73:D103)</f>
        <v>91</v>
      </c>
    </row>
    <row r="107" spans="1:4" x14ac:dyDescent="0.25">
      <c r="A107" s="376"/>
      <c r="B107" s="377"/>
      <c r="C107" s="241" t="s">
        <v>372</v>
      </c>
      <c r="D107" s="243">
        <f>SUMIF(C73:C103,C107:C115,D73:D103)</f>
        <v>454</v>
      </c>
    </row>
    <row r="108" spans="1:4" x14ac:dyDescent="0.25">
      <c r="A108" s="376"/>
      <c r="B108" s="377"/>
      <c r="C108" s="241" t="s">
        <v>370</v>
      </c>
      <c r="D108" s="243">
        <f>SUMIF(C73:C103,C108:C116,D73:D103)</f>
        <v>8</v>
      </c>
    </row>
    <row r="109" spans="1:4" x14ac:dyDescent="0.25">
      <c r="A109" s="376"/>
      <c r="B109" s="377"/>
      <c r="C109" s="241" t="s">
        <v>373</v>
      </c>
      <c r="D109" s="243">
        <f>SUMIF(C73:C103,C109:C117,D73:D103)</f>
        <v>140</v>
      </c>
    </row>
    <row r="110" spans="1:4" x14ac:dyDescent="0.25">
      <c r="A110" s="378"/>
      <c r="B110" s="379"/>
      <c r="C110" s="255" t="s">
        <v>376</v>
      </c>
      <c r="D110" s="256">
        <f>SUM(D105:D109)</f>
        <v>734</v>
      </c>
    </row>
    <row r="111" spans="1:4" x14ac:dyDescent="0.25">
      <c r="A111" s="383" t="s">
        <v>426</v>
      </c>
      <c r="B111" s="384"/>
      <c r="C111" s="384"/>
      <c r="D111" s="385"/>
    </row>
    <row r="112" spans="1:4" ht="31.5" x14ac:dyDescent="0.25">
      <c r="A112" s="257">
        <v>1</v>
      </c>
      <c r="B112" s="246" t="s">
        <v>427</v>
      </c>
      <c r="C112" s="247" t="s">
        <v>372</v>
      </c>
      <c r="D112" s="248">
        <v>22</v>
      </c>
    </row>
    <row r="113" spans="1:4" ht="31.5" x14ac:dyDescent="0.25">
      <c r="A113" s="257">
        <v>2</v>
      </c>
      <c r="B113" s="246" t="s">
        <v>427</v>
      </c>
      <c r="C113" s="247" t="s">
        <v>372</v>
      </c>
      <c r="D113" s="248">
        <v>52</v>
      </c>
    </row>
    <row r="114" spans="1:4" ht="31.5" x14ac:dyDescent="0.25">
      <c r="A114" s="257">
        <v>3</v>
      </c>
      <c r="B114" s="246" t="s">
        <v>428</v>
      </c>
      <c r="C114" s="247" t="s">
        <v>372</v>
      </c>
      <c r="D114" s="248">
        <v>34</v>
      </c>
    </row>
    <row r="115" spans="1:4" ht="31.5" x14ac:dyDescent="0.25">
      <c r="A115" s="257">
        <v>4</v>
      </c>
      <c r="B115" s="246" t="s">
        <v>429</v>
      </c>
      <c r="C115" s="247" t="s">
        <v>372</v>
      </c>
      <c r="D115" s="248">
        <v>3</v>
      </c>
    </row>
    <row r="116" spans="1:4" ht="31.5" x14ac:dyDescent="0.25">
      <c r="A116" s="257">
        <v>5</v>
      </c>
      <c r="B116" s="246" t="s">
        <v>429</v>
      </c>
      <c r="C116" s="247" t="s">
        <v>372</v>
      </c>
      <c r="D116" s="248">
        <v>61</v>
      </c>
    </row>
    <row r="117" spans="1:4" ht="31.5" x14ac:dyDescent="0.25">
      <c r="A117" s="257">
        <v>6</v>
      </c>
      <c r="B117" s="246" t="s">
        <v>429</v>
      </c>
      <c r="C117" s="247" t="s">
        <v>372</v>
      </c>
      <c r="D117" s="248">
        <v>3</v>
      </c>
    </row>
    <row r="118" spans="1:4" ht="31.5" x14ac:dyDescent="0.25">
      <c r="A118" s="257">
        <v>7</v>
      </c>
      <c r="B118" s="246" t="s">
        <v>429</v>
      </c>
      <c r="C118" s="247" t="s">
        <v>372</v>
      </c>
      <c r="D118" s="248">
        <v>11</v>
      </c>
    </row>
    <row r="119" spans="1:4" ht="31.5" x14ac:dyDescent="0.25">
      <c r="A119" s="257">
        <v>8</v>
      </c>
      <c r="B119" s="246" t="s">
        <v>429</v>
      </c>
      <c r="C119" s="247" t="s">
        <v>372</v>
      </c>
      <c r="D119" s="248">
        <v>5</v>
      </c>
    </row>
    <row r="120" spans="1:4" ht="31.5" x14ac:dyDescent="0.25">
      <c r="A120" s="257">
        <v>9</v>
      </c>
      <c r="B120" s="246" t="s">
        <v>429</v>
      </c>
      <c r="C120" s="247" t="s">
        <v>372</v>
      </c>
      <c r="D120" s="248">
        <v>11</v>
      </c>
    </row>
    <row r="121" spans="1:4" x14ac:dyDescent="0.25">
      <c r="A121" s="257">
        <v>10</v>
      </c>
      <c r="B121" s="246" t="s">
        <v>430</v>
      </c>
      <c r="C121" s="247" t="s">
        <v>372</v>
      </c>
      <c r="D121" s="248">
        <v>17</v>
      </c>
    </row>
    <row r="122" spans="1:4" x14ac:dyDescent="0.25">
      <c r="A122" s="257">
        <v>11</v>
      </c>
      <c r="B122" s="246" t="s">
        <v>431</v>
      </c>
      <c r="C122" s="247" t="s">
        <v>372</v>
      </c>
      <c r="D122" s="248">
        <v>43</v>
      </c>
    </row>
    <row r="123" spans="1:4" x14ac:dyDescent="0.25">
      <c r="A123" s="257">
        <v>12</v>
      </c>
      <c r="B123" s="246" t="s">
        <v>432</v>
      </c>
      <c r="C123" s="247" t="s">
        <v>372</v>
      </c>
      <c r="D123" s="248">
        <v>57</v>
      </c>
    </row>
    <row r="124" spans="1:4" x14ac:dyDescent="0.25">
      <c r="A124" s="257">
        <v>13</v>
      </c>
      <c r="B124" s="246" t="s">
        <v>433</v>
      </c>
      <c r="C124" s="247" t="s">
        <v>372</v>
      </c>
      <c r="D124" s="248">
        <v>11</v>
      </c>
    </row>
    <row r="125" spans="1:4" x14ac:dyDescent="0.25">
      <c r="A125" s="257">
        <v>14</v>
      </c>
      <c r="B125" s="246" t="s">
        <v>433</v>
      </c>
      <c r="C125" s="247" t="s">
        <v>372</v>
      </c>
      <c r="D125" s="248">
        <v>24</v>
      </c>
    </row>
    <row r="126" spans="1:4" x14ac:dyDescent="0.25">
      <c r="A126" s="257">
        <v>15</v>
      </c>
      <c r="B126" s="246" t="s">
        <v>434</v>
      </c>
      <c r="C126" s="247" t="s">
        <v>372</v>
      </c>
      <c r="D126" s="248">
        <v>48</v>
      </c>
    </row>
    <row r="127" spans="1:4" x14ac:dyDescent="0.25">
      <c r="A127" s="257">
        <v>16</v>
      </c>
      <c r="B127" s="246" t="s">
        <v>434</v>
      </c>
      <c r="C127" s="247" t="s">
        <v>372</v>
      </c>
      <c r="D127" s="248">
        <v>73</v>
      </c>
    </row>
    <row r="128" spans="1:4" x14ac:dyDescent="0.25">
      <c r="A128" s="257">
        <v>17</v>
      </c>
      <c r="B128" s="246" t="s">
        <v>434</v>
      </c>
      <c r="C128" s="247" t="s">
        <v>372</v>
      </c>
      <c r="D128" s="248">
        <v>16</v>
      </c>
    </row>
    <row r="129" spans="1:4" x14ac:dyDescent="0.25">
      <c r="A129" s="257">
        <v>18</v>
      </c>
      <c r="B129" s="246" t="s">
        <v>435</v>
      </c>
      <c r="C129" s="247" t="s">
        <v>372</v>
      </c>
      <c r="D129" s="248">
        <v>44</v>
      </c>
    </row>
    <row r="130" spans="1:4" x14ac:dyDescent="0.25">
      <c r="A130" s="257">
        <v>19</v>
      </c>
      <c r="B130" s="246" t="s">
        <v>435</v>
      </c>
      <c r="C130" s="247" t="s">
        <v>372</v>
      </c>
      <c r="D130" s="248">
        <v>31</v>
      </c>
    </row>
    <row r="131" spans="1:4" x14ac:dyDescent="0.25">
      <c r="A131" s="257">
        <v>20</v>
      </c>
      <c r="B131" s="246" t="s">
        <v>435</v>
      </c>
      <c r="C131" s="247" t="s">
        <v>372</v>
      </c>
      <c r="D131" s="248">
        <v>36</v>
      </c>
    </row>
    <row r="132" spans="1:4" x14ac:dyDescent="0.25">
      <c r="A132" s="257">
        <v>21</v>
      </c>
      <c r="B132" s="246" t="s">
        <v>436</v>
      </c>
      <c r="C132" s="247" t="s">
        <v>372</v>
      </c>
      <c r="D132" s="248">
        <v>19</v>
      </c>
    </row>
    <row r="133" spans="1:4" x14ac:dyDescent="0.25">
      <c r="A133" s="257">
        <v>22</v>
      </c>
      <c r="B133" s="246" t="s">
        <v>436</v>
      </c>
      <c r="C133" s="247" t="s">
        <v>372</v>
      </c>
      <c r="D133" s="248">
        <v>13</v>
      </c>
    </row>
    <row r="134" spans="1:4" x14ac:dyDescent="0.25">
      <c r="A134" s="257">
        <v>23</v>
      </c>
      <c r="B134" s="246" t="s">
        <v>435</v>
      </c>
      <c r="C134" s="247" t="s">
        <v>372</v>
      </c>
      <c r="D134" s="248">
        <v>15</v>
      </c>
    </row>
    <row r="135" spans="1:4" x14ac:dyDescent="0.25">
      <c r="A135" s="257">
        <v>24</v>
      </c>
      <c r="B135" s="246" t="s">
        <v>437</v>
      </c>
      <c r="C135" s="247" t="s">
        <v>372</v>
      </c>
      <c r="D135" s="248">
        <v>59</v>
      </c>
    </row>
    <row r="136" spans="1:4" x14ac:dyDescent="0.25">
      <c r="A136" s="257">
        <v>25</v>
      </c>
      <c r="B136" s="246" t="s">
        <v>438</v>
      </c>
      <c r="C136" s="247" t="s">
        <v>370</v>
      </c>
      <c r="D136" s="248">
        <v>11</v>
      </c>
    </row>
    <row r="137" spans="1:4" ht="31.5" x14ac:dyDescent="0.25">
      <c r="A137" s="257">
        <v>26</v>
      </c>
      <c r="B137" s="246" t="s">
        <v>439</v>
      </c>
      <c r="C137" s="247" t="s">
        <v>372</v>
      </c>
      <c r="D137" s="248">
        <v>8</v>
      </c>
    </row>
    <row r="138" spans="1:4" ht="31.5" x14ac:dyDescent="0.25">
      <c r="A138" s="257">
        <v>27</v>
      </c>
      <c r="B138" s="246" t="s">
        <v>439</v>
      </c>
      <c r="C138" s="247" t="s">
        <v>372</v>
      </c>
      <c r="D138" s="248">
        <v>21</v>
      </c>
    </row>
    <row r="139" spans="1:4" x14ac:dyDescent="0.25">
      <c r="A139" s="374"/>
      <c r="B139" s="375"/>
      <c r="C139" s="242" t="s">
        <v>375</v>
      </c>
      <c r="D139" s="242">
        <f>SUM(D112:D138)</f>
        <v>748</v>
      </c>
    </row>
    <row r="140" spans="1:4" x14ac:dyDescent="0.25">
      <c r="A140" s="376"/>
      <c r="B140" s="377"/>
      <c r="C140" s="241" t="s">
        <v>372</v>
      </c>
      <c r="D140" s="243">
        <f>SUMIF(C112:C138,C140:C147,D112:D138)</f>
        <v>737</v>
      </c>
    </row>
    <row r="141" spans="1:4" x14ac:dyDescent="0.25">
      <c r="A141" s="376"/>
      <c r="B141" s="377"/>
      <c r="C141" s="241" t="s">
        <v>370</v>
      </c>
      <c r="D141" s="243">
        <f>SUMIF(C112:C138,C141:C148,D112:D138)</f>
        <v>11</v>
      </c>
    </row>
    <row r="142" spans="1:4" x14ac:dyDescent="0.25">
      <c r="A142" s="378"/>
      <c r="B142" s="379"/>
      <c r="C142" s="255" t="s">
        <v>376</v>
      </c>
      <c r="D142" s="256">
        <f>SUM(D140:D141)</f>
        <v>748</v>
      </c>
    </row>
    <row r="143" spans="1:4" x14ac:dyDescent="0.25">
      <c r="A143" s="383" t="s">
        <v>440</v>
      </c>
      <c r="B143" s="384"/>
      <c r="C143" s="384"/>
      <c r="D143" s="385"/>
    </row>
    <row r="144" spans="1:4" x14ac:dyDescent="0.25">
      <c r="A144" s="257">
        <v>1</v>
      </c>
      <c r="B144" s="250" t="s">
        <v>441</v>
      </c>
      <c r="C144" s="247" t="s">
        <v>380</v>
      </c>
      <c r="D144" s="248">
        <v>95</v>
      </c>
    </row>
    <row r="145" spans="1:4" x14ac:dyDescent="0.25">
      <c r="A145" s="257">
        <v>2</v>
      </c>
      <c r="B145" s="250" t="s">
        <v>442</v>
      </c>
      <c r="C145" s="247" t="s">
        <v>370</v>
      </c>
      <c r="D145" s="248">
        <v>32</v>
      </c>
    </row>
    <row r="146" spans="1:4" x14ac:dyDescent="0.25">
      <c r="A146" s="257">
        <v>3</v>
      </c>
      <c r="B146" s="250" t="s">
        <v>443</v>
      </c>
      <c r="C146" s="247" t="s">
        <v>370</v>
      </c>
      <c r="D146" s="248">
        <v>4</v>
      </c>
    </row>
    <row r="147" spans="1:4" x14ac:dyDescent="0.25">
      <c r="A147" s="257">
        <v>4</v>
      </c>
      <c r="B147" s="250" t="s">
        <v>444</v>
      </c>
      <c r="C147" s="247" t="s">
        <v>372</v>
      </c>
      <c r="D147" s="248">
        <v>46</v>
      </c>
    </row>
    <row r="148" spans="1:4" x14ac:dyDescent="0.25">
      <c r="A148" s="257">
        <v>5</v>
      </c>
      <c r="B148" s="250" t="s">
        <v>445</v>
      </c>
      <c r="C148" s="247" t="s">
        <v>372</v>
      </c>
      <c r="D148" s="248">
        <v>31</v>
      </c>
    </row>
    <row r="149" spans="1:4" ht="31.5" x14ac:dyDescent="0.25">
      <c r="A149" s="257">
        <v>6</v>
      </c>
      <c r="B149" s="250" t="s">
        <v>446</v>
      </c>
      <c r="C149" s="247" t="s">
        <v>372</v>
      </c>
      <c r="D149" s="248">
        <v>60</v>
      </c>
    </row>
    <row r="150" spans="1:4" x14ac:dyDescent="0.25">
      <c r="A150" s="257">
        <v>7</v>
      </c>
      <c r="B150" s="250" t="s">
        <v>447</v>
      </c>
      <c r="C150" s="247" t="s">
        <v>370</v>
      </c>
      <c r="D150" s="248">
        <v>66</v>
      </c>
    </row>
    <row r="151" spans="1:4" x14ac:dyDescent="0.25">
      <c r="A151" s="257">
        <v>8</v>
      </c>
      <c r="B151" s="250" t="s">
        <v>448</v>
      </c>
      <c r="C151" s="247" t="s">
        <v>380</v>
      </c>
      <c r="D151" s="248">
        <v>64</v>
      </c>
    </row>
    <row r="152" spans="1:4" x14ac:dyDescent="0.25">
      <c r="A152" s="257">
        <v>9</v>
      </c>
      <c r="B152" s="250" t="s">
        <v>449</v>
      </c>
      <c r="C152" s="247" t="s">
        <v>380</v>
      </c>
      <c r="D152" s="248">
        <v>37</v>
      </c>
    </row>
    <row r="153" spans="1:4" x14ac:dyDescent="0.25">
      <c r="A153" s="257">
        <v>10</v>
      </c>
      <c r="B153" s="250" t="s">
        <v>450</v>
      </c>
      <c r="C153" s="247" t="s">
        <v>380</v>
      </c>
      <c r="D153" s="248">
        <v>69</v>
      </c>
    </row>
    <row r="154" spans="1:4" x14ac:dyDescent="0.25">
      <c r="A154" s="257">
        <v>11</v>
      </c>
      <c r="B154" s="250" t="s">
        <v>451</v>
      </c>
      <c r="C154" s="247" t="s">
        <v>370</v>
      </c>
      <c r="D154" s="248">
        <v>8</v>
      </c>
    </row>
    <row r="155" spans="1:4" x14ac:dyDescent="0.25">
      <c r="A155" s="257">
        <v>12</v>
      </c>
      <c r="B155" s="250" t="s">
        <v>452</v>
      </c>
      <c r="C155" s="247" t="s">
        <v>370</v>
      </c>
      <c r="D155" s="248">
        <v>16</v>
      </c>
    </row>
    <row r="156" spans="1:4" x14ac:dyDescent="0.25">
      <c r="A156" s="257">
        <v>13</v>
      </c>
      <c r="B156" s="250" t="s">
        <v>453</v>
      </c>
      <c r="C156" s="247" t="s">
        <v>370</v>
      </c>
      <c r="D156" s="248">
        <v>12</v>
      </c>
    </row>
    <row r="157" spans="1:4" x14ac:dyDescent="0.25">
      <c r="A157" s="257">
        <v>14</v>
      </c>
      <c r="B157" s="250" t="s">
        <v>454</v>
      </c>
      <c r="C157" s="247" t="s">
        <v>372</v>
      </c>
      <c r="D157" s="248">
        <v>8</v>
      </c>
    </row>
    <row r="158" spans="1:4" ht="31.5" x14ac:dyDescent="0.25">
      <c r="A158" s="257">
        <v>15</v>
      </c>
      <c r="B158" s="250" t="s">
        <v>455</v>
      </c>
      <c r="C158" s="247" t="s">
        <v>372</v>
      </c>
      <c r="D158" s="248">
        <v>12</v>
      </c>
    </row>
    <row r="159" spans="1:4" x14ac:dyDescent="0.25">
      <c r="A159" s="257">
        <v>16</v>
      </c>
      <c r="B159" s="250" t="s">
        <v>456</v>
      </c>
      <c r="C159" s="247" t="s">
        <v>370</v>
      </c>
      <c r="D159" s="248">
        <v>10</v>
      </c>
    </row>
    <row r="160" spans="1:4" x14ac:dyDescent="0.25">
      <c r="A160" s="257">
        <v>17</v>
      </c>
      <c r="B160" s="250" t="s">
        <v>457</v>
      </c>
      <c r="C160" s="247" t="s">
        <v>370</v>
      </c>
      <c r="D160" s="248">
        <v>6</v>
      </c>
    </row>
    <row r="161" spans="1:4" x14ac:dyDescent="0.25">
      <c r="A161" s="257">
        <v>18</v>
      </c>
      <c r="B161" s="250" t="s">
        <v>458</v>
      </c>
      <c r="C161" s="247" t="s">
        <v>372</v>
      </c>
      <c r="D161" s="248">
        <v>13</v>
      </c>
    </row>
    <row r="162" spans="1:4" x14ac:dyDescent="0.25">
      <c r="A162" s="257">
        <v>19</v>
      </c>
      <c r="B162" s="250" t="s">
        <v>459</v>
      </c>
      <c r="C162" s="247" t="s">
        <v>372</v>
      </c>
      <c r="D162" s="248">
        <v>6</v>
      </c>
    </row>
    <row r="163" spans="1:4" x14ac:dyDescent="0.25">
      <c r="A163" s="374"/>
      <c r="B163" s="375"/>
      <c r="C163" s="242" t="s">
        <v>375</v>
      </c>
      <c r="D163" s="242">
        <f>SUM(D144:D162)</f>
        <v>595</v>
      </c>
    </row>
    <row r="164" spans="1:4" x14ac:dyDescent="0.25">
      <c r="A164" s="376"/>
      <c r="B164" s="377"/>
      <c r="C164" s="241" t="s">
        <v>380</v>
      </c>
      <c r="D164" s="243">
        <f>SUMIF(C144:C162,C164:C170,D144:D162)</f>
        <v>265</v>
      </c>
    </row>
    <row r="165" spans="1:4" x14ac:dyDescent="0.25">
      <c r="A165" s="376"/>
      <c r="B165" s="377"/>
      <c r="C165" s="241" t="s">
        <v>372</v>
      </c>
      <c r="D165" s="243">
        <f>SUMIF(C144:C162,C165:C172,D144:D162)</f>
        <v>176</v>
      </c>
    </row>
    <row r="166" spans="1:4" x14ac:dyDescent="0.25">
      <c r="A166" s="376"/>
      <c r="B166" s="377"/>
      <c r="C166" s="241" t="s">
        <v>370</v>
      </c>
      <c r="D166" s="243">
        <f>SUMIF(C144:C162,C166:C173,D144:D162)</f>
        <v>154</v>
      </c>
    </row>
    <row r="167" spans="1:4" x14ac:dyDescent="0.25">
      <c r="A167" s="378"/>
      <c r="B167" s="379"/>
      <c r="C167" s="255" t="s">
        <v>376</v>
      </c>
      <c r="D167" s="256">
        <f>SUM(D164:D166)</f>
        <v>595</v>
      </c>
    </row>
    <row r="168" spans="1:4" x14ac:dyDescent="0.25">
      <c r="A168" s="357" t="s">
        <v>460</v>
      </c>
      <c r="B168" s="358"/>
      <c r="C168" s="358"/>
      <c r="D168" s="359"/>
    </row>
    <row r="169" spans="1:4" ht="31.5" x14ac:dyDescent="0.25">
      <c r="A169" s="238">
        <v>1</v>
      </c>
      <c r="B169" s="246" t="s">
        <v>461</v>
      </c>
      <c r="C169" s="247" t="s">
        <v>462</v>
      </c>
      <c r="D169" s="248">
        <v>64</v>
      </c>
    </row>
    <row r="170" spans="1:4" ht="31.5" x14ac:dyDescent="0.25">
      <c r="A170" s="238">
        <v>2</v>
      </c>
      <c r="B170" s="246" t="s">
        <v>461</v>
      </c>
      <c r="C170" s="247" t="s">
        <v>463</v>
      </c>
      <c r="D170" s="248">
        <v>91</v>
      </c>
    </row>
    <row r="171" spans="1:4" ht="33.75" customHeight="1" x14ac:dyDescent="0.25">
      <c r="A171" s="238">
        <v>3</v>
      </c>
      <c r="B171" s="246" t="s">
        <v>464</v>
      </c>
      <c r="C171" s="247" t="s">
        <v>372</v>
      </c>
      <c r="D171" s="248">
        <v>1</v>
      </c>
    </row>
    <row r="172" spans="1:4" ht="31.5" x14ac:dyDescent="0.25">
      <c r="A172" s="238">
        <v>4</v>
      </c>
      <c r="B172" s="246" t="s">
        <v>465</v>
      </c>
      <c r="C172" s="247" t="s">
        <v>380</v>
      </c>
      <c r="D172" s="248">
        <v>52</v>
      </c>
    </row>
    <row r="173" spans="1:4" ht="31.5" x14ac:dyDescent="0.25">
      <c r="A173" s="238">
        <v>5</v>
      </c>
      <c r="B173" s="246" t="s">
        <v>465</v>
      </c>
      <c r="C173" s="247" t="s">
        <v>370</v>
      </c>
      <c r="D173" s="248">
        <v>35</v>
      </c>
    </row>
    <row r="174" spans="1:4" ht="31.5" x14ac:dyDescent="0.25">
      <c r="A174" s="238">
        <v>6</v>
      </c>
      <c r="B174" s="246" t="s">
        <v>466</v>
      </c>
      <c r="C174" s="247" t="s">
        <v>382</v>
      </c>
      <c r="D174" s="248">
        <v>8</v>
      </c>
    </row>
    <row r="175" spans="1:4" ht="47.25" x14ac:dyDescent="0.25">
      <c r="A175" s="238">
        <v>7</v>
      </c>
      <c r="B175" s="246" t="s">
        <v>467</v>
      </c>
      <c r="C175" s="247" t="s">
        <v>372</v>
      </c>
      <c r="D175" s="248">
        <v>1</v>
      </c>
    </row>
    <row r="176" spans="1:4" ht="47.25" x14ac:dyDescent="0.25">
      <c r="A176" s="238">
        <v>8</v>
      </c>
      <c r="B176" s="246" t="s">
        <v>468</v>
      </c>
      <c r="C176" s="247" t="s">
        <v>370</v>
      </c>
      <c r="D176" s="248">
        <v>1</v>
      </c>
    </row>
    <row r="177" spans="1:4" ht="47.25" x14ac:dyDescent="0.25">
      <c r="A177" s="238">
        <v>9</v>
      </c>
      <c r="B177" s="246" t="s">
        <v>469</v>
      </c>
      <c r="C177" s="247" t="s">
        <v>370</v>
      </c>
      <c r="D177" s="248">
        <v>3</v>
      </c>
    </row>
    <row r="178" spans="1:4" ht="46.5" customHeight="1" x14ac:dyDescent="0.25">
      <c r="A178" s="238">
        <v>10</v>
      </c>
      <c r="B178" s="246" t="s">
        <v>467</v>
      </c>
      <c r="C178" s="247" t="s">
        <v>370</v>
      </c>
      <c r="D178" s="248">
        <v>3</v>
      </c>
    </row>
    <row r="179" spans="1:4" ht="47.25" customHeight="1" x14ac:dyDescent="0.25">
      <c r="A179" s="238">
        <v>11</v>
      </c>
      <c r="B179" s="246" t="s">
        <v>470</v>
      </c>
      <c r="C179" s="247" t="s">
        <v>380</v>
      </c>
      <c r="D179" s="248">
        <v>32</v>
      </c>
    </row>
    <row r="180" spans="1:4" ht="33" customHeight="1" x14ac:dyDescent="0.25">
      <c r="A180" s="238">
        <v>12</v>
      </c>
      <c r="B180" s="246" t="s">
        <v>471</v>
      </c>
      <c r="C180" s="247" t="s">
        <v>370</v>
      </c>
      <c r="D180" s="248">
        <v>12</v>
      </c>
    </row>
    <row r="181" spans="1:4" ht="31.5" customHeight="1" x14ac:dyDescent="0.25">
      <c r="A181" s="238">
        <v>13</v>
      </c>
      <c r="B181" s="246" t="s">
        <v>472</v>
      </c>
      <c r="C181" s="247" t="s">
        <v>372</v>
      </c>
      <c r="D181" s="248">
        <v>26</v>
      </c>
    </row>
    <row r="182" spans="1:4" ht="33" customHeight="1" x14ac:dyDescent="0.25">
      <c r="A182" s="238">
        <v>14</v>
      </c>
      <c r="B182" s="246" t="s">
        <v>471</v>
      </c>
      <c r="C182" s="247" t="s">
        <v>372</v>
      </c>
      <c r="D182" s="248">
        <v>8</v>
      </c>
    </row>
    <row r="183" spans="1:4" ht="33" customHeight="1" x14ac:dyDescent="0.25">
      <c r="A183" s="238">
        <v>15</v>
      </c>
      <c r="B183" s="246" t="s">
        <v>473</v>
      </c>
      <c r="C183" s="247" t="s">
        <v>370</v>
      </c>
      <c r="D183" s="248">
        <v>1</v>
      </c>
    </row>
    <row r="184" spans="1:4" x14ac:dyDescent="0.25">
      <c r="A184" s="360"/>
      <c r="B184" s="361"/>
      <c r="C184" s="242" t="s">
        <v>375</v>
      </c>
      <c r="D184" s="242">
        <f>SUM(D169:D183)</f>
        <v>338</v>
      </c>
    </row>
    <row r="185" spans="1:4" x14ac:dyDescent="0.25">
      <c r="A185" s="362"/>
      <c r="B185" s="363"/>
      <c r="C185" s="241" t="s">
        <v>462</v>
      </c>
      <c r="D185" s="243">
        <f>SUMIF(C169:C183,C185:C193,D169:D183)</f>
        <v>64</v>
      </c>
    </row>
    <row r="186" spans="1:4" x14ac:dyDescent="0.25">
      <c r="A186" s="362"/>
      <c r="B186" s="363"/>
      <c r="C186" s="241" t="s">
        <v>380</v>
      </c>
      <c r="D186" s="243">
        <f>SUMIF(C169:C183,C186:C194,D169:D183)</f>
        <v>84</v>
      </c>
    </row>
    <row r="187" spans="1:4" x14ac:dyDescent="0.25">
      <c r="A187" s="362"/>
      <c r="B187" s="363"/>
      <c r="C187" s="241" t="s">
        <v>382</v>
      </c>
      <c r="D187" s="243">
        <f>SUMIF(C169:C183,C187:C195,D169:D183)</f>
        <v>8</v>
      </c>
    </row>
    <row r="188" spans="1:4" x14ac:dyDescent="0.25">
      <c r="A188" s="362"/>
      <c r="B188" s="363"/>
      <c r="C188" s="241" t="s">
        <v>372</v>
      </c>
      <c r="D188" s="243">
        <f>SUMIF(C169:C183,C188:C195,D169:D183)</f>
        <v>36</v>
      </c>
    </row>
    <row r="189" spans="1:4" x14ac:dyDescent="0.25">
      <c r="A189" s="362"/>
      <c r="B189" s="363"/>
      <c r="C189" s="241" t="s">
        <v>370</v>
      </c>
      <c r="D189" s="243">
        <f>SUMIF(C169:C183,C189:C195,D169:D183)</f>
        <v>55</v>
      </c>
    </row>
    <row r="190" spans="1:4" x14ac:dyDescent="0.25">
      <c r="A190" s="362"/>
      <c r="B190" s="363"/>
      <c r="C190" s="241" t="s">
        <v>463</v>
      </c>
      <c r="D190" s="243">
        <f>SUMIF(C169:C182,C190:C195,D169:D182)</f>
        <v>91</v>
      </c>
    </row>
    <row r="191" spans="1:4" x14ac:dyDescent="0.25">
      <c r="A191" s="364"/>
      <c r="B191" s="365"/>
      <c r="C191" s="255" t="s">
        <v>376</v>
      </c>
      <c r="D191" s="256">
        <f>SUM(D185:D190)</f>
        <v>338</v>
      </c>
    </row>
    <row r="192" spans="1:4" x14ac:dyDescent="0.25">
      <c r="A192" s="366" t="s">
        <v>474</v>
      </c>
      <c r="B192" s="366"/>
      <c r="C192" s="366"/>
      <c r="D192" s="366"/>
    </row>
    <row r="193" spans="1:6" x14ac:dyDescent="0.25">
      <c r="A193" s="257">
        <v>1</v>
      </c>
      <c r="B193" s="249" t="s">
        <v>475</v>
      </c>
      <c r="C193" s="238" t="s">
        <v>372</v>
      </c>
      <c r="D193" s="248">
        <v>140</v>
      </c>
    </row>
    <row r="194" spans="1:6" x14ac:dyDescent="0.25">
      <c r="A194" s="257">
        <v>2</v>
      </c>
      <c r="B194" s="249" t="s">
        <v>476</v>
      </c>
      <c r="C194" s="238" t="s">
        <v>372</v>
      </c>
      <c r="D194" s="248">
        <v>90</v>
      </c>
    </row>
    <row r="195" spans="1:6" ht="31.5" x14ac:dyDescent="0.25">
      <c r="A195" s="257">
        <v>3</v>
      </c>
      <c r="B195" s="249" t="s">
        <v>477</v>
      </c>
      <c r="C195" s="238" t="s">
        <v>372</v>
      </c>
      <c r="D195" s="248">
        <v>8</v>
      </c>
    </row>
    <row r="196" spans="1:6" x14ac:dyDescent="0.25">
      <c r="A196" s="367"/>
      <c r="B196" s="368"/>
      <c r="C196" s="242" t="s">
        <v>375</v>
      </c>
      <c r="D196" s="242">
        <f>SUM(D193:D195)</f>
        <v>238</v>
      </c>
    </row>
    <row r="197" spans="1:6" x14ac:dyDescent="0.25">
      <c r="A197" s="369"/>
      <c r="B197" s="370"/>
      <c r="C197" s="241" t="s">
        <v>372</v>
      </c>
      <c r="D197" s="243">
        <f>SUM(D193:D195)</f>
        <v>238</v>
      </c>
    </row>
    <row r="198" spans="1:6" x14ac:dyDescent="0.25">
      <c r="A198" s="371"/>
      <c r="B198" s="372"/>
      <c r="C198" s="255" t="s">
        <v>376</v>
      </c>
      <c r="D198" s="255">
        <f>D197</f>
        <v>238</v>
      </c>
    </row>
    <row r="199" spans="1:6" x14ac:dyDescent="0.25">
      <c r="A199" s="373"/>
      <c r="B199" s="373"/>
      <c r="C199" s="258" t="s">
        <v>478</v>
      </c>
      <c r="D199" s="258">
        <f>D20+D34+D48+D57+D69+D104+D139+D163+D184+D196</f>
        <v>4716</v>
      </c>
    </row>
    <row r="200" spans="1:6" x14ac:dyDescent="0.25">
      <c r="C200" s="259" t="s">
        <v>462</v>
      </c>
      <c r="D200" s="260">
        <v>64</v>
      </c>
      <c r="E200" s="261"/>
      <c r="F200" s="262"/>
    </row>
    <row r="201" spans="1:6" x14ac:dyDescent="0.25">
      <c r="C201" s="259" t="s">
        <v>380</v>
      </c>
      <c r="D201" s="260">
        <v>656</v>
      </c>
      <c r="E201" s="261"/>
      <c r="F201" s="262"/>
    </row>
    <row r="202" spans="1:6" x14ac:dyDescent="0.25">
      <c r="C202" s="259" t="s">
        <v>382</v>
      </c>
      <c r="D202" s="260">
        <v>590</v>
      </c>
      <c r="E202" s="261"/>
      <c r="F202" s="262"/>
    </row>
    <row r="203" spans="1:6" x14ac:dyDescent="0.25">
      <c r="C203" s="259" t="s">
        <v>372</v>
      </c>
      <c r="D203" s="260">
        <v>2646</v>
      </c>
      <c r="E203" s="261"/>
      <c r="F203" s="262"/>
    </row>
    <row r="204" spans="1:6" x14ac:dyDescent="0.25">
      <c r="C204" s="259" t="s">
        <v>370</v>
      </c>
      <c r="D204" s="260">
        <v>362</v>
      </c>
      <c r="E204" s="261"/>
      <c r="F204" s="262"/>
    </row>
    <row r="205" spans="1:6" x14ac:dyDescent="0.25">
      <c r="C205" s="259" t="s">
        <v>373</v>
      </c>
      <c r="D205" s="260">
        <v>307</v>
      </c>
      <c r="E205" s="261"/>
      <c r="F205" s="262"/>
    </row>
    <row r="206" spans="1:6" x14ac:dyDescent="0.25">
      <c r="C206" s="259" t="s">
        <v>463</v>
      </c>
      <c r="D206" s="260">
        <v>91</v>
      </c>
      <c r="E206" s="261"/>
      <c r="F206" s="263"/>
    </row>
    <row r="207" spans="1:6" x14ac:dyDescent="0.25">
      <c r="C207" s="258" t="s">
        <v>376</v>
      </c>
      <c r="D207" s="258">
        <f>SUM(D200:D206)</f>
        <v>4716</v>
      </c>
    </row>
  </sheetData>
  <mergeCells count="22">
    <mergeCell ref="A34:B38"/>
    <mergeCell ref="A11:D11"/>
    <mergeCell ref="A14:D14"/>
    <mergeCell ref="A20:B24"/>
    <mergeCell ref="A25:D25"/>
    <mergeCell ref="A163:B167"/>
    <mergeCell ref="A39:D39"/>
    <mergeCell ref="A48:B51"/>
    <mergeCell ref="A52:D52"/>
    <mergeCell ref="A57:B60"/>
    <mergeCell ref="A61:D61"/>
    <mergeCell ref="A69:B71"/>
    <mergeCell ref="A72:D72"/>
    <mergeCell ref="A104:B110"/>
    <mergeCell ref="A111:D111"/>
    <mergeCell ref="A139:B142"/>
    <mergeCell ref="A143:D143"/>
    <mergeCell ref="A168:D168"/>
    <mergeCell ref="A184:B191"/>
    <mergeCell ref="A192:D192"/>
    <mergeCell ref="A196:B198"/>
    <mergeCell ref="A199:B199"/>
  </mergeCells>
  <pageMargins left="0.7" right="0.7" top="0.75" bottom="0.75" header="0.3" footer="0.3"/>
  <pageSetup paperSize="9" scale="52" fitToHeight="0" orientation="portrait" verticalDpi="0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C453"/>
  <sheetViews>
    <sheetView view="pageBreakPreview" zoomScale="85" zoomScaleNormal="100" zoomScaleSheetLayoutView="85" workbookViewId="0">
      <selection activeCell="T431" sqref="T431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4" width="11.7109375" customWidth="1"/>
    <col min="5" max="5" width="9" bestFit="1" customWidth="1"/>
    <col min="6" max="6" width="10.140625" bestFit="1" customWidth="1"/>
    <col min="7" max="7" width="8.5703125" bestFit="1" customWidth="1"/>
    <col min="8" max="8" width="9.85546875" bestFit="1" customWidth="1"/>
    <col min="9" max="11" width="15.42578125" bestFit="1" customWidth="1"/>
    <col min="12" max="12" width="19.140625" hidden="1" customWidth="1"/>
    <col min="13" max="13" width="17.85546875" hidden="1" customWidth="1"/>
    <col min="14" max="22" width="10.85546875" customWidth="1"/>
    <col min="23" max="53" width="14" customWidth="1"/>
    <col min="55" max="77" width="0" hidden="1" customWidth="1"/>
    <col min="78" max="78" width="148" hidden="1" customWidth="1"/>
    <col min="79" max="79" width="96" hidden="1" customWidth="1"/>
    <col min="80" max="83" width="0" hidden="1" customWidth="1"/>
  </cols>
  <sheetData>
    <row r="1" spans="1:123" x14ac:dyDescent="0.2">
      <c r="A1" s="10" t="str">
        <f>Source!B1</f>
        <v>Smeta.RU  (495) 974-1589</v>
      </c>
    </row>
    <row r="2" spans="1:123" ht="14.25" x14ac:dyDescent="0.2">
      <c r="A2" s="11"/>
      <c r="B2" s="11"/>
      <c r="C2" s="11"/>
      <c r="D2" s="11"/>
      <c r="E2" s="11"/>
      <c r="F2" s="11"/>
      <c r="G2" s="11"/>
      <c r="H2" s="11"/>
      <c r="I2" s="11"/>
      <c r="J2" s="298" t="s">
        <v>245</v>
      </c>
      <c r="K2" s="298"/>
      <c r="L2" s="15"/>
    </row>
    <row r="3" spans="1:123" ht="16.5" x14ac:dyDescent="0.25">
      <c r="A3" s="75"/>
      <c r="B3" s="301" t="s">
        <v>298</v>
      </c>
      <c r="C3" s="301"/>
      <c r="D3" s="301"/>
      <c r="E3" s="301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</row>
    <row r="4" spans="1:123" ht="18" x14ac:dyDescent="0.25">
      <c r="A4" s="76"/>
      <c r="B4" s="302" t="s">
        <v>299</v>
      </c>
      <c r="C4" s="302"/>
      <c r="D4" s="302"/>
      <c r="E4" s="30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</row>
    <row r="5" spans="1:123" ht="44.25" customHeight="1" x14ac:dyDescent="0.25">
      <c r="A5" s="77"/>
      <c r="B5" s="303" t="s">
        <v>300</v>
      </c>
      <c r="C5" s="304"/>
      <c r="D5" s="304"/>
      <c r="E5" s="7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</row>
    <row r="6" spans="1:123" ht="26.25" customHeight="1" x14ac:dyDescent="0.25">
      <c r="A6" s="79"/>
      <c r="B6" s="302" t="s">
        <v>301</v>
      </c>
      <c r="C6" s="302"/>
      <c r="D6" s="302"/>
      <c r="E6" s="30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</row>
    <row r="7" spans="1:123" ht="26.25" customHeight="1" x14ac:dyDescent="0.2">
      <c r="A7" s="80"/>
      <c r="B7" s="297" t="s">
        <v>302</v>
      </c>
      <c r="C7" s="297"/>
      <c r="D7" s="297"/>
      <c r="E7" s="29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</row>
    <row r="9" spans="1:123" ht="14.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3" ht="31.5" x14ac:dyDescent="0.25">
      <c r="A10" s="299" t="s">
        <v>481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65"/>
      <c r="BZ10" s="24" t="str">
        <f>IF(Source!G12&lt;&gt;"Новый объект", Source!G12, "")</f>
        <v>Озеленение особо охраняемых природных территорий города Москвы в рамках программы "Наше дерево" в весенний период 2021 года</v>
      </c>
    </row>
    <row r="11" spans="1:123" x14ac:dyDescent="0.2">
      <c r="A11" s="300" t="s">
        <v>246</v>
      </c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116"/>
    </row>
    <row r="12" spans="1:123" ht="14.2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3" ht="15.75" x14ac:dyDescent="0.25">
      <c r="A13" s="285" t="str">
        <f>CONCATENATE( "ЛОКАЛЬНАЯ СМЕТА № 1",IF(Source!F20&lt;&gt;"Новая локальная смета", Source!F20, ""))</f>
        <v>ЛОКАЛЬНАЯ СМЕТА № 1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66"/>
    </row>
    <row r="14" spans="1:123" ht="14.2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3" ht="36" x14ac:dyDescent="0.25">
      <c r="A15" s="287" t="str">
        <f>IF(Source!G20&lt;&gt;"Новая локальная смета", Source!G20, "")</f>
        <v>Посадка деревьев с комом земли 1,5х1,5х0,65 м, 1,0х1,0х0,6 м, восстановление отпада и уходные работы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117"/>
      <c r="BZ15" s="25" t="str">
        <f>IF(Source!G20&lt;&gt;"Новая локальная смета", Source!G20, "")</f>
        <v>Посадка деревьев с комом земли 1,5х1,5х0,65 м, 1,0х1,0х0,6 м, восстановление отпада и уходные работы</v>
      </c>
    </row>
    <row r="16" spans="1:123" x14ac:dyDescent="0.2">
      <c r="A16" s="288" t="s">
        <v>247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89"/>
      <c r="L16" s="16"/>
    </row>
    <row r="17" spans="1:78" ht="14.2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78" ht="14.25" x14ac:dyDescent="0.2">
      <c r="A18" s="290" t="str">
        <f>CONCATENATE( "Основание: чертежи № ", Source!J20)</f>
        <v xml:space="preserve">Основание: чертежи № </v>
      </c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17"/>
    </row>
    <row r="19" spans="1:78" ht="14.2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78" ht="28.5" x14ac:dyDescent="0.2">
      <c r="A20" s="12"/>
      <c r="B20" s="12"/>
      <c r="C20" s="12"/>
      <c r="D20" s="12"/>
      <c r="E20" s="12"/>
      <c r="F20" s="12"/>
      <c r="G20" s="12"/>
      <c r="H20" s="12"/>
      <c r="I20" s="18" t="s">
        <v>249</v>
      </c>
      <c r="J20" s="18" t="s">
        <v>250</v>
      </c>
      <c r="K20" s="12"/>
      <c r="L20" s="12"/>
    </row>
    <row r="21" spans="1:78" ht="15" x14ac:dyDescent="0.25">
      <c r="A21" s="12"/>
      <c r="B21" s="12"/>
      <c r="C21" s="12"/>
      <c r="D21" s="12"/>
      <c r="E21" s="296" t="s">
        <v>251</v>
      </c>
      <c r="F21" s="296"/>
      <c r="G21" s="296"/>
      <c r="H21" s="296"/>
      <c r="I21" s="19">
        <f>SUM(BD35:BD284)</f>
        <v>6900551.7600000016</v>
      </c>
      <c r="J21" s="19">
        <f>(Source!F286)</f>
        <v>82415101.170000002</v>
      </c>
      <c r="K21" s="20" t="s">
        <v>282</v>
      </c>
      <c r="L21" s="20"/>
    </row>
    <row r="22" spans="1:78" ht="14.25" x14ac:dyDescent="0.2">
      <c r="A22" s="12"/>
      <c r="B22" s="12"/>
      <c r="C22" s="12"/>
      <c r="D22" s="12"/>
      <c r="E22" s="291" t="s">
        <v>21</v>
      </c>
      <c r="F22" s="291"/>
      <c r="G22" s="291"/>
      <c r="H22" s="291"/>
      <c r="I22" s="21">
        <f>SUM(BM35:BM284)</f>
        <v>6900551.7600000016</v>
      </c>
      <c r="J22" s="21">
        <f>(Source!F275)</f>
        <v>82415101.170000002</v>
      </c>
      <c r="K22" s="12" t="s">
        <v>282</v>
      </c>
      <c r="L22" s="12"/>
    </row>
    <row r="23" spans="1:78" ht="14.25" x14ac:dyDescent="0.2">
      <c r="A23" s="12"/>
      <c r="B23" s="12"/>
      <c r="C23" s="12"/>
      <c r="D23" s="12"/>
      <c r="E23" s="291" t="s">
        <v>252</v>
      </c>
      <c r="F23" s="291"/>
      <c r="G23" s="291"/>
      <c r="H23" s="291"/>
      <c r="I23" s="21">
        <f>SUM(BN35:BN284)</f>
        <v>0</v>
      </c>
      <c r="J23" s="21">
        <f>(Source!F276)</f>
        <v>0</v>
      </c>
      <c r="K23" s="12" t="s">
        <v>282</v>
      </c>
      <c r="L23" s="12"/>
    </row>
    <row r="24" spans="1:78" ht="14.25" x14ac:dyDescent="0.2">
      <c r="A24" s="12"/>
      <c r="B24" s="12"/>
      <c r="C24" s="12"/>
      <c r="D24" s="12"/>
      <c r="E24" s="291" t="s">
        <v>253</v>
      </c>
      <c r="F24" s="291"/>
      <c r="G24" s="291"/>
      <c r="H24" s="291"/>
      <c r="I24" s="21">
        <f>SUM(BO35:BO284)</f>
        <v>0</v>
      </c>
      <c r="J24" s="21">
        <f>(Source!F267)</f>
        <v>0</v>
      </c>
      <c r="K24" s="12" t="s">
        <v>282</v>
      </c>
      <c r="L24" s="12"/>
    </row>
    <row r="25" spans="1:78" ht="14.25" x14ac:dyDescent="0.2">
      <c r="A25" s="12"/>
      <c r="B25" s="12"/>
      <c r="C25" s="12"/>
      <c r="D25" s="12"/>
      <c r="E25" s="291" t="s">
        <v>254</v>
      </c>
      <c r="F25" s="291"/>
      <c r="G25" s="291"/>
      <c r="H25" s="291"/>
      <c r="I25" s="21">
        <f>SUM(BP35:BP284)</f>
        <v>0</v>
      </c>
      <c r="J25" s="21">
        <f>(Source!F277+Source!F278)</f>
        <v>0</v>
      </c>
      <c r="K25" s="12" t="s">
        <v>282</v>
      </c>
      <c r="L25" s="12"/>
    </row>
    <row r="26" spans="1:78" ht="14.25" x14ac:dyDescent="0.2">
      <c r="A26" s="12"/>
      <c r="B26" s="12"/>
      <c r="C26" s="12"/>
      <c r="D26" s="12"/>
      <c r="E26" s="291" t="s">
        <v>255</v>
      </c>
      <c r="F26" s="291"/>
      <c r="G26" s="291"/>
      <c r="H26" s="291"/>
      <c r="I26" s="21">
        <f>SUM(BL35:BL284)</f>
        <v>1095292.93</v>
      </c>
      <c r="J26" s="21">
        <f>(Source!F273+ Source!F272)</f>
        <v>27185170.529999997</v>
      </c>
      <c r="K26" s="12" t="s">
        <v>282</v>
      </c>
      <c r="L26" s="12"/>
    </row>
    <row r="27" spans="1:78" ht="14.25" x14ac:dyDescent="0.2">
      <c r="A27" s="12"/>
      <c r="B27" s="12"/>
      <c r="C27" s="12"/>
      <c r="D27" s="12"/>
      <c r="E27" s="291" t="s">
        <v>256</v>
      </c>
      <c r="F27" s="291"/>
      <c r="G27" s="291"/>
      <c r="H27" s="291"/>
      <c r="I27" s="21">
        <f>SUM(BQ35:BQ284)</f>
        <v>91515.808716999978</v>
      </c>
      <c r="J27" s="21"/>
      <c r="K27" s="12" t="s">
        <v>212</v>
      </c>
      <c r="L27" s="12"/>
    </row>
    <row r="28" spans="1:78" ht="14.25" hidden="1" x14ac:dyDescent="0.2">
      <c r="A28" s="12"/>
      <c r="B28" s="12"/>
      <c r="C28" s="12"/>
      <c r="D28" s="12"/>
      <c r="E28" s="292" t="s">
        <v>257</v>
      </c>
      <c r="F28" s="292"/>
      <c r="G28" s="292"/>
      <c r="H28" s="292"/>
      <c r="I28" s="21"/>
      <c r="J28" s="21"/>
      <c r="K28" s="12"/>
      <c r="L28" s="12"/>
    </row>
    <row r="29" spans="1:78" ht="14.25" hidden="1" x14ac:dyDescent="0.2">
      <c r="A29" s="12"/>
      <c r="B29" s="12"/>
      <c r="C29" s="12"/>
      <c r="D29" s="12"/>
      <c r="E29" s="293" t="s">
        <v>90</v>
      </c>
      <c r="F29" s="293"/>
      <c r="G29" s="293"/>
      <c r="H29" s="293"/>
      <c r="I29" s="21">
        <f>SUM(BT35:BT284)</f>
        <v>0</v>
      </c>
      <c r="J29" s="21">
        <f>SUM(BU35:BU284)</f>
        <v>0</v>
      </c>
      <c r="K29" s="12" t="s">
        <v>282</v>
      </c>
      <c r="L29" s="12"/>
    </row>
    <row r="30" spans="1:78" ht="14.25" x14ac:dyDescent="0.2">
      <c r="A30" s="12"/>
      <c r="B30" s="12"/>
      <c r="C30" s="12"/>
      <c r="D30" s="12"/>
      <c r="E30" s="12"/>
      <c r="F30" s="14"/>
      <c r="G30" s="14"/>
      <c r="H30" s="14"/>
      <c r="I30" s="21"/>
      <c r="J30" s="21"/>
      <c r="K30" s="12"/>
      <c r="L30" s="12"/>
    </row>
    <row r="31" spans="1:78" ht="14.25" x14ac:dyDescent="0.2">
      <c r="A31" s="12" t="s">
        <v>269</v>
      </c>
      <c r="B31" s="12"/>
      <c r="C31" s="12"/>
      <c r="D31" s="12"/>
      <c r="E31" s="12"/>
      <c r="F31" s="14"/>
      <c r="G31" s="14"/>
      <c r="H31" s="14"/>
      <c r="I31" s="21"/>
      <c r="J31" s="21"/>
      <c r="K31" s="12"/>
      <c r="L31" s="12"/>
    </row>
    <row r="32" spans="1:78" ht="14.25" x14ac:dyDescent="0.2">
      <c r="A32" s="290" t="s">
        <v>270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17"/>
      <c r="BZ32" s="26" t="s">
        <v>270</v>
      </c>
    </row>
    <row r="33" spans="1:69" ht="99.75" x14ac:dyDescent="0.2">
      <c r="A33" s="22" t="s">
        <v>258</v>
      </c>
      <c r="B33" s="22" t="s">
        <v>259</v>
      </c>
      <c r="C33" s="22" t="s">
        <v>260</v>
      </c>
      <c r="D33" s="22" t="s">
        <v>261</v>
      </c>
      <c r="E33" s="22" t="s">
        <v>262</v>
      </c>
      <c r="F33" s="22" t="s">
        <v>263</v>
      </c>
      <c r="G33" s="23" t="s">
        <v>264</v>
      </c>
      <c r="H33" s="23" t="s">
        <v>265</v>
      </c>
      <c r="I33" s="22" t="s">
        <v>266</v>
      </c>
      <c r="J33" s="22" t="s">
        <v>267</v>
      </c>
      <c r="K33" s="22" t="s">
        <v>268</v>
      </c>
      <c r="L33" s="118"/>
    </row>
    <row r="34" spans="1:69" ht="14.25" x14ac:dyDescent="0.2">
      <c r="A34" s="22">
        <v>1</v>
      </c>
      <c r="B34" s="22">
        <v>2</v>
      </c>
      <c r="C34" s="22">
        <v>3</v>
      </c>
      <c r="D34" s="22">
        <v>4</v>
      </c>
      <c r="E34" s="22">
        <v>5</v>
      </c>
      <c r="F34" s="22">
        <v>6</v>
      </c>
      <c r="G34" s="22">
        <v>7</v>
      </c>
      <c r="H34" s="22">
        <v>8</v>
      </c>
      <c r="I34" s="22">
        <v>9</v>
      </c>
      <c r="J34" s="22">
        <v>10</v>
      </c>
      <c r="K34" s="22">
        <v>11</v>
      </c>
      <c r="L34" s="118"/>
    </row>
    <row r="36" spans="1:69" ht="16.5" x14ac:dyDescent="0.25">
      <c r="A36" s="294" t="str">
        <f>CONCATENATE("Раздел: ",IF(Source!G24&lt;&gt;"Новый раздел", Source!G24, ""))</f>
        <v>Раздел: Посадка деревьев с комом земли 1,5х1,5х0,65 м - 4625 шт.</v>
      </c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7"/>
    </row>
    <row r="37" spans="1:69" ht="85.5" x14ac:dyDescent="0.2">
      <c r="A37" s="28" t="str">
        <f>Source!E28</f>
        <v>1</v>
      </c>
      <c r="B37" s="29" t="str">
        <f>Source!F28</f>
        <v>3.47-3-23</v>
      </c>
      <c r="C37" s="29" t="s">
        <v>18</v>
      </c>
      <c r="D37" s="30" t="str">
        <f>Source!H28</f>
        <v>10 ям</v>
      </c>
      <c r="E37" s="11">
        <f>Source!I28</f>
        <v>346.875</v>
      </c>
      <c r="F37" s="32"/>
      <c r="G37" s="31"/>
      <c r="H37" s="11"/>
      <c r="I37" s="33"/>
      <c r="J37" s="11"/>
      <c r="K37" s="33"/>
      <c r="L37" s="38"/>
      <c r="BF37">
        <f>ROUND((Source!DN28/100)*ROUND((ROUND((Source!AF28*Source!AV28*Source!I28),2)),2), 2)</f>
        <v>358090.68</v>
      </c>
      <c r="BG37">
        <f>Source!X28</f>
        <v>4847896.68</v>
      </c>
      <c r="BH37">
        <f>ROUND((Source!DO28/100)*ROUND((ROUND((Source!AF28*Source!AV28*Source!I28),2)),2), 2)</f>
        <v>193407.26</v>
      </c>
      <c r="BI37">
        <f>Source!Y28</f>
        <v>2233834.7400000002</v>
      </c>
      <c r="BJ37">
        <f>ROUND((175/100)*ROUND((ROUND((Source!AE28*Source!AV28*Source!I28),2)),2), 2)</f>
        <v>25841.32</v>
      </c>
      <c r="BK37">
        <f>ROUND((157/100)*ROUND(ROUND((ROUND((Source!AE28*Source!AV28*Source!I28),2)*Source!BS28),2), 2), 2)</f>
        <v>575410.94999999995</v>
      </c>
    </row>
    <row r="38" spans="1:69" x14ac:dyDescent="0.2">
      <c r="C38" s="34" t="str">
        <f>"Объем: "&amp;Source!I28&amp;"=(4625*"&amp;"0,75)/"&amp;"10"</f>
        <v>Объем: 346,875=(4625*0,75)/10</v>
      </c>
    </row>
    <row r="39" spans="1:69" ht="14.25" x14ac:dyDescent="0.2">
      <c r="A39" s="28"/>
      <c r="B39" s="29"/>
      <c r="C39" s="29" t="s">
        <v>271</v>
      </c>
      <c r="D39" s="30"/>
      <c r="E39" s="11"/>
      <c r="F39" s="32">
        <f>Source!AO28</f>
        <v>552.04999999999995</v>
      </c>
      <c r="G39" s="31" t="str">
        <f>Source!DG28</f>
        <v/>
      </c>
      <c r="H39" s="11">
        <f>Source!AV28</f>
        <v>1</v>
      </c>
      <c r="I39" s="33">
        <f>ROUND((ROUND((Source!AF28*Source!AV28*Source!I28),2)),2)</f>
        <v>191492.34</v>
      </c>
      <c r="J39" s="11">
        <f>IF(Source!BA28&lt;&gt; 0, Source!BA28, 1)</f>
        <v>24.82</v>
      </c>
      <c r="K39" s="33">
        <f>Source!S28</f>
        <v>4752839.88</v>
      </c>
      <c r="L39" s="38"/>
      <c r="BL39">
        <f>I39</f>
        <v>191492.34</v>
      </c>
    </row>
    <row r="40" spans="1:69" ht="14.25" x14ac:dyDescent="0.2">
      <c r="A40" s="28"/>
      <c r="B40" s="29"/>
      <c r="C40" s="29" t="s">
        <v>272</v>
      </c>
      <c r="D40" s="30"/>
      <c r="E40" s="11"/>
      <c r="F40" s="32">
        <f>Source!AM28</f>
        <v>163.19999999999999</v>
      </c>
      <c r="G40" s="31" t="str">
        <f>Source!DE28</f>
        <v/>
      </c>
      <c r="H40" s="11">
        <f>Source!AV28</f>
        <v>1</v>
      </c>
      <c r="I40" s="33">
        <f>(ROUND((ROUND(((Source!ET28)*Source!AV28*Source!I28),2)),2)+ROUND((ROUND(((Source!AE28-(Source!EU28))*Source!AV28*Source!I28),2)),2))</f>
        <v>56610</v>
      </c>
      <c r="J40" s="11">
        <f>IF(Source!BB28&lt;&gt; 0, Source!BB28, 1)</f>
        <v>10.59</v>
      </c>
      <c r="K40" s="33">
        <f>Source!Q28</f>
        <v>599499.9</v>
      </c>
      <c r="L40" s="38"/>
    </row>
    <row r="41" spans="1:69" ht="14.25" x14ac:dyDescent="0.2">
      <c r="A41" s="28"/>
      <c r="B41" s="29"/>
      <c r="C41" s="29" t="s">
        <v>273</v>
      </c>
      <c r="D41" s="30"/>
      <c r="E41" s="11"/>
      <c r="F41" s="32">
        <f>Source!AN28</f>
        <v>42.57</v>
      </c>
      <c r="G41" s="31" t="str">
        <f>Source!DF28</f>
        <v/>
      </c>
      <c r="H41" s="11">
        <f>Source!AV28</f>
        <v>1</v>
      </c>
      <c r="I41" s="35">
        <f>ROUND((ROUND((Source!AE28*Source!AV28*Source!I28),2)),2)</f>
        <v>14766.47</v>
      </c>
      <c r="J41" s="11">
        <f>IF(Source!BS28&lt;&gt; 0, Source!BS28, 1)</f>
        <v>24.82</v>
      </c>
      <c r="K41" s="35">
        <f>Source!R28</f>
        <v>366503.79</v>
      </c>
      <c r="L41" s="35"/>
      <c r="BL41">
        <f>I41</f>
        <v>14766.47</v>
      </c>
    </row>
    <row r="42" spans="1:69" ht="14.25" x14ac:dyDescent="0.2">
      <c r="A42" s="28"/>
      <c r="B42" s="29"/>
      <c r="C42" s="29" t="s">
        <v>274</v>
      </c>
      <c r="D42" s="30"/>
      <c r="E42" s="11"/>
      <c r="F42" s="32">
        <f>Source!AL28</f>
        <v>1894.78</v>
      </c>
      <c r="G42" s="31" t="str">
        <f>Source!DD28</f>
        <v/>
      </c>
      <c r="H42" s="11">
        <f>Source!AW28</f>
        <v>1</v>
      </c>
      <c r="I42" s="33">
        <f>ROUND((ROUND((Source!AC28*Source!AW28*Source!I28),2)),2)</f>
        <v>657251.81000000006</v>
      </c>
      <c r="J42" s="11">
        <f>IF(Source!BC28&lt;&gt; 0, Source!BC28, 1)</f>
        <v>2.4</v>
      </c>
      <c r="K42" s="33">
        <f>Source!P28</f>
        <v>1577404.34</v>
      </c>
      <c r="L42" s="38"/>
    </row>
    <row r="43" spans="1:69" ht="14.25" x14ac:dyDescent="0.2">
      <c r="A43" s="28" t="str">
        <f>Source!E29</f>
        <v>1,1</v>
      </c>
      <c r="B43" s="29" t="str">
        <f>Source!F29</f>
        <v>1.4-6-1</v>
      </c>
      <c r="C43" s="29" t="s">
        <v>26</v>
      </c>
      <c r="D43" s="30" t="str">
        <f>Source!H29</f>
        <v>м3</v>
      </c>
      <c r="E43" s="11">
        <f>Source!I29</f>
        <v>4856.25</v>
      </c>
      <c r="F43" s="32">
        <f>Source!AK29</f>
        <v>146.84</v>
      </c>
      <c r="G43" s="36" t="s">
        <v>5</v>
      </c>
      <c r="H43" s="11">
        <f>Source!AW29</f>
        <v>1</v>
      </c>
      <c r="I43" s="33">
        <f>ROUND((ROUND((Source!AC29*Source!AW29*Source!I29),2)),2)+(ROUND((ROUND(((Source!ET29)*Source!AV29*Source!I29),2)),2)+ROUND((ROUND(((Source!AE29-(Source!EU29))*Source!AV29*Source!I29),2)),2))+ROUND((ROUND((Source!AF29*Source!AV29*Source!I29),2)),2)</f>
        <v>713091.75</v>
      </c>
      <c r="J43" s="11">
        <f>IF(Source!BC29&lt;&gt; 0, Source!BC29, 1)</f>
        <v>6.66</v>
      </c>
      <c r="K43" s="33">
        <f>Source!O29</f>
        <v>4749191.0599999996</v>
      </c>
      <c r="L43" s="38"/>
      <c r="BF43">
        <f>ROUND((Source!DN29/100)*ROUND((ROUND((Source!AF29*Source!AV29*Source!I29),2)),2), 2)</f>
        <v>0</v>
      </c>
      <c r="BG43">
        <f>Source!X29</f>
        <v>0</v>
      </c>
      <c r="BH43">
        <f>ROUND((Source!DO29/100)*ROUND((ROUND((Source!AF29*Source!AV29*Source!I29),2)),2), 2)</f>
        <v>0</v>
      </c>
      <c r="BI43">
        <f>Source!Y29</f>
        <v>0</v>
      </c>
      <c r="BJ43">
        <f>ROUND((175/100)*ROUND((ROUND((Source!AE29*Source!AV29*Source!I29),2)),2), 2)</f>
        <v>0</v>
      </c>
      <c r="BK43">
        <f>ROUND((157/100)*ROUND(ROUND((ROUND((Source!AE29*Source!AV29*Source!I29),2)*Source!BS29),2), 2), 2)</f>
        <v>0</v>
      </c>
      <c r="BM43">
        <f>IF(Source!BI29&lt;=1,I43, 0)</f>
        <v>713091.75</v>
      </c>
      <c r="BN43">
        <f>IF(Source!BI29=2,I43, 0)</f>
        <v>0</v>
      </c>
      <c r="BO43">
        <f>IF(Source!BI29=3,I43, 0)</f>
        <v>0</v>
      </c>
      <c r="BP43">
        <f>IF(Source!BI29=4,I43, 0)</f>
        <v>0</v>
      </c>
    </row>
    <row r="44" spans="1:69" ht="14.25" x14ac:dyDescent="0.2">
      <c r="A44" s="28"/>
      <c r="B44" s="29"/>
      <c r="C44" s="29" t="s">
        <v>275</v>
      </c>
      <c r="D44" s="30" t="s">
        <v>276</v>
      </c>
      <c r="E44" s="11">
        <f>Source!DN28</f>
        <v>187</v>
      </c>
      <c r="F44" s="32"/>
      <c r="G44" s="31"/>
      <c r="H44" s="11"/>
      <c r="I44" s="33">
        <f>SUM(BF37:BF43)</f>
        <v>358090.68</v>
      </c>
      <c r="J44" s="11">
        <f>Source!BZ28</f>
        <v>102</v>
      </c>
      <c r="K44" s="33">
        <f>SUM(BG37:BG43)</f>
        <v>4847896.68</v>
      </c>
      <c r="L44" s="38"/>
    </row>
    <row r="45" spans="1:69" ht="14.25" x14ac:dyDescent="0.2">
      <c r="A45" s="28"/>
      <c r="B45" s="29"/>
      <c r="C45" s="29" t="s">
        <v>277</v>
      </c>
      <c r="D45" s="30" t="s">
        <v>276</v>
      </c>
      <c r="E45" s="11">
        <f>Source!DO28</f>
        <v>101</v>
      </c>
      <c r="F45" s="32"/>
      <c r="G45" s="31"/>
      <c r="H45" s="11"/>
      <c r="I45" s="33">
        <f>SUM(BH37:BH44)</f>
        <v>193407.26</v>
      </c>
      <c r="J45" s="11">
        <f>Source!CA28</f>
        <v>47</v>
      </c>
      <c r="K45" s="33">
        <f>SUM(BI37:BI44)</f>
        <v>2233834.7400000002</v>
      </c>
      <c r="L45" s="38"/>
    </row>
    <row r="46" spans="1:69" ht="14.25" x14ac:dyDescent="0.2">
      <c r="A46" s="28"/>
      <c r="B46" s="29"/>
      <c r="C46" s="29" t="s">
        <v>278</v>
      </c>
      <c r="D46" s="30" t="s">
        <v>276</v>
      </c>
      <c r="E46" s="11">
        <f>175</f>
        <v>175</v>
      </c>
      <c r="F46" s="32"/>
      <c r="G46" s="31"/>
      <c r="H46" s="11"/>
      <c r="I46" s="33">
        <f>SUM(BJ37:BJ45)</f>
        <v>25841.32</v>
      </c>
      <c r="J46" s="11">
        <f>157</f>
        <v>157</v>
      </c>
      <c r="K46" s="33">
        <f>SUM(BK37:BK45)</f>
        <v>575410.94999999995</v>
      </c>
      <c r="L46" s="38"/>
    </row>
    <row r="47" spans="1:69" ht="14.25" x14ac:dyDescent="0.2">
      <c r="A47" s="39"/>
      <c r="B47" s="40"/>
      <c r="C47" s="40" t="s">
        <v>279</v>
      </c>
      <c r="D47" s="41" t="s">
        <v>280</v>
      </c>
      <c r="E47" s="42">
        <f>Source!AQ28</f>
        <v>54.93</v>
      </c>
      <c r="F47" s="43"/>
      <c r="G47" s="44" t="str">
        <f>Source!DI28</f>
        <v/>
      </c>
      <c r="H47" s="42">
        <f>Source!AV28</f>
        <v>1</v>
      </c>
      <c r="I47" s="45">
        <f>Source!U28</f>
        <v>19053.84375</v>
      </c>
      <c r="J47" s="42"/>
      <c r="K47" s="45"/>
      <c r="L47" s="119"/>
      <c r="BQ47" s="37">
        <f>I47</f>
        <v>19053.84375</v>
      </c>
    </row>
    <row r="48" spans="1:69" ht="15" x14ac:dyDescent="0.25">
      <c r="A48" s="46"/>
      <c r="B48" s="46"/>
      <c r="C48" s="47" t="s">
        <v>281</v>
      </c>
      <c r="D48" s="46"/>
      <c r="E48" s="46"/>
      <c r="F48" s="46"/>
      <c r="G48" s="46"/>
      <c r="H48" s="295">
        <f>I39+I40+I42+I44+I45+I46+SUM(I43:I43)</f>
        <v>2195785.16</v>
      </c>
      <c r="I48" s="295"/>
      <c r="J48" s="295">
        <f>K39+K40+K42+K44+K45+K46+SUM(K43:K43)</f>
        <v>19336077.550000001</v>
      </c>
      <c r="K48" s="295"/>
      <c r="L48" s="120"/>
      <c r="BD48" s="37">
        <f>I39+I40+I42+I44+I45+I46+SUM(I43:I43)</f>
        <v>2195785.16</v>
      </c>
      <c r="BE48" s="37">
        <f>K39+K40+K42+K44+K45+K46+SUM(K43:K43)</f>
        <v>19336077.550000001</v>
      </c>
      <c r="BM48">
        <f>IF(Source!BI28&lt;=1,I39+I40+I42+I44+I45+I46-0, 0)</f>
        <v>1482693.4100000001</v>
      </c>
      <c r="BN48">
        <f>IF(Source!BI28=2,I39+I40+I42+I44+I45+I46-0, 0)</f>
        <v>0</v>
      </c>
      <c r="BO48">
        <f>IF(Source!BI28=3,I39+I40+I42+I44+I45+I46-0, 0)</f>
        <v>0</v>
      </c>
      <c r="BP48">
        <f>IF(Source!BI28=4,I39+I40+I42+I44+I45+I46,0)</f>
        <v>0</v>
      </c>
    </row>
    <row r="50" spans="1:69" ht="71.25" x14ac:dyDescent="0.2">
      <c r="A50" s="28" t="str">
        <f>Source!E30</f>
        <v>2</v>
      </c>
      <c r="B50" s="29" t="str">
        <f>Source!F30</f>
        <v>3.47-5-23</v>
      </c>
      <c r="C50" s="29" t="s">
        <v>31</v>
      </c>
      <c r="D50" s="30" t="str">
        <f>Source!H30</f>
        <v>10 ям</v>
      </c>
      <c r="E50" s="11">
        <f>Source!I30</f>
        <v>115.625</v>
      </c>
      <c r="F50" s="32"/>
      <c r="G50" s="31"/>
      <c r="H50" s="11"/>
      <c r="I50" s="33"/>
      <c r="J50" s="11"/>
      <c r="K50" s="33"/>
      <c r="L50" s="38"/>
      <c r="BF50">
        <f>ROUND((Source!DN30/100)*ROUND((ROUND((Source!AF30*Source!AV30*Source!I30),2)),2), 2)</f>
        <v>225196.15</v>
      </c>
      <c r="BG50">
        <f>Source!X30</f>
        <v>3048746.46</v>
      </c>
      <c r="BH50">
        <f>ROUND((Source!DO30/100)*ROUND((ROUND((Source!AF30*Source!AV30*Source!I30),2)),2), 2)</f>
        <v>121630.01</v>
      </c>
      <c r="BI50">
        <f>Source!Y30</f>
        <v>1404814.55</v>
      </c>
      <c r="BJ50">
        <f>ROUND((175/100)*ROUND((ROUND((Source!AE30*Source!AV30*Source!I30),2)),2), 2)</f>
        <v>0</v>
      </c>
      <c r="BK50">
        <f>ROUND((157/100)*ROUND(ROUND((ROUND((Source!AE30*Source!AV30*Source!I30),2)*Source!BS30),2), 2), 2)</f>
        <v>0</v>
      </c>
    </row>
    <row r="51" spans="1:69" x14ac:dyDescent="0.2">
      <c r="C51" s="34" t="str">
        <f>"Объем: "&amp;Source!I30&amp;"=(4625*"&amp;"0,25)/"&amp;"10"</f>
        <v>Объем: 115,625=(4625*0,25)/10</v>
      </c>
    </row>
    <row r="52" spans="1:69" ht="14.25" x14ac:dyDescent="0.2">
      <c r="A52" s="28"/>
      <c r="B52" s="29"/>
      <c r="C52" s="29" t="s">
        <v>271</v>
      </c>
      <c r="D52" s="30"/>
      <c r="E52" s="11"/>
      <c r="F52" s="32">
        <f>Source!AO30</f>
        <v>1041.52</v>
      </c>
      <c r="G52" s="31" t="str">
        <f>Source!DG30</f>
        <v/>
      </c>
      <c r="H52" s="11">
        <f>Source!AV30</f>
        <v>1</v>
      </c>
      <c r="I52" s="33">
        <f>ROUND((ROUND((Source!AF30*Source!AV30*Source!I30),2)),2)</f>
        <v>120425.75</v>
      </c>
      <c r="J52" s="11">
        <f>IF(Source!BA30&lt;&gt; 0, Source!BA30, 1)</f>
        <v>24.82</v>
      </c>
      <c r="K52" s="33">
        <f>Source!S30</f>
        <v>2988967.12</v>
      </c>
      <c r="L52" s="38"/>
      <c r="BL52">
        <f>I52</f>
        <v>120425.75</v>
      </c>
    </row>
    <row r="53" spans="1:69" ht="14.25" x14ac:dyDescent="0.2">
      <c r="A53" s="28"/>
      <c r="B53" s="29"/>
      <c r="C53" s="29" t="s">
        <v>274</v>
      </c>
      <c r="D53" s="30"/>
      <c r="E53" s="11"/>
      <c r="F53" s="32">
        <f>Source!AL30</f>
        <v>1894.78</v>
      </c>
      <c r="G53" s="31" t="str">
        <f>Source!DD30</f>
        <v/>
      </c>
      <c r="H53" s="11">
        <f>Source!AW30</f>
        <v>1</v>
      </c>
      <c r="I53" s="33">
        <f>ROUND((ROUND((Source!AC30*Source!AW30*Source!I30),2)),2)</f>
        <v>219083.94</v>
      </c>
      <c r="J53" s="11">
        <f>IF(Source!BC30&lt;&gt; 0, Source!BC30, 1)</f>
        <v>2.4</v>
      </c>
      <c r="K53" s="33">
        <f>Source!P30</f>
        <v>525801.46</v>
      </c>
      <c r="L53" s="38"/>
    </row>
    <row r="54" spans="1:69" ht="14.25" x14ac:dyDescent="0.2">
      <c r="A54" s="28" t="str">
        <f>Source!E31</f>
        <v>2,1</v>
      </c>
      <c r="B54" s="29" t="str">
        <f>Source!F31</f>
        <v>1.4-6-1</v>
      </c>
      <c r="C54" s="29" t="s">
        <v>26</v>
      </c>
      <c r="D54" s="30" t="str">
        <f>Source!H31</f>
        <v>м3</v>
      </c>
      <c r="E54" s="11">
        <f>Source!I31</f>
        <v>1618.75</v>
      </c>
      <c r="F54" s="32">
        <f>Source!AK31</f>
        <v>146.84</v>
      </c>
      <c r="G54" s="36" t="s">
        <v>5</v>
      </c>
      <c r="H54" s="11">
        <f>Source!AW31</f>
        <v>1</v>
      </c>
      <c r="I54" s="33">
        <f>ROUND((ROUND((Source!AC31*Source!AW31*Source!I31),2)),2)+(ROUND((ROUND(((Source!ET31)*Source!AV31*Source!I31),2)),2)+ROUND((ROUND(((Source!AE31-(Source!EU31))*Source!AV31*Source!I31),2)),2))+ROUND((ROUND((Source!AF31*Source!AV31*Source!I31),2)),2)</f>
        <v>237697.25</v>
      </c>
      <c r="J54" s="11">
        <f>IF(Source!BC31&lt;&gt; 0, Source!BC31, 1)</f>
        <v>6.66</v>
      </c>
      <c r="K54" s="33">
        <f>Source!O31</f>
        <v>1583063.69</v>
      </c>
      <c r="L54" s="38"/>
      <c r="BF54">
        <f>ROUND((Source!DN31/100)*ROUND((ROUND((Source!AF31*Source!AV31*Source!I31),2)),2), 2)</f>
        <v>0</v>
      </c>
      <c r="BG54">
        <f>Source!X31</f>
        <v>0</v>
      </c>
      <c r="BH54">
        <f>ROUND((Source!DO31/100)*ROUND((ROUND((Source!AF31*Source!AV31*Source!I31),2)),2), 2)</f>
        <v>0</v>
      </c>
      <c r="BI54">
        <f>Source!Y31</f>
        <v>0</v>
      </c>
      <c r="BJ54">
        <f>ROUND((175/100)*ROUND((ROUND((Source!AE31*Source!AV31*Source!I31),2)),2), 2)</f>
        <v>0</v>
      </c>
      <c r="BK54">
        <f>ROUND((157/100)*ROUND(ROUND((ROUND((Source!AE31*Source!AV31*Source!I31),2)*Source!BS31),2), 2), 2)</f>
        <v>0</v>
      </c>
      <c r="BM54">
        <f>IF(Source!BI31&lt;=1,I54, 0)</f>
        <v>237697.25</v>
      </c>
      <c r="BN54">
        <f>IF(Source!BI31=2,I54, 0)</f>
        <v>0</v>
      </c>
      <c r="BO54">
        <f>IF(Source!BI31=3,I54, 0)</f>
        <v>0</v>
      </c>
      <c r="BP54">
        <f>IF(Source!BI31=4,I54, 0)</f>
        <v>0</v>
      </c>
    </row>
    <row r="55" spans="1:69" ht="14.25" x14ac:dyDescent="0.2">
      <c r="A55" s="28"/>
      <c r="B55" s="29"/>
      <c r="C55" s="29" t="s">
        <v>275</v>
      </c>
      <c r="D55" s="30" t="s">
        <v>276</v>
      </c>
      <c r="E55" s="11">
        <f>Source!DN30</f>
        <v>187</v>
      </c>
      <c r="F55" s="32"/>
      <c r="G55" s="31"/>
      <c r="H55" s="11"/>
      <c r="I55" s="33">
        <f>SUM(BF50:BF54)</f>
        <v>225196.15</v>
      </c>
      <c r="J55" s="11">
        <f>Source!BZ30</f>
        <v>102</v>
      </c>
      <c r="K55" s="33">
        <f>SUM(BG50:BG54)</f>
        <v>3048746.46</v>
      </c>
      <c r="L55" s="38"/>
    </row>
    <row r="56" spans="1:69" ht="14.25" x14ac:dyDescent="0.2">
      <c r="A56" s="28"/>
      <c r="B56" s="29"/>
      <c r="C56" s="29" t="s">
        <v>277</v>
      </c>
      <c r="D56" s="30" t="s">
        <v>276</v>
      </c>
      <c r="E56" s="11">
        <f>Source!DO30</f>
        <v>101</v>
      </c>
      <c r="F56" s="32"/>
      <c r="G56" s="31"/>
      <c r="H56" s="11"/>
      <c r="I56" s="33">
        <f>SUM(BH50:BH55)</f>
        <v>121630.01</v>
      </c>
      <c r="J56" s="11">
        <f>Source!CA30</f>
        <v>47</v>
      </c>
      <c r="K56" s="33">
        <f>SUM(BI50:BI55)</f>
        <v>1404814.55</v>
      </c>
      <c r="L56" s="38"/>
    </row>
    <row r="57" spans="1:69" ht="14.25" x14ac:dyDescent="0.2">
      <c r="A57" s="39"/>
      <c r="B57" s="40"/>
      <c r="C57" s="40" t="s">
        <v>279</v>
      </c>
      <c r="D57" s="41" t="s">
        <v>280</v>
      </c>
      <c r="E57" s="42">
        <f>Source!AQ30</f>
        <v>101.91</v>
      </c>
      <c r="F57" s="43"/>
      <c r="G57" s="44" t="str">
        <f>Source!DI30</f>
        <v/>
      </c>
      <c r="H57" s="42">
        <f>Source!AV30</f>
        <v>1</v>
      </c>
      <c r="I57" s="45">
        <f>Source!U30</f>
        <v>11783.34375</v>
      </c>
      <c r="J57" s="42"/>
      <c r="K57" s="45"/>
      <c r="L57" s="119"/>
      <c r="BQ57" s="37">
        <f>I57</f>
        <v>11783.34375</v>
      </c>
    </row>
    <row r="58" spans="1:69" ht="15" x14ac:dyDescent="0.25">
      <c r="A58" s="46"/>
      <c r="B58" s="46"/>
      <c r="C58" s="47" t="s">
        <v>281</v>
      </c>
      <c r="D58" s="46"/>
      <c r="E58" s="46"/>
      <c r="F58" s="46"/>
      <c r="G58" s="46"/>
      <c r="H58" s="295">
        <f>I52+I53+I55+I56+SUM(I54:I54)</f>
        <v>924033.1</v>
      </c>
      <c r="I58" s="295"/>
      <c r="J58" s="295">
        <f>K52+K53+K55+K56+SUM(K54:K54)</f>
        <v>9551393.2799999993</v>
      </c>
      <c r="K58" s="295"/>
      <c r="L58" s="120"/>
      <c r="BD58" s="37">
        <f>I52+I53+I55+I56+SUM(I54:I54)</f>
        <v>924033.1</v>
      </c>
      <c r="BE58" s="37">
        <f>K52+K53+K55+K56+SUM(K54:K54)</f>
        <v>9551393.2799999993</v>
      </c>
      <c r="BM58">
        <f>IF(Source!BI30&lt;=1,I52+I53+I55+I56-0, 0)</f>
        <v>686335.85</v>
      </c>
      <c r="BN58">
        <f>IF(Source!BI30=2,I52+I53+I55+I56-0, 0)</f>
        <v>0</v>
      </c>
      <c r="BO58">
        <f>IF(Source!BI30=3,I52+I53+I55+I56-0, 0)</f>
        <v>0</v>
      </c>
      <c r="BP58">
        <f>IF(Source!BI30=4,I52+I53+I55+I56,0)</f>
        <v>0</v>
      </c>
    </row>
    <row r="60" spans="1:69" ht="71.25" x14ac:dyDescent="0.2">
      <c r="A60" s="28" t="str">
        <f>Source!E32</f>
        <v>3</v>
      </c>
      <c r="B60" s="29" t="str">
        <f>Source!F32</f>
        <v>3.47-7-9</v>
      </c>
      <c r="C60" s="29" t="s">
        <v>36</v>
      </c>
      <c r="D60" s="30" t="str">
        <f>Source!H32</f>
        <v>10 деревьев или кустарников</v>
      </c>
      <c r="E60" s="11">
        <f>Source!I32</f>
        <v>462.5</v>
      </c>
      <c r="F60" s="32"/>
      <c r="G60" s="31"/>
      <c r="H60" s="11"/>
      <c r="I60" s="33"/>
      <c r="J60" s="11"/>
      <c r="K60" s="33"/>
      <c r="L60" s="38"/>
      <c r="BF60">
        <f>ROUND((Source!DN32/100)*ROUND((ROUND((Source!AF32*Source!AV32*Source!I32),2)),2), 2)</f>
        <v>761557.03</v>
      </c>
      <c r="BG60">
        <f>Source!X32</f>
        <v>10310097.58</v>
      </c>
      <c r="BH60">
        <f>ROUND((Source!DO32/100)*ROUND((ROUND((Source!AF32*Source!AV32*Source!I32),2)),2), 2)</f>
        <v>411322.25</v>
      </c>
      <c r="BI60">
        <f>Source!Y32</f>
        <v>4750731.24</v>
      </c>
      <c r="BJ60">
        <f>ROUND((175/100)*ROUND((ROUND((Source!AE32*Source!AV32*Source!I32),2)),2), 2)</f>
        <v>64936.17</v>
      </c>
      <c r="BK60">
        <f>ROUND((157/100)*ROUND(ROUND((ROUND((Source!AE32*Source!AV32*Source!I32),2)*Source!BS32),2), 2), 2)</f>
        <v>1445939.15</v>
      </c>
    </row>
    <row r="61" spans="1:69" x14ac:dyDescent="0.2">
      <c r="C61" s="34" t="str">
        <f>"Объем: "&amp;Source!I32&amp;"=4625/"&amp;"10"</f>
        <v>Объем: 462,5=4625/10</v>
      </c>
    </row>
    <row r="62" spans="1:69" ht="14.25" x14ac:dyDescent="0.2">
      <c r="A62" s="28"/>
      <c r="B62" s="29"/>
      <c r="C62" s="29" t="s">
        <v>271</v>
      </c>
      <c r="D62" s="30"/>
      <c r="E62" s="11"/>
      <c r="F62" s="32">
        <f>Source!AO32</f>
        <v>880.54</v>
      </c>
      <c r="G62" s="31" t="str">
        <f>Source!DG32</f>
        <v/>
      </c>
      <c r="H62" s="11">
        <f>Source!AV32</f>
        <v>1</v>
      </c>
      <c r="I62" s="33">
        <f>ROUND((ROUND((Source!AF32*Source!AV32*Source!I32),2)),2)</f>
        <v>407249.75</v>
      </c>
      <c r="J62" s="11">
        <f>IF(Source!BA32&lt;&gt; 0, Source!BA32, 1)</f>
        <v>24.82</v>
      </c>
      <c r="K62" s="33">
        <f>Source!S32</f>
        <v>10107938.800000001</v>
      </c>
      <c r="L62" s="38"/>
      <c r="BL62">
        <f>I62</f>
        <v>407249.75</v>
      </c>
    </row>
    <row r="63" spans="1:69" ht="14.25" x14ac:dyDescent="0.2">
      <c r="A63" s="28"/>
      <c r="B63" s="29"/>
      <c r="C63" s="29" t="s">
        <v>272</v>
      </c>
      <c r="D63" s="30"/>
      <c r="E63" s="11"/>
      <c r="F63" s="32">
        <f>Source!AM32</f>
        <v>1077.3</v>
      </c>
      <c r="G63" s="31" t="str">
        <f>Source!DE32</f>
        <v/>
      </c>
      <c r="H63" s="11">
        <f>Source!AV32</f>
        <v>1</v>
      </c>
      <c r="I63" s="33">
        <f>(ROUND((ROUND(((Source!ET32)*Source!AV32*Source!I32),2)),2)+ROUND((ROUND(((Source!AE32-(Source!EU32))*Source!AV32*Source!I32),2)),2))</f>
        <v>498251.25</v>
      </c>
      <c r="J63" s="11">
        <f>IF(Source!BB32&lt;&gt; 0, Source!BB32, 1)</f>
        <v>8.19</v>
      </c>
      <c r="K63" s="33">
        <f>Source!Q32</f>
        <v>4080677.74</v>
      </c>
      <c r="L63" s="38"/>
    </row>
    <row r="64" spans="1:69" ht="14.25" x14ac:dyDescent="0.2">
      <c r="A64" s="28"/>
      <c r="B64" s="29"/>
      <c r="C64" s="29" t="s">
        <v>273</v>
      </c>
      <c r="D64" s="30"/>
      <c r="E64" s="11"/>
      <c r="F64" s="32">
        <f>Source!AN32</f>
        <v>80.23</v>
      </c>
      <c r="G64" s="31" t="str">
        <f>Source!DF32</f>
        <v/>
      </c>
      <c r="H64" s="11">
        <f>Source!AV32</f>
        <v>1</v>
      </c>
      <c r="I64" s="35">
        <f>ROUND((ROUND((Source!AE32*Source!AV32*Source!I32),2)),2)</f>
        <v>37106.379999999997</v>
      </c>
      <c r="J64" s="11">
        <f>IF(Source!BS32&lt;&gt; 0, Source!BS32, 1)</f>
        <v>24.82</v>
      </c>
      <c r="K64" s="35">
        <f>Source!R32</f>
        <v>920980.35</v>
      </c>
      <c r="L64" s="35"/>
      <c r="BL64">
        <f>I64</f>
        <v>37106.379999999997</v>
      </c>
    </row>
    <row r="65" spans="1:69" ht="14.25" x14ac:dyDescent="0.2">
      <c r="A65" s="28"/>
      <c r="B65" s="29"/>
      <c r="C65" s="29" t="s">
        <v>274</v>
      </c>
      <c r="D65" s="30"/>
      <c r="E65" s="11"/>
      <c r="F65" s="32">
        <f>Source!AL32</f>
        <v>113.32</v>
      </c>
      <c r="G65" s="31" t="str">
        <f>Source!DD32</f>
        <v/>
      </c>
      <c r="H65" s="11">
        <f>Source!AW32</f>
        <v>1</v>
      </c>
      <c r="I65" s="33">
        <f>ROUND((ROUND((Source!AC32*Source!AW32*Source!I32),2)),2)</f>
        <v>52410.5</v>
      </c>
      <c r="J65" s="11">
        <f>IF(Source!BC32&lt;&gt; 0, Source!BC32, 1)</f>
        <v>5.36</v>
      </c>
      <c r="K65" s="33">
        <f>Source!P32</f>
        <v>280920.28000000003</v>
      </c>
      <c r="L65" s="38"/>
    </row>
    <row r="66" spans="1:69" ht="14.25" x14ac:dyDescent="0.2">
      <c r="A66" s="28"/>
      <c r="B66" s="29"/>
      <c r="C66" s="29" t="s">
        <v>275</v>
      </c>
      <c r="D66" s="30" t="s">
        <v>276</v>
      </c>
      <c r="E66" s="11">
        <f>Source!DN32</f>
        <v>187</v>
      </c>
      <c r="F66" s="32"/>
      <c r="G66" s="31"/>
      <c r="H66" s="11"/>
      <c r="I66" s="33">
        <f>SUM(BF60:BF65)</f>
        <v>761557.03</v>
      </c>
      <c r="J66" s="11">
        <f>Source!BZ32</f>
        <v>102</v>
      </c>
      <c r="K66" s="33">
        <f>SUM(BG60:BG65)</f>
        <v>10310097.58</v>
      </c>
      <c r="L66" s="38"/>
    </row>
    <row r="67" spans="1:69" ht="14.25" x14ac:dyDescent="0.2">
      <c r="A67" s="28"/>
      <c r="B67" s="29"/>
      <c r="C67" s="29" t="s">
        <v>277</v>
      </c>
      <c r="D67" s="30" t="s">
        <v>276</v>
      </c>
      <c r="E67" s="11">
        <f>Source!DO32</f>
        <v>101</v>
      </c>
      <c r="F67" s="32"/>
      <c r="G67" s="31"/>
      <c r="H67" s="11"/>
      <c r="I67" s="33">
        <f>SUM(BH60:BH66)</f>
        <v>411322.25</v>
      </c>
      <c r="J67" s="11">
        <f>Source!CA32</f>
        <v>47</v>
      </c>
      <c r="K67" s="33">
        <f>SUM(BI60:BI66)</f>
        <v>4750731.24</v>
      </c>
      <c r="L67" s="38"/>
    </row>
    <row r="68" spans="1:69" ht="14.25" x14ac:dyDescent="0.2">
      <c r="A68" s="28"/>
      <c r="B68" s="29"/>
      <c r="C68" s="29" t="s">
        <v>278</v>
      </c>
      <c r="D68" s="30" t="s">
        <v>276</v>
      </c>
      <c r="E68" s="11">
        <f>175</f>
        <v>175</v>
      </c>
      <c r="F68" s="32"/>
      <c r="G68" s="31"/>
      <c r="H68" s="11"/>
      <c r="I68" s="33">
        <f>SUM(BJ60:BJ67)</f>
        <v>64936.17</v>
      </c>
      <c r="J68" s="11">
        <f>157</f>
        <v>157</v>
      </c>
      <c r="K68" s="33">
        <f>SUM(BK60:BK67)</f>
        <v>1445939.15</v>
      </c>
      <c r="L68" s="38"/>
    </row>
    <row r="69" spans="1:69" ht="14.25" x14ac:dyDescent="0.2">
      <c r="A69" s="39"/>
      <c r="B69" s="40"/>
      <c r="C69" s="40" t="s">
        <v>279</v>
      </c>
      <c r="D69" s="41" t="s">
        <v>280</v>
      </c>
      <c r="E69" s="42">
        <f>Source!AQ32</f>
        <v>70.5</v>
      </c>
      <c r="F69" s="43"/>
      <c r="G69" s="44" t="str">
        <f>Source!DI32</f>
        <v/>
      </c>
      <c r="H69" s="42">
        <f>Source!AV32</f>
        <v>1</v>
      </c>
      <c r="I69" s="45">
        <f>Source!U32</f>
        <v>32606.25</v>
      </c>
      <c r="J69" s="42"/>
      <c r="K69" s="45"/>
      <c r="L69" s="119"/>
      <c r="BQ69" s="37">
        <f>I69</f>
        <v>32606.25</v>
      </c>
    </row>
    <row r="70" spans="1:69" ht="15" x14ac:dyDescent="0.25">
      <c r="A70" s="46"/>
      <c r="B70" s="46"/>
      <c r="C70" s="47" t="s">
        <v>281</v>
      </c>
      <c r="D70" s="46"/>
      <c r="E70" s="46"/>
      <c r="F70" s="46"/>
      <c r="G70" s="46"/>
      <c r="H70" s="295">
        <f>I62+I63+I65+I66+I67+I68</f>
        <v>2195726.9500000002</v>
      </c>
      <c r="I70" s="295"/>
      <c r="J70" s="295">
        <f>K62+K63+K65+K66+K67+K68</f>
        <v>30976304.789999999</v>
      </c>
      <c r="K70" s="295"/>
      <c r="L70" s="120"/>
      <c r="BD70" s="37">
        <f>I62+I63+I65+I66+I67+I68</f>
        <v>2195726.9500000002</v>
      </c>
      <c r="BE70" s="37">
        <f>K62+K63+K65+K66+K67+K68</f>
        <v>30976304.789999999</v>
      </c>
      <c r="BM70">
        <f>IF(Source!BI32&lt;=1,I62+I63+I65+I66+I67+I68-0, 0)</f>
        <v>2195726.9500000002</v>
      </c>
      <c r="BN70">
        <f>IF(Source!BI32=2,I62+I63+I65+I66+I67+I68-0, 0)</f>
        <v>0</v>
      </c>
      <c r="BO70">
        <f>IF(Source!BI32=3,I62+I63+I65+I66+I67+I68-0, 0)</f>
        <v>0</v>
      </c>
      <c r="BP70">
        <f>IF(Source!BI32=4,I62+I63+I65+I66+I67+I68,0)</f>
        <v>0</v>
      </c>
    </row>
    <row r="72" spans="1:69" ht="99.75" x14ac:dyDescent="0.2">
      <c r="A72" s="28" t="str">
        <f>Source!E33</f>
        <v>4</v>
      </c>
      <c r="B72" s="29" t="str">
        <f>Source!F33</f>
        <v>3.1-6-10</v>
      </c>
      <c r="C72" s="29" t="s">
        <v>41</v>
      </c>
      <c r="D72" s="30" t="str">
        <f>Source!H33</f>
        <v>100 м3 грунта</v>
      </c>
      <c r="E72" s="11">
        <f>Source!I33</f>
        <v>153.55000000000001</v>
      </c>
      <c r="F72" s="32"/>
      <c r="G72" s="31"/>
      <c r="H72" s="11"/>
      <c r="I72" s="33"/>
      <c r="J72" s="11"/>
      <c r="K72" s="33"/>
      <c r="L72" s="38"/>
      <c r="BF72">
        <f>ROUND((Source!DN33/100)*ROUND((ROUND((Source!AF33*Source!AV33*Source!I33),2)),2), 2)</f>
        <v>2121.7600000000002</v>
      </c>
      <c r="BG72">
        <f>Source!X33</f>
        <v>49437.85</v>
      </c>
      <c r="BH72">
        <f>ROUND((Source!DO33/100)*ROUND((ROUND((Source!AF33*Source!AV33*Source!I33),2)),2), 2)</f>
        <v>1667.1</v>
      </c>
      <c r="BI72">
        <f>Source!Y33</f>
        <v>26868.400000000001</v>
      </c>
      <c r="BJ72">
        <f>ROUND((175/100)*ROUND((ROUND((Source!AE33*Source!AV33*Source!I33),2)),2), 2)</f>
        <v>35386.75</v>
      </c>
      <c r="BK72">
        <f>ROUND((157/100)*ROUND(ROUND((ROUND((Source!AE33*Source!AV33*Source!I33),2)*Source!BS33),2), 2), 2)</f>
        <v>787959.8</v>
      </c>
    </row>
    <row r="73" spans="1:69" x14ac:dyDescent="0.2">
      <c r="C73" s="34" t="str">
        <f>"Объем: "&amp;Source!I33&amp;"=15355/"&amp;"100"</f>
        <v>Объем: 153,55=15355/100</v>
      </c>
    </row>
    <row r="74" spans="1:69" ht="14.25" x14ac:dyDescent="0.2">
      <c r="A74" s="28"/>
      <c r="B74" s="29"/>
      <c r="C74" s="29" t="s">
        <v>271</v>
      </c>
      <c r="D74" s="30"/>
      <c r="E74" s="11"/>
      <c r="F74" s="32">
        <f>Source!AO33</f>
        <v>14.1</v>
      </c>
      <c r="G74" s="31" t="str">
        <f>Source!DG33</f>
        <v/>
      </c>
      <c r="H74" s="11">
        <f>Source!AV33</f>
        <v>1</v>
      </c>
      <c r="I74" s="33">
        <f>ROUND((ROUND((Source!AF33*Source!AV33*Source!I33),2)),2)</f>
        <v>2165.06</v>
      </c>
      <c r="J74" s="11">
        <f>IF(Source!BA33&lt;&gt; 0, Source!BA33, 1)</f>
        <v>24.82</v>
      </c>
      <c r="K74" s="33">
        <f>Source!S33</f>
        <v>53736.79</v>
      </c>
      <c r="L74" s="38"/>
      <c r="BL74">
        <f>I74</f>
        <v>2165.06</v>
      </c>
    </row>
    <row r="75" spans="1:69" ht="14.25" x14ac:dyDescent="0.2">
      <c r="A75" s="28"/>
      <c r="B75" s="29"/>
      <c r="C75" s="29" t="s">
        <v>272</v>
      </c>
      <c r="D75" s="30"/>
      <c r="E75" s="11"/>
      <c r="F75" s="32">
        <f>Source!AM33</f>
        <v>808.58</v>
      </c>
      <c r="G75" s="31" t="str">
        <f>Source!DE33</f>
        <v/>
      </c>
      <c r="H75" s="11">
        <f>Source!AV33</f>
        <v>1</v>
      </c>
      <c r="I75" s="33">
        <f>(ROUND((ROUND(((Source!ET33)*Source!AV33*Source!I33),2)),2)+ROUND((ROUND(((Source!AE33-(Source!EU33))*Source!AV33*Source!I33),2)),2))</f>
        <v>124157.46</v>
      </c>
      <c r="J75" s="11">
        <f>IF(Source!BB33&lt;&gt; 0, Source!BB33, 1)</f>
        <v>9.7799999999999994</v>
      </c>
      <c r="K75" s="33">
        <f>Source!Q33</f>
        <v>1214259.96</v>
      </c>
      <c r="L75" s="38"/>
    </row>
    <row r="76" spans="1:69" ht="14.25" x14ac:dyDescent="0.2">
      <c r="A76" s="28"/>
      <c r="B76" s="29"/>
      <c r="C76" s="29" t="s">
        <v>273</v>
      </c>
      <c r="D76" s="30"/>
      <c r="E76" s="11"/>
      <c r="F76" s="32">
        <f>Source!AN33</f>
        <v>131.69</v>
      </c>
      <c r="G76" s="31" t="str">
        <f>Source!DF33</f>
        <v/>
      </c>
      <c r="H76" s="11">
        <f>Source!AV33</f>
        <v>1</v>
      </c>
      <c r="I76" s="35">
        <f>ROUND((ROUND((Source!AE33*Source!AV33*Source!I33),2)),2)</f>
        <v>20221</v>
      </c>
      <c r="J76" s="11">
        <f>IF(Source!BS33&lt;&gt; 0, Source!BS33, 1)</f>
        <v>24.82</v>
      </c>
      <c r="K76" s="35">
        <f>Source!R33</f>
        <v>501885.22</v>
      </c>
      <c r="L76" s="35"/>
      <c r="BL76">
        <f>I76</f>
        <v>20221</v>
      </c>
    </row>
    <row r="77" spans="1:69" ht="14.25" x14ac:dyDescent="0.2">
      <c r="A77" s="28"/>
      <c r="B77" s="29"/>
      <c r="C77" s="29" t="s">
        <v>275</v>
      </c>
      <c r="D77" s="30" t="s">
        <v>276</v>
      </c>
      <c r="E77" s="11">
        <f>Source!DN33</f>
        <v>98</v>
      </c>
      <c r="F77" s="32"/>
      <c r="G77" s="31"/>
      <c r="H77" s="11"/>
      <c r="I77" s="33">
        <f>SUM(BF72:BF76)</f>
        <v>2121.7600000000002</v>
      </c>
      <c r="J77" s="11">
        <f>Source!BZ33</f>
        <v>92</v>
      </c>
      <c r="K77" s="33">
        <f>SUM(BG72:BG76)</f>
        <v>49437.85</v>
      </c>
      <c r="L77" s="38"/>
    </row>
    <row r="78" spans="1:69" ht="14.25" x14ac:dyDescent="0.2">
      <c r="A78" s="28"/>
      <c r="B78" s="29"/>
      <c r="C78" s="29" t="s">
        <v>277</v>
      </c>
      <c r="D78" s="30" t="s">
        <v>276</v>
      </c>
      <c r="E78" s="11">
        <f>Source!DO33</f>
        <v>77</v>
      </c>
      <c r="F78" s="32"/>
      <c r="G78" s="31"/>
      <c r="H78" s="11"/>
      <c r="I78" s="33">
        <f>SUM(BH72:BH77)</f>
        <v>1667.1</v>
      </c>
      <c r="J78" s="11">
        <f>Source!CA33</f>
        <v>50</v>
      </c>
      <c r="K78" s="33">
        <f>SUM(BI72:BI77)</f>
        <v>26868.400000000001</v>
      </c>
      <c r="L78" s="38"/>
    </row>
    <row r="79" spans="1:69" ht="14.25" x14ac:dyDescent="0.2">
      <c r="A79" s="28"/>
      <c r="B79" s="29"/>
      <c r="C79" s="29" t="s">
        <v>278</v>
      </c>
      <c r="D79" s="30" t="s">
        <v>276</v>
      </c>
      <c r="E79" s="11">
        <f>175</f>
        <v>175</v>
      </c>
      <c r="F79" s="32"/>
      <c r="G79" s="31"/>
      <c r="H79" s="11"/>
      <c r="I79" s="33">
        <f>SUM(BJ72:BJ78)</f>
        <v>35386.75</v>
      </c>
      <c r="J79" s="11">
        <f>157</f>
        <v>157</v>
      </c>
      <c r="K79" s="33">
        <f>SUM(BK72:BK78)</f>
        <v>787959.8</v>
      </c>
      <c r="L79" s="38"/>
    </row>
    <row r="80" spans="1:69" ht="14.25" x14ac:dyDescent="0.2">
      <c r="A80" s="39"/>
      <c r="B80" s="40"/>
      <c r="C80" s="40" t="s">
        <v>279</v>
      </c>
      <c r="D80" s="41" t="s">
        <v>280</v>
      </c>
      <c r="E80" s="42">
        <f>Source!AQ33</f>
        <v>1.38</v>
      </c>
      <c r="F80" s="43"/>
      <c r="G80" s="44" t="str">
        <f>Source!DI33</f>
        <v/>
      </c>
      <c r="H80" s="42">
        <f>Source!AV33</f>
        <v>1</v>
      </c>
      <c r="I80" s="45">
        <f>Source!U33</f>
        <v>211.899</v>
      </c>
      <c r="J80" s="42"/>
      <c r="K80" s="45"/>
      <c r="L80" s="119"/>
      <c r="BQ80" s="37">
        <f>I80</f>
        <v>211.899</v>
      </c>
    </row>
    <row r="81" spans="1:79" ht="15" x14ac:dyDescent="0.25">
      <c r="A81" s="46"/>
      <c r="B81" s="46"/>
      <c r="C81" s="47" t="s">
        <v>281</v>
      </c>
      <c r="D81" s="46"/>
      <c r="E81" s="46"/>
      <c r="F81" s="46"/>
      <c r="G81" s="46"/>
      <c r="H81" s="295">
        <f>I74+I75+I77+I78+I79</f>
        <v>165498.13</v>
      </c>
      <c r="I81" s="295"/>
      <c r="J81" s="295">
        <f>K74+K75+K77+K78+K79</f>
        <v>2132262.7999999998</v>
      </c>
      <c r="K81" s="295"/>
      <c r="L81" s="120"/>
      <c r="BD81" s="37">
        <f>I74+I75+I77+I78+I79</f>
        <v>165498.13</v>
      </c>
      <c r="BE81" s="37">
        <f>K74+K75+K77+K78+K79</f>
        <v>2132262.7999999998</v>
      </c>
      <c r="BM81">
        <f>IF(Source!BI33&lt;=1,I74+I75+I77+I78+I79-0, 0)</f>
        <v>165498.13</v>
      </c>
      <c r="BN81">
        <f>IF(Source!BI33=2,I74+I75+I77+I78+I79-0, 0)</f>
        <v>0</v>
      </c>
      <c r="BO81">
        <f>IF(Source!BI33=3,I74+I75+I77+I78+I79-0, 0)</f>
        <v>0</v>
      </c>
      <c r="BP81">
        <f>IF(Source!BI33=4,I74+I75+I77+I78+I79,0)</f>
        <v>0</v>
      </c>
    </row>
    <row r="83" spans="1:79" ht="42.75" x14ac:dyDescent="0.2">
      <c r="A83" s="28" t="str">
        <f>Source!E34</f>
        <v>5</v>
      </c>
      <c r="B83" s="29" t="str">
        <f>Source!F34</f>
        <v>3.47-1-2</v>
      </c>
      <c r="C83" s="29" t="s">
        <v>48</v>
      </c>
      <c r="D83" s="30" t="str">
        <f>Source!H34</f>
        <v>100 м2</v>
      </c>
      <c r="E83" s="11">
        <f>Source!I34</f>
        <v>1535.5</v>
      </c>
      <c r="F83" s="32"/>
      <c r="G83" s="31"/>
      <c r="H83" s="11"/>
      <c r="I83" s="33"/>
      <c r="J83" s="11"/>
      <c r="K83" s="33"/>
      <c r="L83" s="38"/>
      <c r="BF83">
        <f>ROUND((Source!DN34/100)*ROUND((ROUND((Source!AF34*Source!AV34*Source!I34),2)),2), 2)</f>
        <v>299313.17</v>
      </c>
      <c r="BG83">
        <f>Source!X34</f>
        <v>4052156.15</v>
      </c>
      <c r="BH83">
        <f>ROUND((Source!DO34/100)*ROUND((ROUND((Source!AF34*Source!AV34*Source!I34),2)),2), 2)</f>
        <v>161661.13</v>
      </c>
      <c r="BI83">
        <f>Source!Y34</f>
        <v>1867169.99</v>
      </c>
      <c r="BJ83">
        <f>ROUND((175/100)*ROUND((ROUND((Source!AE34*Source!AV34*Source!I34),2)),2), 2)</f>
        <v>0</v>
      </c>
      <c r="BK83">
        <f>ROUND((157/100)*ROUND(ROUND((ROUND((Source!AE34*Source!AV34*Source!I34),2)*Source!BS34),2), 2), 2)</f>
        <v>0</v>
      </c>
    </row>
    <row r="84" spans="1:79" x14ac:dyDescent="0.2">
      <c r="C84" s="34" t="str">
        <f>"Объем: "&amp;Source!I34&amp;"=(15355/"&amp;"0,1)/"&amp;"100"</f>
        <v>Объем: 1535,5=(15355/0,1)/100</v>
      </c>
    </row>
    <row r="85" spans="1:79" ht="14.25" x14ac:dyDescent="0.2">
      <c r="A85" s="28"/>
      <c r="B85" s="29"/>
      <c r="C85" s="29" t="s">
        <v>271</v>
      </c>
      <c r="D85" s="30"/>
      <c r="E85" s="11"/>
      <c r="F85" s="32">
        <f>Source!AO34</f>
        <v>104.24</v>
      </c>
      <c r="G85" s="31" t="str">
        <f>Source!DG34</f>
        <v/>
      </c>
      <c r="H85" s="11">
        <f>Source!AV34</f>
        <v>1</v>
      </c>
      <c r="I85" s="33">
        <f>ROUND((ROUND((Source!AF34*Source!AV34*Source!I34),2)),2)</f>
        <v>160060.51999999999</v>
      </c>
      <c r="J85" s="11">
        <f>IF(Source!BA34&lt;&gt; 0, Source!BA34, 1)</f>
        <v>24.82</v>
      </c>
      <c r="K85" s="33">
        <f>Source!S34</f>
        <v>3972702.11</v>
      </c>
      <c r="L85" s="38"/>
      <c r="BL85">
        <f>I85</f>
        <v>160060.51999999999</v>
      </c>
    </row>
    <row r="86" spans="1:79" ht="14.25" x14ac:dyDescent="0.2">
      <c r="A86" s="28"/>
      <c r="B86" s="29"/>
      <c r="C86" s="29" t="s">
        <v>275</v>
      </c>
      <c r="D86" s="30" t="s">
        <v>276</v>
      </c>
      <c r="E86" s="11">
        <f>Source!DN34</f>
        <v>187</v>
      </c>
      <c r="F86" s="32"/>
      <c r="G86" s="31"/>
      <c r="H86" s="11"/>
      <c r="I86" s="33">
        <f>SUM(BF83:BF85)</f>
        <v>299313.17</v>
      </c>
      <c r="J86" s="11">
        <f>Source!BZ34</f>
        <v>102</v>
      </c>
      <c r="K86" s="33">
        <f>SUM(BG83:BG85)</f>
        <v>4052156.15</v>
      </c>
      <c r="L86" s="38"/>
    </row>
    <row r="87" spans="1:79" ht="14.25" x14ac:dyDescent="0.2">
      <c r="A87" s="28"/>
      <c r="B87" s="29"/>
      <c r="C87" s="29" t="s">
        <v>277</v>
      </c>
      <c r="D87" s="30" t="s">
        <v>276</v>
      </c>
      <c r="E87" s="11">
        <f>Source!DO34</f>
        <v>101</v>
      </c>
      <c r="F87" s="32"/>
      <c r="G87" s="31"/>
      <c r="H87" s="11"/>
      <c r="I87" s="33">
        <f>SUM(BH83:BH86)</f>
        <v>161661.13</v>
      </c>
      <c r="J87" s="11">
        <f>Source!CA34</f>
        <v>47</v>
      </c>
      <c r="K87" s="33">
        <f>SUM(BI83:BI86)</f>
        <v>1867169.99</v>
      </c>
      <c r="L87" s="38"/>
    </row>
    <row r="88" spans="1:79" ht="14.25" x14ac:dyDescent="0.2">
      <c r="A88" s="39"/>
      <c r="B88" s="40"/>
      <c r="C88" s="40" t="s">
        <v>279</v>
      </c>
      <c r="D88" s="41" t="s">
        <v>280</v>
      </c>
      <c r="E88" s="42">
        <f>Source!AQ34</f>
        <v>10.199999999999999</v>
      </c>
      <c r="F88" s="43"/>
      <c r="G88" s="44" t="str">
        <f>Source!DI34</f>
        <v/>
      </c>
      <c r="H88" s="42">
        <f>Source!AV34</f>
        <v>1</v>
      </c>
      <c r="I88" s="45">
        <f>Source!U34</f>
        <v>15662.099999999999</v>
      </c>
      <c r="J88" s="42"/>
      <c r="K88" s="45"/>
      <c r="L88" s="119"/>
      <c r="BQ88" s="37">
        <f>I88</f>
        <v>15662.099999999999</v>
      </c>
    </row>
    <row r="89" spans="1:79" ht="15" x14ac:dyDescent="0.25">
      <c r="A89" s="46"/>
      <c r="B89" s="46"/>
      <c r="C89" s="47" t="s">
        <v>281</v>
      </c>
      <c r="D89" s="46"/>
      <c r="E89" s="46"/>
      <c r="F89" s="46"/>
      <c r="G89" s="46"/>
      <c r="H89" s="295">
        <f>I85+I86+I87</f>
        <v>621034.81999999995</v>
      </c>
      <c r="I89" s="295"/>
      <c r="J89" s="295">
        <f>K85+K86+K87</f>
        <v>9892028.25</v>
      </c>
      <c r="K89" s="295"/>
      <c r="L89" s="120"/>
      <c r="BD89" s="37">
        <f>I85+I86+I87</f>
        <v>621034.81999999995</v>
      </c>
      <c r="BE89" s="37">
        <f>K85+K86+K87</f>
        <v>9892028.25</v>
      </c>
      <c r="BM89">
        <f>IF(Source!BI34&lt;=1,I85+I86+I87-0, 0)</f>
        <v>621034.81999999995</v>
      </c>
      <c r="BN89">
        <f>IF(Source!BI34=2,I85+I86+I87-0, 0)</f>
        <v>0</v>
      </c>
      <c r="BO89">
        <f>IF(Source!BI34=3,I85+I86+I87-0, 0)</f>
        <v>0</v>
      </c>
      <c r="BP89">
        <f>IF(Source!BI34=4,I85+I86+I87,0)</f>
        <v>0</v>
      </c>
    </row>
    <row r="92" spans="1:79" ht="15" x14ac:dyDescent="0.25">
      <c r="A92" s="307" t="str">
        <f>CONCATENATE("Итого по разделу: ",IF(Source!G36&lt;&gt;"Новый раздел", Source!G36, ""))</f>
        <v>Итого по разделу: Посадка деревьев с комом земли 1,5х1,5х0,65 м - 4625 шт.</v>
      </c>
      <c r="B92" s="307"/>
      <c r="C92" s="307"/>
      <c r="D92" s="307"/>
      <c r="E92" s="307"/>
      <c r="F92" s="307"/>
      <c r="G92" s="307"/>
      <c r="H92" s="305">
        <f>SUM(BD36:BD91)</f>
        <v>6102078.1600000011</v>
      </c>
      <c r="I92" s="306"/>
      <c r="J92" s="305">
        <f>SUM(BE36:BE91)</f>
        <v>71888066.669999987</v>
      </c>
      <c r="K92" s="306"/>
      <c r="L92" s="49"/>
      <c r="CA92" s="50" t="str">
        <f>CONCATENATE("Итого по разделу: ",IF(Source!G36&lt;&gt;"Новый раздел", Source!G36, ""))</f>
        <v>Итого по разделу: Посадка деревьев с комом земли 1,5х1,5х0,65 м - 4625 шт.</v>
      </c>
    </row>
    <row r="93" spans="1:79" hidden="1" x14ac:dyDescent="0.2"/>
    <row r="94" spans="1:79" hidden="1" x14ac:dyDescent="0.2"/>
    <row r="96" spans="1:79" ht="16.5" x14ac:dyDescent="0.25">
      <c r="A96" s="294" t="str">
        <f>CONCATENATE("Раздел: ",IF(Source!G66&lt;&gt;"Новый раздел", Source!G66, ""))</f>
        <v>Раздел: Восстановление отпада деревьев с комом земли 1,5х1,5х0,65 м - 229 шт.</v>
      </c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7"/>
    </row>
    <row r="97" spans="1:69" ht="71.25" x14ac:dyDescent="0.2">
      <c r="A97" s="28" t="str">
        <f>Source!E70</f>
        <v>6</v>
      </c>
      <c r="B97" s="29" t="str">
        <f>Source!F70</f>
        <v>3.47-3-21</v>
      </c>
      <c r="C97" s="29" t="s">
        <v>108</v>
      </c>
      <c r="D97" s="30" t="str">
        <f>Source!H70</f>
        <v>10 ям</v>
      </c>
      <c r="E97" s="11">
        <f>Source!I70</f>
        <v>17.175000000000001</v>
      </c>
      <c r="F97" s="32"/>
      <c r="G97" s="31"/>
      <c r="H97" s="11"/>
      <c r="I97" s="33"/>
      <c r="J97" s="11"/>
      <c r="K97" s="33"/>
      <c r="L97" s="38"/>
      <c r="BF97">
        <f>ROUND((Source!DN70/100)*ROUND((ROUND((Source!AF70*Source!AV70*Source!I70),2)),2), 2)</f>
        <v>8482.49</v>
      </c>
      <c r="BG97">
        <f>Source!X70</f>
        <v>114837.47</v>
      </c>
      <c r="BH97">
        <f>ROUND((Source!DO70/100)*ROUND((ROUND((Source!AF70*Source!AV70*Source!I70),2)),2), 2)</f>
        <v>4581.45</v>
      </c>
      <c r="BI97">
        <f>Source!Y70</f>
        <v>52915.3</v>
      </c>
      <c r="BJ97">
        <f>ROUND((175/100)*ROUND((ROUND((Source!AE70*Source!AV70*Source!I70),2)),2), 2)</f>
        <v>1279.5</v>
      </c>
      <c r="BK97">
        <f>ROUND((157/100)*ROUND(ROUND((ROUND((Source!AE70*Source!AV70*Source!I70),2)*Source!BS70),2), 2), 2)</f>
        <v>28490.62</v>
      </c>
    </row>
    <row r="98" spans="1:69" x14ac:dyDescent="0.2">
      <c r="C98" s="34" t="str">
        <f>"Объем: "&amp;Source!I70&amp;"=(229*"&amp;"0,75)/"&amp;"10"</f>
        <v>Объем: 17,175=(229*0,75)/10</v>
      </c>
    </row>
    <row r="99" spans="1:69" ht="14.25" x14ac:dyDescent="0.2">
      <c r="A99" s="28"/>
      <c r="B99" s="29"/>
      <c r="C99" s="29" t="s">
        <v>271</v>
      </c>
      <c r="D99" s="30"/>
      <c r="E99" s="11"/>
      <c r="F99" s="32">
        <f>Source!AO70</f>
        <v>264.11</v>
      </c>
      <c r="G99" s="31" t="str">
        <f>Source!DG70</f>
        <v/>
      </c>
      <c r="H99" s="11">
        <f>Source!AV70</f>
        <v>1</v>
      </c>
      <c r="I99" s="33">
        <f>ROUND((ROUND((Source!AF70*Source!AV70*Source!I70),2)),2)</f>
        <v>4536.09</v>
      </c>
      <c r="J99" s="11">
        <f>IF(Source!BA70&lt;&gt; 0, Source!BA70, 1)</f>
        <v>24.82</v>
      </c>
      <c r="K99" s="33">
        <f>Source!S70</f>
        <v>112585.75</v>
      </c>
      <c r="L99" s="38"/>
      <c r="BL99">
        <f>I99</f>
        <v>4536.09</v>
      </c>
    </row>
    <row r="100" spans="1:69" ht="14.25" x14ac:dyDescent="0.2">
      <c r="A100" s="28"/>
      <c r="B100" s="29"/>
      <c r="C100" s="29" t="s">
        <v>272</v>
      </c>
      <c r="D100" s="30"/>
      <c r="E100" s="11"/>
      <c r="F100" s="32">
        <f>Source!AM70</f>
        <v>163.19999999999999</v>
      </c>
      <c r="G100" s="31" t="str">
        <f>Source!DE70</f>
        <v/>
      </c>
      <c r="H100" s="11">
        <f>Source!AV70</f>
        <v>1</v>
      </c>
      <c r="I100" s="33">
        <f>(ROUND((ROUND(((Source!ET70)*Source!AV70*Source!I70),2)),2)+ROUND((ROUND(((Source!AE70-(Source!EU70))*Source!AV70*Source!I70),2)),2))</f>
        <v>2802.96</v>
      </c>
      <c r="J100" s="11">
        <f>IF(Source!BB70&lt;&gt; 0, Source!BB70, 1)</f>
        <v>10.59</v>
      </c>
      <c r="K100" s="33">
        <f>Source!Q70</f>
        <v>29683.35</v>
      </c>
      <c r="L100" s="38"/>
    </row>
    <row r="101" spans="1:69" ht="14.25" x14ac:dyDescent="0.2">
      <c r="A101" s="28"/>
      <c r="B101" s="29"/>
      <c r="C101" s="29" t="s">
        <v>273</v>
      </c>
      <c r="D101" s="30"/>
      <c r="E101" s="11"/>
      <c r="F101" s="32">
        <f>Source!AN70</f>
        <v>42.57</v>
      </c>
      <c r="G101" s="31" t="str">
        <f>Source!DF70</f>
        <v/>
      </c>
      <c r="H101" s="11">
        <f>Source!AV70</f>
        <v>1</v>
      </c>
      <c r="I101" s="35">
        <f>ROUND((ROUND((Source!AE70*Source!AV70*Source!I70),2)),2)</f>
        <v>731.14</v>
      </c>
      <c r="J101" s="11">
        <f>IF(Source!BS70&lt;&gt; 0, Source!BS70, 1)</f>
        <v>24.82</v>
      </c>
      <c r="K101" s="35">
        <f>Source!R70</f>
        <v>18146.89</v>
      </c>
      <c r="L101" s="35"/>
      <c r="BL101">
        <f>I101</f>
        <v>731.14</v>
      </c>
    </row>
    <row r="102" spans="1:69" ht="14.25" x14ac:dyDescent="0.2">
      <c r="A102" s="28"/>
      <c r="B102" s="29"/>
      <c r="C102" s="29" t="s">
        <v>275</v>
      </c>
      <c r="D102" s="30" t="s">
        <v>276</v>
      </c>
      <c r="E102" s="11">
        <f>Source!DN70</f>
        <v>187</v>
      </c>
      <c r="F102" s="32"/>
      <c r="G102" s="31"/>
      <c r="H102" s="11"/>
      <c r="I102" s="33">
        <f>SUM(BF97:BF101)</f>
        <v>8482.49</v>
      </c>
      <c r="J102" s="11">
        <f>Source!BZ70</f>
        <v>102</v>
      </c>
      <c r="K102" s="33">
        <f>SUM(BG97:BG101)</f>
        <v>114837.47</v>
      </c>
      <c r="L102" s="38"/>
    </row>
    <row r="103" spans="1:69" ht="14.25" x14ac:dyDescent="0.2">
      <c r="A103" s="28"/>
      <c r="B103" s="29"/>
      <c r="C103" s="29" t="s">
        <v>277</v>
      </c>
      <c r="D103" s="30" t="s">
        <v>276</v>
      </c>
      <c r="E103" s="11">
        <f>Source!DO70</f>
        <v>101</v>
      </c>
      <c r="F103" s="32"/>
      <c r="G103" s="31"/>
      <c r="H103" s="11"/>
      <c r="I103" s="33">
        <f>SUM(BH97:BH102)</f>
        <v>4581.45</v>
      </c>
      <c r="J103" s="11">
        <f>Source!CA70</f>
        <v>47</v>
      </c>
      <c r="K103" s="33">
        <f>SUM(BI97:BI102)</f>
        <v>52915.3</v>
      </c>
      <c r="L103" s="38"/>
    </row>
    <row r="104" spans="1:69" ht="14.25" x14ac:dyDescent="0.2">
      <c r="A104" s="28"/>
      <c r="B104" s="29"/>
      <c r="C104" s="29" t="s">
        <v>278</v>
      </c>
      <c r="D104" s="30" t="s">
        <v>276</v>
      </c>
      <c r="E104" s="11">
        <f>175</f>
        <v>175</v>
      </c>
      <c r="F104" s="32"/>
      <c r="G104" s="31"/>
      <c r="H104" s="11"/>
      <c r="I104" s="33">
        <f>SUM(BJ97:BJ103)</f>
        <v>1279.5</v>
      </c>
      <c r="J104" s="11">
        <f>157</f>
        <v>157</v>
      </c>
      <c r="K104" s="33">
        <f>SUM(BK97:BK103)</f>
        <v>28490.62</v>
      </c>
      <c r="L104" s="38"/>
    </row>
    <row r="105" spans="1:69" ht="14.25" x14ac:dyDescent="0.2">
      <c r="A105" s="39"/>
      <c r="B105" s="40"/>
      <c r="C105" s="40" t="s">
        <v>279</v>
      </c>
      <c r="D105" s="41" t="s">
        <v>280</v>
      </c>
      <c r="E105" s="42">
        <f>Source!AQ70</f>
        <v>26.28</v>
      </c>
      <c r="F105" s="43"/>
      <c r="G105" s="44" t="str">
        <f>Source!DI70</f>
        <v/>
      </c>
      <c r="H105" s="42">
        <f>Source!AV70</f>
        <v>1</v>
      </c>
      <c r="I105" s="45">
        <f>Source!U70</f>
        <v>451.35900000000004</v>
      </c>
      <c r="J105" s="42"/>
      <c r="K105" s="45"/>
      <c r="L105" s="119"/>
      <c r="BQ105" s="37">
        <f>I105</f>
        <v>451.35900000000004</v>
      </c>
    </row>
    <row r="106" spans="1:69" ht="15" x14ac:dyDescent="0.25">
      <c r="A106" s="46"/>
      <c r="B106" s="46"/>
      <c r="C106" s="47" t="s">
        <v>281</v>
      </c>
      <c r="D106" s="46"/>
      <c r="E106" s="46"/>
      <c r="F106" s="46"/>
      <c r="G106" s="46"/>
      <c r="H106" s="295">
        <f>I99+I100+I102+I103+I104</f>
        <v>21682.49</v>
      </c>
      <c r="I106" s="295"/>
      <c r="J106" s="295">
        <f>K99+K100+K102+K103+K104</f>
        <v>338512.49</v>
      </c>
      <c r="K106" s="295"/>
      <c r="L106" s="120"/>
      <c r="BD106" s="37">
        <f>I99+I100+I102+I103+I104</f>
        <v>21682.49</v>
      </c>
      <c r="BE106" s="37">
        <f>K99+K100+K102+K103+K104</f>
        <v>338512.49</v>
      </c>
      <c r="BM106">
        <f>IF(Source!BI70&lt;=1,I99+I100+I102+I103+I104-0, 0)</f>
        <v>21682.49</v>
      </c>
      <c r="BN106">
        <f>IF(Source!BI70=2,I99+I100+I102+I103+I104-0, 0)</f>
        <v>0</v>
      </c>
      <c r="BO106">
        <f>IF(Source!BI70=3,I99+I100+I102+I103+I104-0, 0)</f>
        <v>0</v>
      </c>
      <c r="BP106">
        <f>IF(Source!BI70=4,I99+I100+I102+I103+I104,0)</f>
        <v>0</v>
      </c>
    </row>
    <row r="108" spans="1:69" ht="57" x14ac:dyDescent="0.2">
      <c r="A108" s="28" t="str">
        <f>Source!E71</f>
        <v>7</v>
      </c>
      <c r="B108" s="29" t="str">
        <f>Source!F71</f>
        <v>3.47-5-21</v>
      </c>
      <c r="C108" s="29" t="s">
        <v>112</v>
      </c>
      <c r="D108" s="30" t="str">
        <f>Source!H71</f>
        <v>10 ям</v>
      </c>
      <c r="E108" s="11">
        <f>Source!I71</f>
        <v>5.7249999999999996</v>
      </c>
      <c r="F108" s="32"/>
      <c r="G108" s="31"/>
      <c r="H108" s="11"/>
      <c r="I108" s="33"/>
      <c r="J108" s="11"/>
      <c r="K108" s="33"/>
      <c r="L108" s="38"/>
      <c r="BF108">
        <f>ROUND((Source!DN71/100)*ROUND((ROUND((Source!AF71*Source!AV71*Source!I71),2)),2), 2)</f>
        <v>8014.54</v>
      </c>
      <c r="BG108">
        <f>Source!X71</f>
        <v>108502.3</v>
      </c>
      <c r="BH108">
        <f>ROUND((Source!DO71/100)*ROUND((ROUND((Source!AF71*Source!AV71*Source!I71),2)),2), 2)</f>
        <v>4328.71</v>
      </c>
      <c r="BI108">
        <f>Source!Y71</f>
        <v>49996.160000000003</v>
      </c>
      <c r="BJ108">
        <f>ROUND((175/100)*ROUND((ROUND((Source!AE71*Source!AV71*Source!I71),2)),2), 2)</f>
        <v>0</v>
      </c>
      <c r="BK108">
        <f>ROUND((157/100)*ROUND(ROUND((ROUND((Source!AE71*Source!AV71*Source!I71),2)*Source!BS71),2), 2), 2)</f>
        <v>0</v>
      </c>
    </row>
    <row r="109" spans="1:69" x14ac:dyDescent="0.2">
      <c r="C109" s="34" t="str">
        <f>"Объем: "&amp;Source!I71&amp;"=(229*"&amp;"0,25)/"&amp;"10"</f>
        <v>Объем: 5,725=(229*0,25)/10</v>
      </c>
    </row>
    <row r="110" spans="1:69" ht="14.25" x14ac:dyDescent="0.2">
      <c r="A110" s="28"/>
      <c r="B110" s="29"/>
      <c r="C110" s="29" t="s">
        <v>271</v>
      </c>
      <c r="D110" s="30"/>
      <c r="E110" s="11"/>
      <c r="F110" s="32">
        <f>Source!AO71</f>
        <v>748.62</v>
      </c>
      <c r="G110" s="31" t="str">
        <f>Source!DG71</f>
        <v/>
      </c>
      <c r="H110" s="11">
        <f>Source!AV71</f>
        <v>1</v>
      </c>
      <c r="I110" s="33">
        <f>ROUND((ROUND((Source!AF71*Source!AV71*Source!I71),2)),2)</f>
        <v>4285.8500000000004</v>
      </c>
      <c r="J110" s="11">
        <f>IF(Source!BA71&lt;&gt; 0, Source!BA71, 1)</f>
        <v>24.82</v>
      </c>
      <c r="K110" s="33">
        <f>Source!S71</f>
        <v>106374.8</v>
      </c>
      <c r="L110" s="38"/>
      <c r="BL110">
        <f>I110</f>
        <v>4285.8500000000004</v>
      </c>
    </row>
    <row r="111" spans="1:69" ht="14.25" x14ac:dyDescent="0.2">
      <c r="A111" s="28"/>
      <c r="B111" s="29"/>
      <c r="C111" s="29" t="s">
        <v>275</v>
      </c>
      <c r="D111" s="30" t="s">
        <v>276</v>
      </c>
      <c r="E111" s="11">
        <f>Source!DN71</f>
        <v>187</v>
      </c>
      <c r="F111" s="32"/>
      <c r="G111" s="31"/>
      <c r="H111" s="11"/>
      <c r="I111" s="33">
        <f>SUM(BF108:BF110)</f>
        <v>8014.54</v>
      </c>
      <c r="J111" s="11">
        <f>Source!BZ71</f>
        <v>102</v>
      </c>
      <c r="K111" s="33">
        <f>SUM(BG108:BG110)</f>
        <v>108502.3</v>
      </c>
      <c r="L111" s="38"/>
    </row>
    <row r="112" spans="1:69" ht="14.25" x14ac:dyDescent="0.2">
      <c r="A112" s="28"/>
      <c r="B112" s="29"/>
      <c r="C112" s="29" t="s">
        <v>277</v>
      </c>
      <c r="D112" s="30" t="s">
        <v>276</v>
      </c>
      <c r="E112" s="11">
        <f>Source!DO71</f>
        <v>101</v>
      </c>
      <c r="F112" s="32"/>
      <c r="G112" s="31"/>
      <c r="H112" s="11"/>
      <c r="I112" s="33">
        <f>SUM(BH108:BH111)</f>
        <v>4328.71</v>
      </c>
      <c r="J112" s="11">
        <f>Source!CA71</f>
        <v>47</v>
      </c>
      <c r="K112" s="33">
        <f>SUM(BI108:BI111)</f>
        <v>49996.160000000003</v>
      </c>
      <c r="L112" s="38"/>
    </row>
    <row r="113" spans="1:69" ht="14.25" x14ac:dyDescent="0.2">
      <c r="A113" s="39"/>
      <c r="B113" s="40"/>
      <c r="C113" s="40" t="s">
        <v>279</v>
      </c>
      <c r="D113" s="41" t="s">
        <v>280</v>
      </c>
      <c r="E113" s="42">
        <f>Source!AQ71</f>
        <v>73.25</v>
      </c>
      <c r="F113" s="43"/>
      <c r="G113" s="44" t="str">
        <f>Source!DI71</f>
        <v/>
      </c>
      <c r="H113" s="42">
        <f>Source!AV71</f>
        <v>1</v>
      </c>
      <c r="I113" s="45">
        <f>Source!U71</f>
        <v>419.35624999999999</v>
      </c>
      <c r="J113" s="42"/>
      <c r="K113" s="45"/>
      <c r="L113" s="119"/>
      <c r="BQ113" s="37">
        <f>I113</f>
        <v>419.35624999999999</v>
      </c>
    </row>
    <row r="114" spans="1:69" ht="15" x14ac:dyDescent="0.25">
      <c r="A114" s="46"/>
      <c r="B114" s="46"/>
      <c r="C114" s="47" t="s">
        <v>281</v>
      </c>
      <c r="D114" s="46"/>
      <c r="E114" s="46"/>
      <c r="F114" s="46"/>
      <c r="G114" s="46"/>
      <c r="H114" s="295">
        <f>I110+I111+I112</f>
        <v>16629.099999999999</v>
      </c>
      <c r="I114" s="295"/>
      <c r="J114" s="295">
        <f>K110+K111+K112</f>
        <v>264873.26</v>
      </c>
      <c r="K114" s="295"/>
      <c r="L114" s="120"/>
      <c r="BD114" s="37">
        <f>I110+I111+I112</f>
        <v>16629.099999999999</v>
      </c>
      <c r="BE114" s="37">
        <f>K110+K111+K112</f>
        <v>264873.26</v>
      </c>
      <c r="BM114">
        <f>IF(Source!BI71&lt;=1,I110+I111+I112-0, 0)</f>
        <v>16629.099999999999</v>
      </c>
      <c r="BN114">
        <f>IF(Source!BI71=2,I110+I111+I112-0, 0)</f>
        <v>0</v>
      </c>
      <c r="BO114">
        <f>IF(Source!BI71=3,I110+I111+I112-0, 0)</f>
        <v>0</v>
      </c>
      <c r="BP114">
        <f>IF(Source!BI71=4,I110+I111+I112,0)</f>
        <v>0</v>
      </c>
    </row>
    <row r="116" spans="1:69" ht="71.25" x14ac:dyDescent="0.2">
      <c r="A116" s="28" t="str">
        <f>Source!E72</f>
        <v>8</v>
      </c>
      <c r="B116" s="29" t="str">
        <f>Source!F72</f>
        <v>3.47-7-9</v>
      </c>
      <c r="C116" s="29" t="s">
        <v>36</v>
      </c>
      <c r="D116" s="30" t="str">
        <f>Source!H72</f>
        <v>10 деревьев или кустарников</v>
      </c>
      <c r="E116" s="11">
        <f>Source!I72</f>
        <v>22.9</v>
      </c>
      <c r="F116" s="32"/>
      <c r="G116" s="31"/>
      <c r="H116" s="11"/>
      <c r="I116" s="33"/>
      <c r="J116" s="11"/>
      <c r="K116" s="33"/>
      <c r="L116" s="38"/>
      <c r="BF116">
        <f>ROUND((Source!DN72/100)*ROUND((ROUND((Source!AF72*Source!AV72*Source!I72),2)),2), 2)</f>
        <v>37707.370000000003</v>
      </c>
      <c r="BG116">
        <f>Source!X72</f>
        <v>510489.25</v>
      </c>
      <c r="BH116">
        <f>ROUND((Source!DO72/100)*ROUND((ROUND((Source!AF72*Source!AV72*Source!I72),2)),2), 2)</f>
        <v>20366.009999999998</v>
      </c>
      <c r="BI116">
        <f>Source!Y72</f>
        <v>235225.44</v>
      </c>
      <c r="BJ116">
        <f>ROUND((175/100)*ROUND((ROUND((Source!AE72*Source!AV72*Source!I72),2)),2), 2)</f>
        <v>3215.22</v>
      </c>
      <c r="BK116">
        <f>ROUND((157/100)*ROUND(ROUND((ROUND((Source!AE72*Source!AV72*Source!I72),2)*Source!BS72),2), 2), 2)</f>
        <v>71593.63</v>
      </c>
    </row>
    <row r="117" spans="1:69" x14ac:dyDescent="0.2">
      <c r="C117" s="34" t="str">
        <f>"Объем: "&amp;Source!I72&amp;"=229/"&amp;"10"</f>
        <v>Объем: 22,9=229/10</v>
      </c>
    </row>
    <row r="118" spans="1:69" ht="14.25" x14ac:dyDescent="0.2">
      <c r="A118" s="28"/>
      <c r="B118" s="29"/>
      <c r="C118" s="29" t="s">
        <v>271</v>
      </c>
      <c r="D118" s="30"/>
      <c r="E118" s="11"/>
      <c r="F118" s="32">
        <f>Source!AO72</f>
        <v>880.54</v>
      </c>
      <c r="G118" s="31" t="str">
        <f>Source!DG72</f>
        <v/>
      </c>
      <c r="H118" s="11">
        <f>Source!AV72</f>
        <v>1</v>
      </c>
      <c r="I118" s="33">
        <f>ROUND((ROUND((Source!AF72*Source!AV72*Source!I72),2)),2)</f>
        <v>20164.37</v>
      </c>
      <c r="J118" s="11">
        <f>IF(Source!BA72&lt;&gt; 0, Source!BA72, 1)</f>
        <v>24.82</v>
      </c>
      <c r="K118" s="33">
        <f>Source!S72</f>
        <v>500479.66</v>
      </c>
      <c r="L118" s="38"/>
      <c r="BL118">
        <f>I118</f>
        <v>20164.37</v>
      </c>
    </row>
    <row r="119" spans="1:69" ht="14.25" x14ac:dyDescent="0.2">
      <c r="A119" s="28"/>
      <c r="B119" s="29"/>
      <c r="C119" s="29" t="s">
        <v>272</v>
      </c>
      <c r="D119" s="30"/>
      <c r="E119" s="11"/>
      <c r="F119" s="32">
        <f>Source!AM72</f>
        <v>1077.3</v>
      </c>
      <c r="G119" s="31" t="str">
        <f>Source!DE72</f>
        <v/>
      </c>
      <c r="H119" s="11">
        <f>Source!AV72</f>
        <v>1</v>
      </c>
      <c r="I119" s="33">
        <f>(ROUND((ROUND(((Source!ET72)*Source!AV72*Source!I72),2)),2)+ROUND((ROUND(((Source!AE72-(Source!EU72))*Source!AV72*Source!I72),2)),2))</f>
        <v>24670.17</v>
      </c>
      <c r="J119" s="11">
        <f>IF(Source!BB72&lt;&gt; 0, Source!BB72, 1)</f>
        <v>8.19</v>
      </c>
      <c r="K119" s="33">
        <f>Source!Q72</f>
        <v>202048.69</v>
      </c>
      <c r="L119" s="38"/>
    </row>
    <row r="120" spans="1:69" ht="14.25" x14ac:dyDescent="0.2">
      <c r="A120" s="28"/>
      <c r="B120" s="29"/>
      <c r="C120" s="29" t="s">
        <v>273</v>
      </c>
      <c r="D120" s="30"/>
      <c r="E120" s="11"/>
      <c r="F120" s="32">
        <f>Source!AN72</f>
        <v>80.23</v>
      </c>
      <c r="G120" s="31" t="str">
        <f>Source!DF72</f>
        <v/>
      </c>
      <c r="H120" s="11">
        <f>Source!AV72</f>
        <v>1</v>
      </c>
      <c r="I120" s="35">
        <f>ROUND((ROUND((Source!AE72*Source!AV72*Source!I72),2)),2)</f>
        <v>1837.27</v>
      </c>
      <c r="J120" s="11">
        <f>IF(Source!BS72&lt;&gt; 0, Source!BS72, 1)</f>
        <v>24.82</v>
      </c>
      <c r="K120" s="35">
        <f>Source!R72</f>
        <v>45601.04</v>
      </c>
      <c r="L120" s="35"/>
      <c r="BL120">
        <f>I120</f>
        <v>1837.27</v>
      </c>
    </row>
    <row r="121" spans="1:69" ht="14.25" x14ac:dyDescent="0.2">
      <c r="A121" s="28"/>
      <c r="B121" s="29"/>
      <c r="C121" s="29" t="s">
        <v>274</v>
      </c>
      <c r="D121" s="30"/>
      <c r="E121" s="11"/>
      <c r="F121" s="32">
        <f>Source!AL72</f>
        <v>113.32</v>
      </c>
      <c r="G121" s="31" t="str">
        <f>Source!DD72</f>
        <v/>
      </c>
      <c r="H121" s="11">
        <f>Source!AW72</f>
        <v>1</v>
      </c>
      <c r="I121" s="33">
        <f>ROUND((ROUND((Source!AC72*Source!AW72*Source!I72),2)),2)</f>
        <v>2595.0300000000002</v>
      </c>
      <c r="J121" s="11">
        <f>IF(Source!BC72&lt;&gt; 0, Source!BC72, 1)</f>
        <v>5.36</v>
      </c>
      <c r="K121" s="33">
        <f>Source!P72</f>
        <v>13909.36</v>
      </c>
      <c r="L121" s="38"/>
    </row>
    <row r="122" spans="1:69" ht="14.25" x14ac:dyDescent="0.2">
      <c r="A122" s="28"/>
      <c r="B122" s="29"/>
      <c r="C122" s="29" t="s">
        <v>275</v>
      </c>
      <c r="D122" s="30" t="s">
        <v>276</v>
      </c>
      <c r="E122" s="11">
        <f>Source!DN72</f>
        <v>187</v>
      </c>
      <c r="F122" s="32"/>
      <c r="G122" s="31"/>
      <c r="H122" s="11"/>
      <c r="I122" s="33">
        <f>SUM(BF116:BF121)</f>
        <v>37707.370000000003</v>
      </c>
      <c r="J122" s="11">
        <f>Source!BZ72</f>
        <v>102</v>
      </c>
      <c r="K122" s="33">
        <f>SUM(BG116:BG121)</f>
        <v>510489.25</v>
      </c>
      <c r="L122" s="38"/>
    </row>
    <row r="123" spans="1:69" ht="14.25" x14ac:dyDescent="0.2">
      <c r="A123" s="28"/>
      <c r="B123" s="29"/>
      <c r="C123" s="29" t="s">
        <v>277</v>
      </c>
      <c r="D123" s="30" t="s">
        <v>276</v>
      </c>
      <c r="E123" s="11">
        <f>Source!DO72</f>
        <v>101</v>
      </c>
      <c r="F123" s="32"/>
      <c r="G123" s="31"/>
      <c r="H123" s="11"/>
      <c r="I123" s="33">
        <f>SUM(BH116:BH122)</f>
        <v>20366.009999999998</v>
      </c>
      <c r="J123" s="11">
        <f>Source!CA72</f>
        <v>47</v>
      </c>
      <c r="K123" s="33">
        <f>SUM(BI116:BI122)</f>
        <v>235225.44</v>
      </c>
      <c r="L123" s="38"/>
    </row>
    <row r="124" spans="1:69" ht="14.25" x14ac:dyDescent="0.2">
      <c r="A124" s="28"/>
      <c r="B124" s="29"/>
      <c r="C124" s="29" t="s">
        <v>278</v>
      </c>
      <c r="D124" s="30" t="s">
        <v>276</v>
      </c>
      <c r="E124" s="11">
        <f>175</f>
        <v>175</v>
      </c>
      <c r="F124" s="32"/>
      <c r="G124" s="31"/>
      <c r="H124" s="11"/>
      <c r="I124" s="33">
        <f>SUM(BJ116:BJ123)</f>
        <v>3215.22</v>
      </c>
      <c r="J124" s="11">
        <f>157</f>
        <v>157</v>
      </c>
      <c r="K124" s="33">
        <f>SUM(BK116:BK123)</f>
        <v>71593.63</v>
      </c>
      <c r="L124" s="38"/>
    </row>
    <row r="125" spans="1:69" ht="14.25" x14ac:dyDescent="0.2">
      <c r="A125" s="39"/>
      <c r="B125" s="40"/>
      <c r="C125" s="40" t="s">
        <v>279</v>
      </c>
      <c r="D125" s="41" t="s">
        <v>280</v>
      </c>
      <c r="E125" s="42">
        <f>Source!AQ72</f>
        <v>70.5</v>
      </c>
      <c r="F125" s="43"/>
      <c r="G125" s="44" t="str">
        <f>Source!DI72</f>
        <v/>
      </c>
      <c r="H125" s="42">
        <f>Source!AV72</f>
        <v>1</v>
      </c>
      <c r="I125" s="45">
        <f>Source!U72</f>
        <v>1614.4499999999998</v>
      </c>
      <c r="J125" s="42"/>
      <c r="K125" s="45"/>
      <c r="L125" s="119"/>
      <c r="BQ125" s="37">
        <f>I125</f>
        <v>1614.4499999999998</v>
      </c>
    </row>
    <row r="126" spans="1:69" ht="15" x14ac:dyDescent="0.25">
      <c r="A126" s="46"/>
      <c r="B126" s="46"/>
      <c r="C126" s="47" t="s">
        <v>281</v>
      </c>
      <c r="D126" s="46"/>
      <c r="E126" s="46"/>
      <c r="F126" s="46"/>
      <c r="G126" s="46"/>
      <c r="H126" s="295">
        <f>I118+I119+I121+I122+I123+I124</f>
        <v>108718.17</v>
      </c>
      <c r="I126" s="295"/>
      <c r="J126" s="295">
        <f>K118+K119+K121+K122+K123+K124</f>
        <v>1533746.0299999998</v>
      </c>
      <c r="K126" s="295"/>
      <c r="L126" s="120"/>
      <c r="BD126" s="37">
        <f>I118+I119+I121+I122+I123+I124</f>
        <v>108718.17</v>
      </c>
      <c r="BE126" s="37">
        <f>K118+K119+K121+K122+K123+K124</f>
        <v>1533746.0299999998</v>
      </c>
      <c r="BM126">
        <f>IF(Source!BI72&lt;=1,I118+I119+I121+I122+I123+I124-0, 0)</f>
        <v>108718.17</v>
      </c>
      <c r="BN126">
        <f>IF(Source!BI72=2,I118+I119+I121+I122+I123+I124-0, 0)</f>
        <v>0</v>
      </c>
      <c r="BO126">
        <f>IF(Source!BI72=3,I118+I119+I121+I122+I123+I124-0, 0)</f>
        <v>0</v>
      </c>
      <c r="BP126">
        <f>IF(Source!BI72=4,I118+I119+I121+I122+I123+I124,0)</f>
        <v>0</v>
      </c>
    </row>
    <row r="129" spans="1:79" ht="30" x14ac:dyDescent="0.25">
      <c r="A129" s="307" t="str">
        <f>CONCATENATE("Итого по разделу: ",IF(Source!G74&lt;&gt;"Новый раздел", Source!G74, ""))</f>
        <v>Итого по разделу: Восстановление отпада деревьев с комом земли 1,5х1,5х0,65 м - 229 шт.</v>
      </c>
      <c r="B129" s="307"/>
      <c r="C129" s="307"/>
      <c r="D129" s="307"/>
      <c r="E129" s="307"/>
      <c r="F129" s="307"/>
      <c r="G129" s="307"/>
      <c r="H129" s="305">
        <f>SUM(BD96:BD128)</f>
        <v>147029.76000000001</v>
      </c>
      <c r="I129" s="306"/>
      <c r="J129" s="305">
        <f>SUM(BE96:BE128)</f>
        <v>2137131.7799999998</v>
      </c>
      <c r="K129" s="306"/>
      <c r="L129" s="49"/>
      <c r="CA129" s="50" t="str">
        <f>CONCATENATE("Итого по разделу: ",IF(Source!G74&lt;&gt;"Новый раздел", Source!G74, ""))</f>
        <v>Итого по разделу: Восстановление отпада деревьев с комом земли 1,5х1,5х0,65 м - 229 шт.</v>
      </c>
    </row>
    <row r="130" spans="1:79" hidden="1" x14ac:dyDescent="0.2"/>
    <row r="131" spans="1:79" hidden="1" x14ac:dyDescent="0.2"/>
    <row r="133" spans="1:79" ht="16.5" x14ac:dyDescent="0.25">
      <c r="A133" s="294" t="str">
        <f>CONCATENATE("Раздел: ",IF(Source!G104&lt;&gt;"Новый раздел", Source!G104, ""))</f>
        <v>Раздел: Уход за деревьями с комом земли 1,5х1,5х0,65 м - 4625 шт.</v>
      </c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7"/>
    </row>
    <row r="134" spans="1:79" ht="42.75" x14ac:dyDescent="0.2">
      <c r="A134" s="28" t="str">
        <f>Source!E108</f>
        <v>9</v>
      </c>
      <c r="B134" s="29" t="str">
        <f>Source!F108</f>
        <v>3.47-48-1</v>
      </c>
      <c r="C134" s="29" t="s">
        <v>118</v>
      </c>
      <c r="D134" s="30" t="str">
        <f>Source!H108</f>
        <v>1 м3 выливаемой воды</v>
      </c>
      <c r="E134" s="11">
        <f>Source!I108</f>
        <v>799.2</v>
      </c>
      <c r="F134" s="32"/>
      <c r="G134" s="31"/>
      <c r="H134" s="11"/>
      <c r="I134" s="33"/>
      <c r="J134" s="11"/>
      <c r="K134" s="33"/>
      <c r="L134" s="38"/>
      <c r="BF134">
        <f>ROUND((Source!DN108/100)*ROUND((ROUND((Source!AF108*Source!AV108*Source!I108),2)),2), 2)</f>
        <v>27618.44</v>
      </c>
      <c r="BG134">
        <f>Source!X108</f>
        <v>373903.48</v>
      </c>
      <c r="BH134">
        <f>ROUND((Source!DO108/100)*ROUND((ROUND((Source!AF108*Source!AV108*Source!I108),2)),2), 2)</f>
        <v>14916.91</v>
      </c>
      <c r="BI134">
        <f>Source!Y108</f>
        <v>172288.86</v>
      </c>
      <c r="BJ134">
        <f>ROUND((175/100)*ROUND((ROUND((Source!AE108*Source!AV108*Source!I108),2)),2), 2)</f>
        <v>17958.03</v>
      </c>
      <c r="BK134">
        <f>ROUND((157/100)*ROUND(ROUND((ROUND((Source!AE108*Source!AV108*Source!I108),2)*Source!BS108),2), 2), 2)</f>
        <v>399872.94</v>
      </c>
    </row>
    <row r="135" spans="1:79" x14ac:dyDescent="0.2">
      <c r="C135" s="34" t="str">
        <f>"Объем: "&amp;Source!I108&amp;"=30*"&amp;"5,76/"&amp;"1000*"&amp;"4625"</f>
        <v>Объем: 799,2=30*5,76/1000*4625</v>
      </c>
    </row>
    <row r="136" spans="1:79" ht="14.25" x14ac:dyDescent="0.2">
      <c r="A136" s="28"/>
      <c r="B136" s="29"/>
      <c r="C136" s="29" t="s">
        <v>271</v>
      </c>
      <c r="D136" s="30"/>
      <c r="E136" s="11"/>
      <c r="F136" s="32">
        <f>Source!AO108</f>
        <v>4.62</v>
      </c>
      <c r="G136" s="31" t="str">
        <f>Source!DG108</f>
        <v>)*4</v>
      </c>
      <c r="H136" s="11">
        <f>Source!AV108</f>
        <v>1</v>
      </c>
      <c r="I136" s="33">
        <f>ROUND((ROUND((Source!AF108*Source!AV108*Source!I108),2)),2)</f>
        <v>14769.22</v>
      </c>
      <c r="J136" s="11">
        <f>IF(Source!BA108&lt;&gt; 0, Source!BA108, 1)</f>
        <v>24.82</v>
      </c>
      <c r="K136" s="33">
        <f>Source!S108</f>
        <v>366572.04</v>
      </c>
      <c r="L136" s="38"/>
      <c r="BL136">
        <f>I136</f>
        <v>14769.22</v>
      </c>
    </row>
    <row r="137" spans="1:79" ht="14.25" x14ac:dyDescent="0.2">
      <c r="A137" s="28"/>
      <c r="B137" s="29"/>
      <c r="C137" s="29" t="s">
        <v>272</v>
      </c>
      <c r="D137" s="30"/>
      <c r="E137" s="11"/>
      <c r="F137" s="32">
        <f>Source!AM108</f>
        <v>59.2</v>
      </c>
      <c r="G137" s="31" t="str">
        <f>Source!DE108</f>
        <v>)*4</v>
      </c>
      <c r="H137" s="11">
        <f>Source!AV108</f>
        <v>1</v>
      </c>
      <c r="I137" s="33">
        <f>(ROUND((ROUND((((Source!ET108*4))*Source!AV108*Source!I108),2)),2)+ROUND((ROUND(((Source!AE108-((Source!EU108*4)))*Source!AV108*Source!I108),2)),2))</f>
        <v>189250.56</v>
      </c>
      <c r="J137" s="11">
        <f>IF(Source!BB108&lt;&gt; 0, Source!BB108, 1)</f>
        <v>7.99</v>
      </c>
      <c r="K137" s="33">
        <f>Source!Q108</f>
        <v>1512111.97</v>
      </c>
      <c r="L137" s="38"/>
    </row>
    <row r="138" spans="1:79" ht="14.25" x14ac:dyDescent="0.2">
      <c r="A138" s="28"/>
      <c r="B138" s="29"/>
      <c r="C138" s="29" t="s">
        <v>273</v>
      </c>
      <c r="D138" s="30"/>
      <c r="E138" s="11"/>
      <c r="F138" s="32">
        <f>Source!AN108</f>
        <v>3.21</v>
      </c>
      <c r="G138" s="31" t="str">
        <f>Source!DF108</f>
        <v>)*4</v>
      </c>
      <c r="H138" s="11">
        <f>Source!AV108</f>
        <v>1</v>
      </c>
      <c r="I138" s="35">
        <f>ROUND((ROUND((Source!AE108*Source!AV108*Source!I108),2)),2)</f>
        <v>10261.73</v>
      </c>
      <c r="J138" s="11">
        <f>IF(Source!BS108&lt;&gt; 0, Source!BS108, 1)</f>
        <v>24.82</v>
      </c>
      <c r="K138" s="35">
        <f>Source!R108</f>
        <v>254696.14</v>
      </c>
      <c r="L138" s="35"/>
      <c r="BL138">
        <f>I138</f>
        <v>10261.73</v>
      </c>
    </row>
    <row r="139" spans="1:79" ht="14.25" x14ac:dyDescent="0.2">
      <c r="A139" s="28"/>
      <c r="B139" s="29"/>
      <c r="C139" s="29" t="s">
        <v>274</v>
      </c>
      <c r="D139" s="30"/>
      <c r="E139" s="11"/>
      <c r="F139" s="32">
        <f>Source!AL108</f>
        <v>7.07</v>
      </c>
      <c r="G139" s="31" t="str">
        <f>Source!DD108</f>
        <v>)*4</v>
      </c>
      <c r="H139" s="11">
        <f>Source!AW108</f>
        <v>1</v>
      </c>
      <c r="I139" s="33">
        <f>ROUND((ROUND((Source!AC108*Source!AW108*Source!I108),2)),2)</f>
        <v>22601.38</v>
      </c>
      <c r="J139" s="11">
        <f>IF(Source!BC108&lt;&gt; 0, Source!BC108, 1)</f>
        <v>4.99</v>
      </c>
      <c r="K139" s="33">
        <f>Source!P108</f>
        <v>112780.89</v>
      </c>
      <c r="L139" s="38"/>
    </row>
    <row r="140" spans="1:79" ht="14.25" x14ac:dyDescent="0.2">
      <c r="A140" s="28"/>
      <c r="B140" s="29"/>
      <c r="C140" s="29" t="s">
        <v>275</v>
      </c>
      <c r="D140" s="30" t="s">
        <v>276</v>
      </c>
      <c r="E140" s="11">
        <f>Source!DN108</f>
        <v>187</v>
      </c>
      <c r="F140" s="32"/>
      <c r="G140" s="31"/>
      <c r="H140" s="11"/>
      <c r="I140" s="33">
        <f>SUM(BF134:BF139)</f>
        <v>27618.44</v>
      </c>
      <c r="J140" s="11">
        <f>Source!BZ108</f>
        <v>102</v>
      </c>
      <c r="K140" s="33">
        <f>SUM(BG134:BG139)</f>
        <v>373903.48</v>
      </c>
      <c r="L140" s="38"/>
    </row>
    <row r="141" spans="1:79" ht="14.25" x14ac:dyDescent="0.2">
      <c r="A141" s="28"/>
      <c r="B141" s="29"/>
      <c r="C141" s="29" t="s">
        <v>277</v>
      </c>
      <c r="D141" s="30" t="s">
        <v>276</v>
      </c>
      <c r="E141" s="11">
        <f>Source!DO108</f>
        <v>101</v>
      </c>
      <c r="F141" s="32"/>
      <c r="G141" s="31"/>
      <c r="H141" s="11"/>
      <c r="I141" s="33">
        <f>SUM(BH134:BH140)</f>
        <v>14916.91</v>
      </c>
      <c r="J141" s="11">
        <f>Source!CA108</f>
        <v>47</v>
      </c>
      <c r="K141" s="33">
        <f>SUM(BI134:BI140)</f>
        <v>172288.86</v>
      </c>
      <c r="L141" s="38"/>
    </row>
    <row r="142" spans="1:79" ht="14.25" x14ac:dyDescent="0.2">
      <c r="A142" s="28"/>
      <c r="B142" s="29"/>
      <c r="C142" s="29" t="s">
        <v>278</v>
      </c>
      <c r="D142" s="30" t="s">
        <v>276</v>
      </c>
      <c r="E142" s="11">
        <f>175</f>
        <v>175</v>
      </c>
      <c r="F142" s="32"/>
      <c r="G142" s="31"/>
      <c r="H142" s="11"/>
      <c r="I142" s="33">
        <f>SUM(BJ134:BJ141)</f>
        <v>17958.03</v>
      </c>
      <c r="J142" s="11">
        <f>157</f>
        <v>157</v>
      </c>
      <c r="K142" s="33">
        <f>SUM(BK134:BK141)</f>
        <v>399872.94</v>
      </c>
      <c r="L142" s="38"/>
    </row>
    <row r="143" spans="1:79" ht="14.25" x14ac:dyDescent="0.2">
      <c r="A143" s="39"/>
      <c r="B143" s="40"/>
      <c r="C143" s="40" t="s">
        <v>279</v>
      </c>
      <c r="D143" s="41" t="s">
        <v>280</v>
      </c>
      <c r="E143" s="42">
        <f>Source!AQ108</f>
        <v>0.49</v>
      </c>
      <c r="F143" s="43"/>
      <c r="G143" s="44" t="str">
        <f>Source!DI108</f>
        <v>)*4</v>
      </c>
      <c r="H143" s="42">
        <f>Source!AV108</f>
        <v>1</v>
      </c>
      <c r="I143" s="45">
        <f>Source!U108</f>
        <v>1566.432</v>
      </c>
      <c r="J143" s="42"/>
      <c r="K143" s="45"/>
      <c r="L143" s="119"/>
      <c r="BQ143" s="37">
        <f>I143</f>
        <v>1566.432</v>
      </c>
    </row>
    <row r="144" spans="1:79" ht="15" x14ac:dyDescent="0.25">
      <c r="A144" s="46"/>
      <c r="B144" s="46"/>
      <c r="C144" s="47" t="s">
        <v>281</v>
      </c>
      <c r="D144" s="46"/>
      <c r="E144" s="46"/>
      <c r="F144" s="46"/>
      <c r="G144" s="46"/>
      <c r="H144" s="295">
        <f>I136+I137+I139+I140+I141+I142</f>
        <v>287114.54000000004</v>
      </c>
      <c r="I144" s="295"/>
      <c r="J144" s="295">
        <f>K136+K137+K139+K140+K141+K142</f>
        <v>2937530.1799999997</v>
      </c>
      <c r="K144" s="295"/>
      <c r="L144" s="120"/>
      <c r="BD144" s="37">
        <f>I136+I137+I139+I140+I141+I142</f>
        <v>287114.54000000004</v>
      </c>
      <c r="BE144" s="37">
        <f>K136+K137+K139+K140+K141+K142</f>
        <v>2937530.1799999997</v>
      </c>
      <c r="BM144">
        <f>IF(Source!BI108&lt;=1,I136+I137+I139+I140+I141+I142-0, 0)</f>
        <v>287114.54000000004</v>
      </c>
      <c r="BN144">
        <f>IF(Source!BI108=2,I136+I137+I139+I140+I141+I142-0, 0)</f>
        <v>0</v>
      </c>
      <c r="BO144">
        <f>IF(Source!BI108=3,I136+I137+I139+I140+I141+I142-0, 0)</f>
        <v>0</v>
      </c>
      <c r="BP144">
        <f>IF(Source!BI108=4,I136+I137+I139+I140+I141+I142,0)</f>
        <v>0</v>
      </c>
    </row>
    <row r="146" spans="1:79" ht="57" x14ac:dyDescent="0.2">
      <c r="A146" s="28" t="str">
        <f>Source!E109</f>
        <v>10</v>
      </c>
      <c r="B146" s="29" t="str">
        <f>Source!F109</f>
        <v>3.47-49-3</v>
      </c>
      <c r="C146" s="29" t="s">
        <v>126</v>
      </c>
      <c r="D146" s="30" t="str">
        <f>Source!H109</f>
        <v>100 м2 площади лунок или канавок</v>
      </c>
      <c r="E146" s="11">
        <f>Source!I109</f>
        <v>266.39999999999998</v>
      </c>
      <c r="F146" s="32"/>
      <c r="G146" s="31"/>
      <c r="H146" s="11"/>
      <c r="I146" s="33"/>
      <c r="J146" s="11"/>
      <c r="K146" s="33"/>
      <c r="L146" s="38"/>
      <c r="BF146">
        <f>ROUND((Source!DN109/100)*ROUND((ROUND((Source!AF109*Source!AV109*Source!I109),2)),2), 2)</f>
        <v>134206.46</v>
      </c>
      <c r="BG146">
        <f>Source!X109</f>
        <v>1816911.44</v>
      </c>
      <c r="BH146">
        <f>ROUND((Source!DO109/100)*ROUND((ROUND((Source!AF109*Source!AV109*Source!I109),2)),2), 2)</f>
        <v>72485.84</v>
      </c>
      <c r="BI146">
        <f>Source!Y109</f>
        <v>837204.29</v>
      </c>
      <c r="BJ146">
        <f>ROUND((175/100)*ROUND((ROUND((Source!AE109*Source!AV109*Source!I109),2)),2), 2)</f>
        <v>0</v>
      </c>
      <c r="BK146">
        <f>ROUND((157/100)*ROUND(ROUND((ROUND((Source!AE109*Source!AV109*Source!I109),2)*Source!BS109),2), 2), 2)</f>
        <v>0</v>
      </c>
    </row>
    <row r="147" spans="1:79" x14ac:dyDescent="0.2">
      <c r="C147" s="34" t="str">
        <f>"Объем: "&amp;Source!I109&amp;"=(5,76*"&amp;"4625)/"&amp;"100"</f>
        <v>Объем: 266,4=(5,76*4625)/100</v>
      </c>
    </row>
    <row r="148" spans="1:79" ht="14.25" x14ac:dyDescent="0.2">
      <c r="A148" s="28"/>
      <c r="B148" s="29"/>
      <c r="C148" s="29" t="s">
        <v>271</v>
      </c>
      <c r="D148" s="30"/>
      <c r="E148" s="11"/>
      <c r="F148" s="32">
        <f>Source!AO109</f>
        <v>67.349999999999994</v>
      </c>
      <c r="G148" s="31" t="str">
        <f>Source!DG109</f>
        <v>)*4</v>
      </c>
      <c r="H148" s="11">
        <f>Source!AV109</f>
        <v>1</v>
      </c>
      <c r="I148" s="33">
        <f>ROUND((ROUND((Source!AF109*Source!AV109*Source!I109),2)),2)</f>
        <v>71768.160000000003</v>
      </c>
      <c r="J148" s="11">
        <f>IF(Source!BA109&lt;&gt; 0, Source!BA109, 1)</f>
        <v>24.82</v>
      </c>
      <c r="K148" s="33">
        <f>Source!S109</f>
        <v>1781285.73</v>
      </c>
      <c r="L148" s="38"/>
      <c r="BL148">
        <f>I148</f>
        <v>71768.160000000003</v>
      </c>
    </row>
    <row r="149" spans="1:79" ht="14.25" x14ac:dyDescent="0.2">
      <c r="A149" s="28"/>
      <c r="B149" s="29"/>
      <c r="C149" s="29" t="s">
        <v>275</v>
      </c>
      <c r="D149" s="30" t="s">
        <v>276</v>
      </c>
      <c r="E149" s="11">
        <f>Source!DN109</f>
        <v>187</v>
      </c>
      <c r="F149" s="32"/>
      <c r="G149" s="31"/>
      <c r="H149" s="11"/>
      <c r="I149" s="33">
        <f>SUM(BF146:BF148)</f>
        <v>134206.46</v>
      </c>
      <c r="J149" s="11">
        <f>Source!BZ109</f>
        <v>102</v>
      </c>
      <c r="K149" s="33">
        <f>SUM(BG146:BG148)</f>
        <v>1816911.44</v>
      </c>
      <c r="L149" s="38"/>
    </row>
    <row r="150" spans="1:79" ht="14.25" x14ac:dyDescent="0.2">
      <c r="A150" s="28"/>
      <c r="B150" s="29"/>
      <c r="C150" s="29" t="s">
        <v>277</v>
      </c>
      <c r="D150" s="30" t="s">
        <v>276</v>
      </c>
      <c r="E150" s="11">
        <f>Source!DO109</f>
        <v>101</v>
      </c>
      <c r="F150" s="32"/>
      <c r="G150" s="31"/>
      <c r="H150" s="11"/>
      <c r="I150" s="33">
        <f>SUM(BH146:BH149)</f>
        <v>72485.84</v>
      </c>
      <c r="J150" s="11">
        <f>Source!CA109</f>
        <v>47</v>
      </c>
      <c r="K150" s="33">
        <f>SUM(BI146:BI149)</f>
        <v>837204.29</v>
      </c>
      <c r="L150" s="38"/>
    </row>
    <row r="151" spans="1:79" ht="14.25" x14ac:dyDescent="0.2">
      <c r="A151" s="39"/>
      <c r="B151" s="40"/>
      <c r="C151" s="40" t="s">
        <v>279</v>
      </c>
      <c r="D151" s="41" t="s">
        <v>280</v>
      </c>
      <c r="E151" s="42">
        <f>Source!AQ109</f>
        <v>6.59</v>
      </c>
      <c r="F151" s="43"/>
      <c r="G151" s="44" t="str">
        <f>Source!DI109</f>
        <v>)*4</v>
      </c>
      <c r="H151" s="42">
        <f>Source!AV109</f>
        <v>1</v>
      </c>
      <c r="I151" s="45">
        <f>Source!U109</f>
        <v>7022.3039999999992</v>
      </c>
      <c r="J151" s="42"/>
      <c r="K151" s="45"/>
      <c r="L151" s="119"/>
      <c r="BQ151" s="37">
        <f>I151</f>
        <v>7022.3039999999992</v>
      </c>
    </row>
    <row r="152" spans="1:79" ht="15" x14ac:dyDescent="0.25">
      <c r="A152" s="46"/>
      <c r="B152" s="46"/>
      <c r="C152" s="47" t="s">
        <v>281</v>
      </c>
      <c r="D152" s="46"/>
      <c r="E152" s="46"/>
      <c r="F152" s="46"/>
      <c r="G152" s="46"/>
      <c r="H152" s="295">
        <f>I148+I149+I150</f>
        <v>278460.45999999996</v>
      </c>
      <c r="I152" s="295"/>
      <c r="J152" s="295">
        <f>K148+K149+K150</f>
        <v>4435401.46</v>
      </c>
      <c r="K152" s="295"/>
      <c r="L152" s="120"/>
      <c r="BD152" s="37">
        <f>I148+I149+I150</f>
        <v>278460.45999999996</v>
      </c>
      <c r="BE152" s="37">
        <f>K148+K149+K150</f>
        <v>4435401.46</v>
      </c>
      <c r="BM152">
        <f>IF(Source!BI109&lt;=1,I148+I149+I150-0, 0)</f>
        <v>278460.45999999996</v>
      </c>
      <c r="BN152">
        <f>IF(Source!BI109=2,I148+I149+I150-0, 0)</f>
        <v>0</v>
      </c>
      <c r="BO152">
        <f>IF(Source!BI109=3,I148+I149+I150-0, 0)</f>
        <v>0</v>
      </c>
      <c r="BP152">
        <f>IF(Source!BI109=4,I148+I149+I150,0)</f>
        <v>0</v>
      </c>
    </row>
    <row r="155" spans="1:79" ht="15" x14ac:dyDescent="0.25">
      <c r="A155" s="307" t="str">
        <f>CONCATENATE("Итого по разделу: ",IF(Source!G111&lt;&gt;"Новый раздел", Source!G111, ""))</f>
        <v>Итого по разделу: Уход за деревьями с комом земли 1,5х1,5х0,65 м - 4625 шт.</v>
      </c>
      <c r="B155" s="307"/>
      <c r="C155" s="307"/>
      <c r="D155" s="307"/>
      <c r="E155" s="307"/>
      <c r="F155" s="307"/>
      <c r="G155" s="307"/>
      <c r="H155" s="305">
        <f>SUM(BD133:BD154)</f>
        <v>565575</v>
      </c>
      <c r="I155" s="306"/>
      <c r="J155" s="305">
        <f>SUM(BE133:BE154)</f>
        <v>7372931.6399999997</v>
      </c>
      <c r="K155" s="306"/>
      <c r="L155" s="49"/>
      <c r="CA155" s="50" t="str">
        <f>CONCATENATE("Итого по разделу: ",IF(Source!G111&lt;&gt;"Новый раздел", Source!G111, ""))</f>
        <v>Итого по разделу: Уход за деревьями с комом земли 1,5х1,5х0,65 м - 4625 шт.</v>
      </c>
    </row>
    <row r="156" spans="1:79" hidden="1" x14ac:dyDescent="0.2"/>
    <row r="157" spans="1:79" hidden="1" x14ac:dyDescent="0.2"/>
    <row r="159" spans="1:79" ht="16.5" x14ac:dyDescent="0.25">
      <c r="A159" s="294" t="str">
        <f>CONCATENATE("Раздел: ",IF(Source!G141&lt;&gt;"Новый раздел", Source!G141, ""))</f>
        <v>Раздел: Посадка деревьев с комом земли 1,0х1,0х0,6 м - 91 шт.</v>
      </c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7"/>
    </row>
    <row r="160" spans="1:79" ht="85.5" x14ac:dyDescent="0.2">
      <c r="A160" s="28" t="str">
        <f>Source!E145</f>
        <v>11</v>
      </c>
      <c r="B160" s="29" t="str">
        <f>Source!F145</f>
        <v>3.47-3-13</v>
      </c>
      <c r="C160" s="29" t="s">
        <v>132</v>
      </c>
      <c r="D160" s="30" t="str">
        <f>Source!H145</f>
        <v>10 ям</v>
      </c>
      <c r="E160" s="11">
        <f>Source!I145</f>
        <v>6.8250000000000002</v>
      </c>
      <c r="F160" s="32"/>
      <c r="G160" s="31"/>
      <c r="H160" s="11"/>
      <c r="I160" s="33"/>
      <c r="J160" s="11"/>
      <c r="K160" s="33"/>
      <c r="L160" s="38"/>
      <c r="BF160">
        <f>ROUND((Source!DN145/100)*ROUND((ROUND((Source!AF145*Source!AV145*Source!I145),2)),2), 2)</f>
        <v>4627.8900000000003</v>
      </c>
      <c r="BG160">
        <f>Source!X145</f>
        <v>62653.279999999999</v>
      </c>
      <c r="BH160">
        <f>ROUND((Source!DO145/100)*ROUND((ROUND((Source!AF145*Source!AV145*Source!I145),2)),2), 2)</f>
        <v>2499.56</v>
      </c>
      <c r="BI160">
        <f>Source!Y145</f>
        <v>28869.65</v>
      </c>
      <c r="BJ160">
        <f>ROUND((175/100)*ROUND((ROUND((Source!AE145*Source!AV145*Source!I145),2)),2), 2)</f>
        <v>301.58</v>
      </c>
      <c r="BK160">
        <f>ROUND((157/100)*ROUND(ROUND((ROUND((Source!AE145*Source!AV145*Source!I145),2)*Source!BS145),2), 2), 2)</f>
        <v>6715.25</v>
      </c>
    </row>
    <row r="161" spans="1:69" x14ac:dyDescent="0.2">
      <c r="C161" s="34" t="str">
        <f>"Объем: "&amp;Source!I145&amp;"=(91*"&amp;"0,75)/"&amp;"10"</f>
        <v>Объем: 6,825=(91*0,75)/10</v>
      </c>
    </row>
    <row r="162" spans="1:69" ht="14.25" x14ac:dyDescent="0.2">
      <c r="A162" s="28"/>
      <c r="B162" s="29"/>
      <c r="C162" s="29" t="s">
        <v>271</v>
      </c>
      <c r="D162" s="30"/>
      <c r="E162" s="11"/>
      <c r="F162" s="32">
        <f>Source!AO145</f>
        <v>362.61</v>
      </c>
      <c r="G162" s="31" t="str">
        <f>Source!DG145</f>
        <v/>
      </c>
      <c r="H162" s="11">
        <f>Source!AV145</f>
        <v>1</v>
      </c>
      <c r="I162" s="33">
        <f>ROUND((ROUND((Source!AF145*Source!AV145*Source!I145),2)),2)</f>
        <v>2474.81</v>
      </c>
      <c r="J162" s="11">
        <f>IF(Source!BA145&lt;&gt; 0, Source!BA145, 1)</f>
        <v>24.82</v>
      </c>
      <c r="K162" s="33">
        <f>Source!S145</f>
        <v>61424.78</v>
      </c>
      <c r="L162" s="38"/>
      <c r="BL162">
        <f>I162</f>
        <v>2474.81</v>
      </c>
    </row>
    <row r="163" spans="1:69" ht="14.25" x14ac:dyDescent="0.2">
      <c r="A163" s="28"/>
      <c r="B163" s="29"/>
      <c r="C163" s="29" t="s">
        <v>272</v>
      </c>
      <c r="D163" s="30"/>
      <c r="E163" s="11"/>
      <c r="F163" s="32">
        <f>Source!AM145</f>
        <v>96.8</v>
      </c>
      <c r="G163" s="31" t="str">
        <f>Source!DE145</f>
        <v/>
      </c>
      <c r="H163" s="11">
        <f>Source!AV145</f>
        <v>1</v>
      </c>
      <c r="I163" s="33">
        <f>(ROUND((ROUND(((Source!ET145)*Source!AV145*Source!I145),2)),2)+ROUND((ROUND(((Source!AE145-(Source!EU145))*Source!AV145*Source!I145),2)),2))</f>
        <v>660.66</v>
      </c>
      <c r="J163" s="11">
        <f>IF(Source!BB145&lt;&gt; 0, Source!BB145, 1)</f>
        <v>10.59</v>
      </c>
      <c r="K163" s="33">
        <f>Source!Q145</f>
        <v>6996.39</v>
      </c>
      <c r="L163" s="38"/>
    </row>
    <row r="164" spans="1:69" ht="14.25" x14ac:dyDescent="0.2">
      <c r="A164" s="28"/>
      <c r="B164" s="29"/>
      <c r="C164" s="29" t="s">
        <v>273</v>
      </c>
      <c r="D164" s="30"/>
      <c r="E164" s="11"/>
      <c r="F164" s="32">
        <f>Source!AN145</f>
        <v>25.25</v>
      </c>
      <c r="G164" s="31" t="str">
        <f>Source!DF145</f>
        <v/>
      </c>
      <c r="H164" s="11">
        <f>Source!AV145</f>
        <v>1</v>
      </c>
      <c r="I164" s="35">
        <f>ROUND((ROUND((Source!AE145*Source!AV145*Source!I145),2)),2)</f>
        <v>172.33</v>
      </c>
      <c r="J164" s="11">
        <f>IF(Source!BS145&lt;&gt; 0, Source!BS145, 1)</f>
        <v>24.82</v>
      </c>
      <c r="K164" s="35">
        <f>Source!R145</f>
        <v>4277.2299999999996</v>
      </c>
      <c r="L164" s="35"/>
      <c r="BL164">
        <f>I164</f>
        <v>172.33</v>
      </c>
    </row>
    <row r="165" spans="1:69" ht="14.25" x14ac:dyDescent="0.2">
      <c r="A165" s="28"/>
      <c r="B165" s="29"/>
      <c r="C165" s="29" t="s">
        <v>274</v>
      </c>
      <c r="D165" s="30"/>
      <c r="E165" s="11"/>
      <c r="F165" s="32">
        <f>Source!AL145</f>
        <v>1259.1099999999999</v>
      </c>
      <c r="G165" s="31" t="str">
        <f>Source!DD145</f>
        <v/>
      </c>
      <c r="H165" s="11">
        <f>Source!AW145</f>
        <v>1</v>
      </c>
      <c r="I165" s="33">
        <f>ROUND((ROUND((Source!AC145*Source!AW145*Source!I145),2)),2)</f>
        <v>8593.43</v>
      </c>
      <c r="J165" s="11">
        <f>IF(Source!BC145&lt;&gt; 0, Source!BC145, 1)</f>
        <v>2.4</v>
      </c>
      <c r="K165" s="33">
        <f>Source!P145</f>
        <v>20624.23</v>
      </c>
      <c r="L165" s="38"/>
    </row>
    <row r="166" spans="1:69" ht="14.25" x14ac:dyDescent="0.2">
      <c r="A166" s="28" t="str">
        <f>Source!E146</f>
        <v>11,1</v>
      </c>
      <c r="B166" s="29" t="str">
        <f>Source!F146</f>
        <v>1.4-6-1</v>
      </c>
      <c r="C166" s="29" t="s">
        <v>26</v>
      </c>
      <c r="D166" s="30" t="str">
        <f>Source!H146</f>
        <v>м3</v>
      </c>
      <c r="E166" s="11">
        <f>Source!I146</f>
        <v>63.1995</v>
      </c>
      <c r="F166" s="32">
        <f>Source!AK146</f>
        <v>146.84</v>
      </c>
      <c r="G166" s="36" t="s">
        <v>5</v>
      </c>
      <c r="H166" s="11">
        <f>Source!AW146</f>
        <v>1</v>
      </c>
      <c r="I166" s="33">
        <f>ROUND((ROUND((Source!AC146*Source!AW146*Source!I146),2)),2)+(ROUND((ROUND(((Source!ET146)*Source!AV146*Source!I146),2)),2)+ROUND((ROUND(((Source!AE146-(Source!EU146))*Source!AV146*Source!I146),2)),2))+ROUND((ROUND((Source!AF146*Source!AV146*Source!I146),2)),2)</f>
        <v>9280.2099999999991</v>
      </c>
      <c r="J166" s="11">
        <f>IF(Source!BC146&lt;&gt; 0, Source!BC146, 1)</f>
        <v>6.66</v>
      </c>
      <c r="K166" s="33">
        <f>Source!O146</f>
        <v>61806.2</v>
      </c>
      <c r="L166" s="38"/>
      <c r="BF166">
        <f>ROUND((Source!DN146/100)*ROUND((ROUND((Source!AF146*Source!AV146*Source!I146),2)),2), 2)</f>
        <v>0</v>
      </c>
      <c r="BG166">
        <f>Source!X146</f>
        <v>0</v>
      </c>
      <c r="BH166">
        <f>ROUND((Source!DO146/100)*ROUND((ROUND((Source!AF146*Source!AV146*Source!I146),2)),2), 2)</f>
        <v>0</v>
      </c>
      <c r="BI166">
        <f>Source!Y146</f>
        <v>0</v>
      </c>
      <c r="BJ166">
        <f>ROUND((175/100)*ROUND((ROUND((Source!AE146*Source!AV146*Source!I146),2)),2), 2)</f>
        <v>0</v>
      </c>
      <c r="BK166">
        <f>ROUND((157/100)*ROUND(ROUND((ROUND((Source!AE146*Source!AV146*Source!I146),2)*Source!BS146),2), 2), 2)</f>
        <v>0</v>
      </c>
      <c r="BM166">
        <f>IF(Source!BI146&lt;=1,I166, 0)</f>
        <v>9280.2099999999991</v>
      </c>
      <c r="BN166">
        <f>IF(Source!BI146=2,I166, 0)</f>
        <v>0</v>
      </c>
      <c r="BO166">
        <f>IF(Source!BI146=3,I166, 0)</f>
        <v>0</v>
      </c>
      <c r="BP166">
        <f>IF(Source!BI146=4,I166, 0)</f>
        <v>0</v>
      </c>
    </row>
    <row r="167" spans="1:69" ht="14.25" x14ac:dyDescent="0.2">
      <c r="A167" s="28"/>
      <c r="B167" s="29"/>
      <c r="C167" s="29" t="s">
        <v>275</v>
      </c>
      <c r="D167" s="30" t="s">
        <v>276</v>
      </c>
      <c r="E167" s="11">
        <f>Source!DN145</f>
        <v>187</v>
      </c>
      <c r="F167" s="32"/>
      <c r="G167" s="31"/>
      <c r="H167" s="11"/>
      <c r="I167" s="33">
        <f>SUM(BF160:BF166)</f>
        <v>4627.8900000000003</v>
      </c>
      <c r="J167" s="11">
        <f>Source!BZ145</f>
        <v>102</v>
      </c>
      <c r="K167" s="33">
        <f>SUM(BG160:BG166)</f>
        <v>62653.279999999999</v>
      </c>
      <c r="L167" s="38"/>
    </row>
    <row r="168" spans="1:69" ht="14.25" x14ac:dyDescent="0.2">
      <c r="A168" s="28"/>
      <c r="B168" s="29"/>
      <c r="C168" s="29" t="s">
        <v>277</v>
      </c>
      <c r="D168" s="30" t="s">
        <v>276</v>
      </c>
      <c r="E168" s="11">
        <f>Source!DO145</f>
        <v>101</v>
      </c>
      <c r="F168" s="32"/>
      <c r="G168" s="31"/>
      <c r="H168" s="11"/>
      <c r="I168" s="33">
        <f>SUM(BH160:BH167)</f>
        <v>2499.56</v>
      </c>
      <c r="J168" s="11">
        <f>Source!CA145</f>
        <v>47</v>
      </c>
      <c r="K168" s="33">
        <f>SUM(BI160:BI167)</f>
        <v>28869.65</v>
      </c>
      <c r="L168" s="38"/>
    </row>
    <row r="169" spans="1:69" ht="14.25" x14ac:dyDescent="0.2">
      <c r="A169" s="28"/>
      <c r="B169" s="29"/>
      <c r="C169" s="29" t="s">
        <v>278</v>
      </c>
      <c r="D169" s="30" t="s">
        <v>276</v>
      </c>
      <c r="E169" s="11">
        <f>175</f>
        <v>175</v>
      </c>
      <c r="F169" s="32"/>
      <c r="G169" s="31"/>
      <c r="H169" s="11"/>
      <c r="I169" s="33">
        <f>SUM(BJ160:BJ168)</f>
        <v>301.58</v>
      </c>
      <c r="J169" s="11">
        <f>157</f>
        <v>157</v>
      </c>
      <c r="K169" s="33">
        <f>SUM(BK160:BK168)</f>
        <v>6715.25</v>
      </c>
      <c r="L169" s="38"/>
    </row>
    <row r="170" spans="1:69" ht="14.25" x14ac:dyDescent="0.2">
      <c r="A170" s="39"/>
      <c r="B170" s="40"/>
      <c r="C170" s="40" t="s">
        <v>279</v>
      </c>
      <c r="D170" s="41" t="s">
        <v>280</v>
      </c>
      <c r="E170" s="42">
        <f>Source!AQ145</f>
        <v>35.479999999999997</v>
      </c>
      <c r="F170" s="43"/>
      <c r="G170" s="44" t="str">
        <f>Source!DI145</f>
        <v/>
      </c>
      <c r="H170" s="42">
        <f>Source!AV145</f>
        <v>1</v>
      </c>
      <c r="I170" s="45">
        <f>Source!U145</f>
        <v>242.15099999999998</v>
      </c>
      <c r="J170" s="42"/>
      <c r="K170" s="45"/>
      <c r="L170" s="119"/>
      <c r="BQ170" s="37">
        <f>I170</f>
        <v>242.15099999999998</v>
      </c>
    </row>
    <row r="171" spans="1:69" ht="15" x14ac:dyDescent="0.25">
      <c r="A171" s="46"/>
      <c r="B171" s="46"/>
      <c r="C171" s="47" t="s">
        <v>281</v>
      </c>
      <c r="D171" s="46"/>
      <c r="E171" s="46"/>
      <c r="F171" s="46"/>
      <c r="G171" s="46"/>
      <c r="H171" s="295">
        <f>I162+I163+I165+I167+I168+I169+SUM(I166:I166)</f>
        <v>28438.140000000003</v>
      </c>
      <c r="I171" s="295"/>
      <c r="J171" s="295">
        <f>K162+K163+K165+K167+K168+K169+SUM(K166:K166)</f>
        <v>249089.77999999997</v>
      </c>
      <c r="K171" s="295"/>
      <c r="L171" s="120"/>
      <c r="BD171" s="37">
        <f>I162+I163+I165+I167+I168+I169+SUM(I166:I166)</f>
        <v>28438.140000000003</v>
      </c>
      <c r="BE171" s="37">
        <f>K162+K163+K165+K167+K168+K169+SUM(K166:K166)</f>
        <v>249089.77999999997</v>
      </c>
      <c r="BM171">
        <f>IF(Source!BI145&lt;=1,I162+I163+I165+I167+I168+I169-0, 0)</f>
        <v>19157.930000000004</v>
      </c>
      <c r="BN171">
        <f>IF(Source!BI145=2,I162+I163+I165+I167+I168+I169-0, 0)</f>
        <v>0</v>
      </c>
      <c r="BO171">
        <f>IF(Source!BI145=3,I162+I163+I165+I167+I168+I169-0, 0)</f>
        <v>0</v>
      </c>
      <c r="BP171">
        <f>IF(Source!BI145=4,I162+I163+I165+I167+I168+I169,0)</f>
        <v>0</v>
      </c>
    </row>
    <row r="173" spans="1:69" ht="57" x14ac:dyDescent="0.2">
      <c r="A173" s="28" t="str">
        <f>Source!E147</f>
        <v>12</v>
      </c>
      <c r="B173" s="29" t="str">
        <f>Source!F147</f>
        <v>3.47-5-13</v>
      </c>
      <c r="C173" s="29" t="s">
        <v>137</v>
      </c>
      <c r="D173" s="30" t="str">
        <f>Source!H147</f>
        <v>10 ям</v>
      </c>
      <c r="E173" s="11">
        <f>Source!I147</f>
        <v>2.2749999999999999</v>
      </c>
      <c r="F173" s="32"/>
      <c r="G173" s="31"/>
      <c r="H173" s="11"/>
      <c r="I173" s="33"/>
      <c r="J173" s="11"/>
      <c r="K173" s="33"/>
      <c r="L173" s="38"/>
      <c r="BF173">
        <f>ROUND((Source!DN147/100)*ROUND((ROUND((Source!AF147*Source!AV147*Source!I147),2)),2), 2)</f>
        <v>2726.55</v>
      </c>
      <c r="BG173">
        <f>Source!X147</f>
        <v>36912.58</v>
      </c>
      <c r="BH173">
        <f>ROUND((Source!DO147/100)*ROUND((ROUND((Source!AF147*Source!AV147*Source!I147),2)),2), 2)</f>
        <v>1472.63</v>
      </c>
      <c r="BI173">
        <f>Source!Y147</f>
        <v>17008.740000000002</v>
      </c>
      <c r="BJ173">
        <f>ROUND((175/100)*ROUND((ROUND((Source!AE147*Source!AV147*Source!I147),2)),2), 2)</f>
        <v>0</v>
      </c>
      <c r="BK173">
        <f>ROUND((157/100)*ROUND(ROUND((ROUND((Source!AE147*Source!AV147*Source!I147),2)*Source!BS147),2), 2), 2)</f>
        <v>0</v>
      </c>
    </row>
    <row r="174" spans="1:69" x14ac:dyDescent="0.2">
      <c r="C174" s="34" t="str">
        <f>"Объем: "&amp;Source!I147&amp;"=(91*"&amp;"0,25)/"&amp;"10"</f>
        <v>Объем: 2,275=(91*0,25)/10</v>
      </c>
    </row>
    <row r="175" spans="1:69" ht="14.25" x14ac:dyDescent="0.2">
      <c r="A175" s="28"/>
      <c r="B175" s="29"/>
      <c r="C175" s="29" t="s">
        <v>271</v>
      </c>
      <c r="D175" s="30"/>
      <c r="E175" s="11"/>
      <c r="F175" s="32">
        <f>Source!AO147</f>
        <v>640.9</v>
      </c>
      <c r="G175" s="31" t="str">
        <f>Source!DG147</f>
        <v/>
      </c>
      <c r="H175" s="11">
        <f>Source!AV147</f>
        <v>1</v>
      </c>
      <c r="I175" s="33">
        <f>ROUND((ROUND((Source!AF147*Source!AV147*Source!I147),2)),2)</f>
        <v>1458.05</v>
      </c>
      <c r="J175" s="11">
        <f>IF(Source!BA147&lt;&gt; 0, Source!BA147, 1)</f>
        <v>24.82</v>
      </c>
      <c r="K175" s="33">
        <f>Source!S147</f>
        <v>36188.800000000003</v>
      </c>
      <c r="L175" s="38"/>
      <c r="BL175">
        <f>I175</f>
        <v>1458.05</v>
      </c>
    </row>
    <row r="176" spans="1:69" ht="14.25" x14ac:dyDescent="0.2">
      <c r="A176" s="28"/>
      <c r="B176" s="29"/>
      <c r="C176" s="29" t="s">
        <v>274</v>
      </c>
      <c r="D176" s="30"/>
      <c r="E176" s="11"/>
      <c r="F176" s="32">
        <f>Source!AL147</f>
        <v>1259.1099999999999</v>
      </c>
      <c r="G176" s="31" t="str">
        <f>Source!DD147</f>
        <v/>
      </c>
      <c r="H176" s="11">
        <f>Source!AW147</f>
        <v>1</v>
      </c>
      <c r="I176" s="33">
        <f>ROUND((ROUND((Source!AC147*Source!AW147*Source!I147),2)),2)</f>
        <v>2864.48</v>
      </c>
      <c r="J176" s="11">
        <f>IF(Source!BC147&lt;&gt; 0, Source!BC147, 1)</f>
        <v>2.4</v>
      </c>
      <c r="K176" s="33">
        <f>Source!P147</f>
        <v>6874.75</v>
      </c>
      <c r="L176" s="38"/>
    </row>
    <row r="177" spans="1:69" ht="14.25" x14ac:dyDescent="0.2">
      <c r="A177" s="28" t="str">
        <f>Source!E148</f>
        <v>12,1</v>
      </c>
      <c r="B177" s="29" t="str">
        <f>Source!F148</f>
        <v>1.4-6-1</v>
      </c>
      <c r="C177" s="29" t="s">
        <v>26</v>
      </c>
      <c r="D177" s="30" t="str">
        <f>Source!H148</f>
        <v>м3</v>
      </c>
      <c r="E177" s="11">
        <f>Source!I148</f>
        <v>21.066500000000001</v>
      </c>
      <c r="F177" s="32">
        <f>Source!AK148</f>
        <v>146.84</v>
      </c>
      <c r="G177" s="36" t="s">
        <v>5</v>
      </c>
      <c r="H177" s="11">
        <f>Source!AW148</f>
        <v>1</v>
      </c>
      <c r="I177" s="33">
        <f>ROUND((ROUND((Source!AC148*Source!AW148*Source!I148),2)),2)+(ROUND((ROUND(((Source!ET148)*Source!AV148*Source!I148),2)),2)+ROUND((ROUND(((Source!AE148-(Source!EU148))*Source!AV148*Source!I148),2)),2))+ROUND((ROUND((Source!AF148*Source!AV148*Source!I148),2)),2)</f>
        <v>3093.4</v>
      </c>
      <c r="J177" s="11">
        <f>IF(Source!BC148&lt;&gt; 0, Source!BC148, 1)</f>
        <v>6.66</v>
      </c>
      <c r="K177" s="33">
        <f>Source!O148</f>
        <v>20602.04</v>
      </c>
      <c r="L177" s="38"/>
      <c r="BF177">
        <f>ROUND((Source!DN148/100)*ROUND((ROUND((Source!AF148*Source!AV148*Source!I148),2)),2), 2)</f>
        <v>0</v>
      </c>
      <c r="BG177">
        <f>Source!X148</f>
        <v>0</v>
      </c>
      <c r="BH177">
        <f>ROUND((Source!DO148/100)*ROUND((ROUND((Source!AF148*Source!AV148*Source!I148),2)),2), 2)</f>
        <v>0</v>
      </c>
      <c r="BI177">
        <f>Source!Y148</f>
        <v>0</v>
      </c>
      <c r="BJ177">
        <f>ROUND((175/100)*ROUND((ROUND((Source!AE148*Source!AV148*Source!I148),2)),2), 2)</f>
        <v>0</v>
      </c>
      <c r="BK177">
        <f>ROUND((157/100)*ROUND(ROUND((ROUND((Source!AE148*Source!AV148*Source!I148),2)*Source!BS148),2), 2), 2)</f>
        <v>0</v>
      </c>
      <c r="BM177">
        <f>IF(Source!BI148&lt;=1,I177, 0)</f>
        <v>3093.4</v>
      </c>
      <c r="BN177">
        <f>IF(Source!BI148=2,I177, 0)</f>
        <v>0</v>
      </c>
      <c r="BO177">
        <f>IF(Source!BI148=3,I177, 0)</f>
        <v>0</v>
      </c>
      <c r="BP177">
        <f>IF(Source!BI148=4,I177, 0)</f>
        <v>0</v>
      </c>
    </row>
    <row r="178" spans="1:69" ht="14.25" x14ac:dyDescent="0.2">
      <c r="A178" s="28"/>
      <c r="B178" s="29"/>
      <c r="C178" s="29" t="s">
        <v>275</v>
      </c>
      <c r="D178" s="30" t="s">
        <v>276</v>
      </c>
      <c r="E178" s="11">
        <f>Source!DN147</f>
        <v>187</v>
      </c>
      <c r="F178" s="32"/>
      <c r="G178" s="31"/>
      <c r="H178" s="11"/>
      <c r="I178" s="33">
        <f>SUM(BF173:BF177)</f>
        <v>2726.55</v>
      </c>
      <c r="J178" s="11">
        <f>Source!BZ147</f>
        <v>102</v>
      </c>
      <c r="K178" s="33">
        <f>SUM(BG173:BG177)</f>
        <v>36912.58</v>
      </c>
      <c r="L178" s="38"/>
    </row>
    <row r="179" spans="1:69" ht="14.25" x14ac:dyDescent="0.2">
      <c r="A179" s="28"/>
      <c r="B179" s="29"/>
      <c r="C179" s="29" t="s">
        <v>277</v>
      </c>
      <c r="D179" s="30" t="s">
        <v>276</v>
      </c>
      <c r="E179" s="11">
        <f>Source!DO147</f>
        <v>101</v>
      </c>
      <c r="F179" s="32"/>
      <c r="G179" s="31"/>
      <c r="H179" s="11"/>
      <c r="I179" s="33">
        <f>SUM(BH173:BH178)</f>
        <v>1472.63</v>
      </c>
      <c r="J179" s="11">
        <f>Source!CA147</f>
        <v>47</v>
      </c>
      <c r="K179" s="33">
        <f>SUM(BI173:BI178)</f>
        <v>17008.740000000002</v>
      </c>
      <c r="L179" s="38"/>
    </row>
    <row r="180" spans="1:69" ht="14.25" x14ac:dyDescent="0.2">
      <c r="A180" s="39"/>
      <c r="B180" s="40"/>
      <c r="C180" s="40" t="s">
        <v>279</v>
      </c>
      <c r="D180" s="41" t="s">
        <v>280</v>
      </c>
      <c r="E180" s="42">
        <f>Source!AQ147</f>
        <v>62.71</v>
      </c>
      <c r="F180" s="43"/>
      <c r="G180" s="44" t="str">
        <f>Source!DI147</f>
        <v/>
      </c>
      <c r="H180" s="42">
        <f>Source!AV147</f>
        <v>1</v>
      </c>
      <c r="I180" s="45">
        <f>Source!U147</f>
        <v>142.66524999999999</v>
      </c>
      <c r="J180" s="42"/>
      <c r="K180" s="45"/>
      <c r="L180" s="119"/>
      <c r="BQ180" s="37">
        <f>I180</f>
        <v>142.66524999999999</v>
      </c>
    </row>
    <row r="181" spans="1:69" ht="15" x14ac:dyDescent="0.25">
      <c r="A181" s="46"/>
      <c r="B181" s="46"/>
      <c r="C181" s="47" t="s">
        <v>281</v>
      </c>
      <c r="D181" s="46"/>
      <c r="E181" s="46"/>
      <c r="F181" s="46"/>
      <c r="G181" s="46"/>
      <c r="H181" s="295">
        <f>I175+I176+I178+I179+SUM(I177:I177)</f>
        <v>11615.109999999999</v>
      </c>
      <c r="I181" s="295"/>
      <c r="J181" s="295">
        <f>K175+K176+K178+K179+SUM(K177:K177)</f>
        <v>117586.91</v>
      </c>
      <c r="K181" s="295"/>
      <c r="L181" s="120"/>
      <c r="BD181" s="37">
        <f>I175+I176+I178+I179+SUM(I177:I177)</f>
        <v>11615.109999999999</v>
      </c>
      <c r="BE181" s="37">
        <f>K175+K176+K178+K179+SUM(K177:K177)</f>
        <v>117586.91</v>
      </c>
      <c r="BM181">
        <f>IF(Source!BI147&lt;=1,I175+I176+I178+I179-0, 0)</f>
        <v>8521.7099999999991</v>
      </c>
      <c r="BN181">
        <f>IF(Source!BI147=2,I175+I176+I178+I179-0, 0)</f>
        <v>0</v>
      </c>
      <c r="BO181">
        <f>IF(Source!BI147=3,I175+I176+I178+I179-0, 0)</f>
        <v>0</v>
      </c>
      <c r="BP181">
        <f>IF(Source!BI147=4,I175+I176+I178+I179,0)</f>
        <v>0</v>
      </c>
    </row>
    <row r="183" spans="1:69" ht="71.25" x14ac:dyDescent="0.2">
      <c r="A183" s="28" t="str">
        <f>Source!E149</f>
        <v>13</v>
      </c>
      <c r="B183" s="29" t="str">
        <f>Source!F149</f>
        <v>3.47-7-7</v>
      </c>
      <c r="C183" s="29" t="s">
        <v>142</v>
      </c>
      <c r="D183" s="30" t="str">
        <f>Source!H149</f>
        <v>10 деревьев или кустарников</v>
      </c>
      <c r="E183" s="11">
        <f>Source!I149</f>
        <v>9.1</v>
      </c>
      <c r="F183" s="32"/>
      <c r="G183" s="31"/>
      <c r="H183" s="11"/>
      <c r="I183" s="33"/>
      <c r="J183" s="11"/>
      <c r="K183" s="33"/>
      <c r="L183" s="38"/>
      <c r="BF183">
        <f>ROUND((Source!DN149/100)*ROUND((ROUND((Source!AF149*Source!AV149*Source!I149),2)),2), 2)</f>
        <v>9987.4500000000007</v>
      </c>
      <c r="BG183">
        <f>Source!X149</f>
        <v>135211.85</v>
      </c>
      <c r="BH183">
        <f>ROUND((Source!DO149/100)*ROUND((ROUND((Source!AF149*Source!AV149*Source!I149),2)),2), 2)</f>
        <v>5394.29</v>
      </c>
      <c r="BI183">
        <f>Source!Y149</f>
        <v>62303.5</v>
      </c>
      <c r="BJ183">
        <f>ROUND((175/100)*ROUND((ROUND((Source!AE149*Source!AV149*Source!I149),2)),2), 2)</f>
        <v>830.32</v>
      </c>
      <c r="BK183">
        <f>ROUND((157/100)*ROUND(ROUND((ROUND((Source!AE149*Source!AV149*Source!I149),2)*Source!BS149),2), 2), 2)</f>
        <v>18488.87</v>
      </c>
    </row>
    <row r="184" spans="1:69" x14ac:dyDescent="0.2">
      <c r="C184" s="34" t="str">
        <f>"Объем: "&amp;Source!I149&amp;"=91/"&amp;"10"</f>
        <v>Объем: 9,1=91/10</v>
      </c>
    </row>
    <row r="185" spans="1:69" ht="14.25" x14ac:dyDescent="0.2">
      <c r="A185" s="28"/>
      <c r="B185" s="29"/>
      <c r="C185" s="29" t="s">
        <v>271</v>
      </c>
      <c r="D185" s="30"/>
      <c r="E185" s="11"/>
      <c r="F185" s="32">
        <f>Source!AO149</f>
        <v>586.91</v>
      </c>
      <c r="G185" s="31" t="str">
        <f>Source!DG149</f>
        <v/>
      </c>
      <c r="H185" s="11">
        <f>Source!AV149</f>
        <v>1</v>
      </c>
      <c r="I185" s="33">
        <f>ROUND((ROUND((Source!AF149*Source!AV149*Source!I149),2)),2)</f>
        <v>5340.88</v>
      </c>
      <c r="J185" s="11">
        <f>IF(Source!BA149&lt;&gt; 0, Source!BA149, 1)</f>
        <v>24.82</v>
      </c>
      <c r="K185" s="33">
        <f>Source!S149</f>
        <v>132560.64000000001</v>
      </c>
      <c r="L185" s="38"/>
      <c r="BL185">
        <f>I185</f>
        <v>5340.88</v>
      </c>
    </row>
    <row r="186" spans="1:69" ht="14.25" x14ac:dyDescent="0.2">
      <c r="A186" s="28"/>
      <c r="B186" s="29"/>
      <c r="C186" s="29" t="s">
        <v>272</v>
      </c>
      <c r="D186" s="30"/>
      <c r="E186" s="11"/>
      <c r="F186" s="32">
        <f>Source!AM149</f>
        <v>704.38</v>
      </c>
      <c r="G186" s="31" t="str">
        <f>Source!DE149</f>
        <v/>
      </c>
      <c r="H186" s="11">
        <f>Source!AV149</f>
        <v>1</v>
      </c>
      <c r="I186" s="33">
        <f>(ROUND((ROUND(((Source!ET149)*Source!AV149*Source!I149),2)),2)+ROUND((ROUND(((Source!AE149-(Source!EU149))*Source!AV149*Source!I149),2)),2))</f>
        <v>6409.86</v>
      </c>
      <c r="J186" s="11">
        <f>IF(Source!BB149&lt;&gt; 0, Source!BB149, 1)</f>
        <v>8.18</v>
      </c>
      <c r="K186" s="33">
        <f>Source!Q149</f>
        <v>52432.65</v>
      </c>
      <c r="L186" s="38"/>
    </row>
    <row r="187" spans="1:69" ht="14.25" x14ac:dyDescent="0.2">
      <c r="A187" s="28"/>
      <c r="B187" s="29"/>
      <c r="C187" s="29" t="s">
        <v>273</v>
      </c>
      <c r="D187" s="30"/>
      <c r="E187" s="11"/>
      <c r="F187" s="32">
        <f>Source!AN149</f>
        <v>52.14</v>
      </c>
      <c r="G187" s="31" t="str">
        <f>Source!DF149</f>
        <v/>
      </c>
      <c r="H187" s="11">
        <f>Source!AV149</f>
        <v>1</v>
      </c>
      <c r="I187" s="35">
        <f>ROUND((ROUND((Source!AE149*Source!AV149*Source!I149),2)),2)</f>
        <v>474.47</v>
      </c>
      <c r="J187" s="11">
        <f>IF(Source!BS149&lt;&gt; 0, Source!BS149, 1)</f>
        <v>24.82</v>
      </c>
      <c r="K187" s="35">
        <f>Source!R149</f>
        <v>11776.35</v>
      </c>
      <c r="L187" s="35"/>
      <c r="BL187">
        <f>I187</f>
        <v>474.47</v>
      </c>
    </row>
    <row r="188" spans="1:69" ht="14.25" x14ac:dyDescent="0.2">
      <c r="A188" s="28"/>
      <c r="B188" s="29"/>
      <c r="C188" s="29" t="s">
        <v>274</v>
      </c>
      <c r="D188" s="30"/>
      <c r="E188" s="11"/>
      <c r="F188" s="32">
        <f>Source!AL149</f>
        <v>74</v>
      </c>
      <c r="G188" s="31" t="str">
        <f>Source!DD149</f>
        <v/>
      </c>
      <c r="H188" s="11">
        <f>Source!AW149</f>
        <v>1</v>
      </c>
      <c r="I188" s="33">
        <f>ROUND((ROUND((Source!AC149*Source!AW149*Source!I149),2)),2)</f>
        <v>673.4</v>
      </c>
      <c r="J188" s="11">
        <f>IF(Source!BC149&lt;&gt; 0, Source!BC149, 1)</f>
        <v>5.41</v>
      </c>
      <c r="K188" s="33">
        <f>Source!P149</f>
        <v>3643.09</v>
      </c>
      <c r="L188" s="38"/>
    </row>
    <row r="189" spans="1:69" ht="14.25" x14ac:dyDescent="0.2">
      <c r="A189" s="28"/>
      <c r="B189" s="29"/>
      <c r="C189" s="29" t="s">
        <v>275</v>
      </c>
      <c r="D189" s="30" t="s">
        <v>276</v>
      </c>
      <c r="E189" s="11">
        <f>Source!DN149</f>
        <v>187</v>
      </c>
      <c r="F189" s="32"/>
      <c r="G189" s="31"/>
      <c r="H189" s="11"/>
      <c r="I189" s="33">
        <f>SUM(BF183:BF188)</f>
        <v>9987.4500000000007</v>
      </c>
      <c r="J189" s="11">
        <f>Source!BZ149</f>
        <v>102</v>
      </c>
      <c r="K189" s="33">
        <f>SUM(BG183:BG188)</f>
        <v>135211.85</v>
      </c>
      <c r="L189" s="38"/>
    </row>
    <row r="190" spans="1:69" ht="14.25" x14ac:dyDescent="0.2">
      <c r="A190" s="28"/>
      <c r="B190" s="29"/>
      <c r="C190" s="29" t="s">
        <v>277</v>
      </c>
      <c r="D190" s="30" t="s">
        <v>276</v>
      </c>
      <c r="E190" s="11">
        <f>Source!DO149</f>
        <v>101</v>
      </c>
      <c r="F190" s="32"/>
      <c r="G190" s="31"/>
      <c r="H190" s="11"/>
      <c r="I190" s="33">
        <f>SUM(BH183:BH189)</f>
        <v>5394.29</v>
      </c>
      <c r="J190" s="11">
        <f>Source!CA149</f>
        <v>47</v>
      </c>
      <c r="K190" s="33">
        <f>SUM(BI183:BI189)</f>
        <v>62303.5</v>
      </c>
      <c r="L190" s="38"/>
    </row>
    <row r="191" spans="1:69" ht="14.25" x14ac:dyDescent="0.2">
      <c r="A191" s="28"/>
      <c r="B191" s="29"/>
      <c r="C191" s="29" t="s">
        <v>278</v>
      </c>
      <c r="D191" s="30" t="s">
        <v>276</v>
      </c>
      <c r="E191" s="11">
        <f>175</f>
        <v>175</v>
      </c>
      <c r="F191" s="32"/>
      <c r="G191" s="31"/>
      <c r="H191" s="11"/>
      <c r="I191" s="33">
        <f>SUM(BJ183:BJ190)</f>
        <v>830.32</v>
      </c>
      <c r="J191" s="11">
        <f>157</f>
        <v>157</v>
      </c>
      <c r="K191" s="33">
        <f>SUM(BK183:BK190)</f>
        <v>18488.87</v>
      </c>
      <c r="L191" s="38"/>
    </row>
    <row r="192" spans="1:69" ht="14.25" x14ac:dyDescent="0.2">
      <c r="A192" s="39"/>
      <c r="B192" s="40"/>
      <c r="C192" s="40" t="s">
        <v>279</v>
      </c>
      <c r="D192" s="41" t="s">
        <v>280</v>
      </c>
      <c r="E192" s="42">
        <f>Source!AQ149</f>
        <v>47.6</v>
      </c>
      <c r="F192" s="43"/>
      <c r="G192" s="44" t="str">
        <f>Source!DI149</f>
        <v/>
      </c>
      <c r="H192" s="42">
        <f>Source!AV149</f>
        <v>1</v>
      </c>
      <c r="I192" s="45">
        <f>Source!U149</f>
        <v>433.15999999999997</v>
      </c>
      <c r="J192" s="42"/>
      <c r="K192" s="45"/>
      <c r="L192" s="119"/>
      <c r="BQ192" s="37">
        <f>I192</f>
        <v>433.15999999999997</v>
      </c>
    </row>
    <row r="193" spans="1:69" ht="15" x14ac:dyDescent="0.25">
      <c r="A193" s="46"/>
      <c r="B193" s="46"/>
      <c r="C193" s="47" t="s">
        <v>281</v>
      </c>
      <c r="D193" s="46"/>
      <c r="E193" s="46"/>
      <c r="F193" s="46"/>
      <c r="G193" s="46"/>
      <c r="H193" s="295">
        <f>I185+I186+I188+I189+I190+I191</f>
        <v>28636.2</v>
      </c>
      <c r="I193" s="295"/>
      <c r="J193" s="295">
        <f>K185+K186+K188+K189+K190+K191</f>
        <v>404640.6</v>
      </c>
      <c r="K193" s="295"/>
      <c r="L193" s="120"/>
      <c r="BD193" s="37">
        <f>I185+I186+I188+I189+I190+I191</f>
        <v>28636.2</v>
      </c>
      <c r="BE193" s="37">
        <f>K185+K186+K188+K189+K190+K191</f>
        <v>404640.6</v>
      </c>
      <c r="BM193">
        <f>IF(Source!BI149&lt;=1,I185+I186+I188+I189+I190+I191-0, 0)</f>
        <v>28636.2</v>
      </c>
      <c r="BN193">
        <f>IF(Source!BI149=2,I185+I186+I188+I189+I190+I191-0, 0)</f>
        <v>0</v>
      </c>
      <c r="BO193">
        <f>IF(Source!BI149=3,I185+I186+I188+I189+I190+I191-0, 0)</f>
        <v>0</v>
      </c>
      <c r="BP193">
        <f>IF(Source!BI149=4,I185+I186+I188+I189+I190+I191,0)</f>
        <v>0</v>
      </c>
    </row>
    <row r="195" spans="1:69" ht="99.75" x14ac:dyDescent="0.2">
      <c r="A195" s="28" t="str">
        <f>Source!E150</f>
        <v>14</v>
      </c>
      <c r="B195" s="29" t="str">
        <f>Source!F150</f>
        <v>3.1-6-10</v>
      </c>
      <c r="C195" s="29" t="s">
        <v>145</v>
      </c>
      <c r="D195" s="30" t="str">
        <f>Source!H150</f>
        <v>100 м3 грунта</v>
      </c>
      <c r="E195" s="11">
        <f>Source!I150</f>
        <v>1.6698500000000001</v>
      </c>
      <c r="F195" s="32"/>
      <c r="G195" s="31"/>
      <c r="H195" s="11"/>
      <c r="I195" s="33"/>
      <c r="J195" s="11"/>
      <c r="K195" s="33"/>
      <c r="L195" s="38"/>
      <c r="BF195">
        <f>ROUND((Source!DN150/100)*ROUND((ROUND((Source!AF150*Source!AV150*Source!I150),2)),2), 2)</f>
        <v>23.07</v>
      </c>
      <c r="BG195">
        <f>Source!X150</f>
        <v>537.52</v>
      </c>
      <c r="BH195">
        <f>ROUND((Source!DO150/100)*ROUND((ROUND((Source!AF150*Source!AV150*Source!I150),2)),2), 2)</f>
        <v>18.13</v>
      </c>
      <c r="BI195">
        <f>Source!Y150</f>
        <v>292.13</v>
      </c>
      <c r="BJ195">
        <f>ROUND((175/100)*ROUND((ROUND((Source!AE150*Source!AV150*Source!I150),2)),2), 2)</f>
        <v>384.83</v>
      </c>
      <c r="BK195">
        <f>ROUND((157/100)*ROUND(ROUND((ROUND((Source!AE150*Source!AV150*Source!I150),2)*Source!BS150),2), 2), 2)</f>
        <v>8568.93</v>
      </c>
    </row>
    <row r="196" spans="1:69" x14ac:dyDescent="0.2">
      <c r="C196" s="34" t="str">
        <f>"Объем: "&amp;Source!I150&amp;"=166,985/"&amp;"100"</f>
        <v>Объем: 1,66985=166,985/100</v>
      </c>
    </row>
    <row r="197" spans="1:69" ht="14.25" x14ac:dyDescent="0.2">
      <c r="A197" s="28"/>
      <c r="B197" s="29"/>
      <c r="C197" s="29" t="s">
        <v>271</v>
      </c>
      <c r="D197" s="30"/>
      <c r="E197" s="11"/>
      <c r="F197" s="32">
        <f>Source!AO150</f>
        <v>14.1</v>
      </c>
      <c r="G197" s="31" t="str">
        <f>Source!DG150</f>
        <v/>
      </c>
      <c r="H197" s="11">
        <f>Source!AV150</f>
        <v>1</v>
      </c>
      <c r="I197" s="33">
        <f>ROUND((ROUND((Source!AF150*Source!AV150*Source!I150),2)),2)</f>
        <v>23.54</v>
      </c>
      <c r="J197" s="11">
        <f>IF(Source!BA150&lt;&gt; 0, Source!BA150, 1)</f>
        <v>24.82</v>
      </c>
      <c r="K197" s="33">
        <f>Source!S150</f>
        <v>584.26</v>
      </c>
      <c r="L197" s="38"/>
      <c r="BL197">
        <f>I197</f>
        <v>23.54</v>
      </c>
    </row>
    <row r="198" spans="1:69" ht="14.25" x14ac:dyDescent="0.2">
      <c r="A198" s="28"/>
      <c r="B198" s="29"/>
      <c r="C198" s="29" t="s">
        <v>272</v>
      </c>
      <c r="D198" s="30"/>
      <c r="E198" s="11"/>
      <c r="F198" s="32">
        <f>Source!AM150</f>
        <v>808.58</v>
      </c>
      <c r="G198" s="31" t="str">
        <f>Source!DE150</f>
        <v/>
      </c>
      <c r="H198" s="11">
        <f>Source!AV150</f>
        <v>1</v>
      </c>
      <c r="I198" s="33">
        <f>(ROUND((ROUND(((Source!ET150)*Source!AV150*Source!I150),2)),2)+ROUND((ROUND(((Source!AE150-(Source!EU150))*Source!AV150*Source!I150),2)),2))</f>
        <v>1350.21</v>
      </c>
      <c r="J198" s="11">
        <f>IF(Source!BB150&lt;&gt; 0, Source!BB150, 1)</f>
        <v>9.7799999999999994</v>
      </c>
      <c r="K198" s="33">
        <f>Source!Q150</f>
        <v>13205.05</v>
      </c>
      <c r="L198" s="38"/>
    </row>
    <row r="199" spans="1:69" ht="14.25" x14ac:dyDescent="0.2">
      <c r="A199" s="28"/>
      <c r="B199" s="29"/>
      <c r="C199" s="29" t="s">
        <v>273</v>
      </c>
      <c r="D199" s="30"/>
      <c r="E199" s="11"/>
      <c r="F199" s="32">
        <f>Source!AN150</f>
        <v>131.69</v>
      </c>
      <c r="G199" s="31" t="str">
        <f>Source!DF150</f>
        <v/>
      </c>
      <c r="H199" s="11">
        <f>Source!AV150</f>
        <v>1</v>
      </c>
      <c r="I199" s="35">
        <f>ROUND((ROUND((Source!AE150*Source!AV150*Source!I150),2)),2)</f>
        <v>219.9</v>
      </c>
      <c r="J199" s="11">
        <f>IF(Source!BS150&lt;&gt; 0, Source!BS150, 1)</f>
        <v>24.82</v>
      </c>
      <c r="K199" s="35">
        <f>Source!R150</f>
        <v>5457.92</v>
      </c>
      <c r="L199" s="35"/>
      <c r="BL199">
        <f>I199</f>
        <v>219.9</v>
      </c>
    </row>
    <row r="200" spans="1:69" ht="14.25" x14ac:dyDescent="0.2">
      <c r="A200" s="28"/>
      <c r="B200" s="29"/>
      <c r="C200" s="29" t="s">
        <v>275</v>
      </c>
      <c r="D200" s="30" t="s">
        <v>276</v>
      </c>
      <c r="E200" s="11">
        <f>Source!DN150</f>
        <v>98</v>
      </c>
      <c r="F200" s="32"/>
      <c r="G200" s="31"/>
      <c r="H200" s="11"/>
      <c r="I200" s="33">
        <f>SUM(BF195:BF199)</f>
        <v>23.07</v>
      </c>
      <c r="J200" s="11">
        <f>Source!BZ150</f>
        <v>92</v>
      </c>
      <c r="K200" s="33">
        <f>SUM(BG195:BG199)</f>
        <v>537.52</v>
      </c>
      <c r="L200" s="38"/>
    </row>
    <row r="201" spans="1:69" ht="14.25" x14ac:dyDescent="0.2">
      <c r="A201" s="28"/>
      <c r="B201" s="29"/>
      <c r="C201" s="29" t="s">
        <v>277</v>
      </c>
      <c r="D201" s="30" t="s">
        <v>276</v>
      </c>
      <c r="E201" s="11">
        <f>Source!DO150</f>
        <v>77</v>
      </c>
      <c r="F201" s="32"/>
      <c r="G201" s="31"/>
      <c r="H201" s="11"/>
      <c r="I201" s="33">
        <f>SUM(BH195:BH200)</f>
        <v>18.13</v>
      </c>
      <c r="J201" s="11">
        <f>Source!CA150</f>
        <v>50</v>
      </c>
      <c r="K201" s="33">
        <f>SUM(BI195:BI200)</f>
        <v>292.13</v>
      </c>
      <c r="L201" s="38"/>
    </row>
    <row r="202" spans="1:69" ht="14.25" x14ac:dyDescent="0.2">
      <c r="A202" s="28"/>
      <c r="B202" s="29"/>
      <c r="C202" s="29" t="s">
        <v>278</v>
      </c>
      <c r="D202" s="30" t="s">
        <v>276</v>
      </c>
      <c r="E202" s="11">
        <f>175</f>
        <v>175</v>
      </c>
      <c r="F202" s="32"/>
      <c r="G202" s="31"/>
      <c r="H202" s="11"/>
      <c r="I202" s="33">
        <f>SUM(BJ195:BJ201)</f>
        <v>384.83</v>
      </c>
      <c r="J202" s="11">
        <f>157</f>
        <v>157</v>
      </c>
      <c r="K202" s="33">
        <f>SUM(BK195:BK201)</f>
        <v>8568.93</v>
      </c>
      <c r="L202" s="38"/>
    </row>
    <row r="203" spans="1:69" ht="14.25" x14ac:dyDescent="0.2">
      <c r="A203" s="39"/>
      <c r="B203" s="40"/>
      <c r="C203" s="40" t="s">
        <v>279</v>
      </c>
      <c r="D203" s="41" t="s">
        <v>280</v>
      </c>
      <c r="E203" s="42">
        <f>Source!AQ150</f>
        <v>1.38</v>
      </c>
      <c r="F203" s="43"/>
      <c r="G203" s="44" t="str">
        <f>Source!DI150</f>
        <v/>
      </c>
      <c r="H203" s="42">
        <f>Source!AV150</f>
        <v>1</v>
      </c>
      <c r="I203" s="45">
        <f>Source!U150</f>
        <v>2.3043929999999997</v>
      </c>
      <c r="J203" s="42"/>
      <c r="K203" s="45"/>
      <c r="L203" s="119"/>
      <c r="BQ203" s="37">
        <f>I203</f>
        <v>2.3043929999999997</v>
      </c>
    </row>
    <row r="204" spans="1:69" ht="15" x14ac:dyDescent="0.25">
      <c r="A204" s="46"/>
      <c r="B204" s="46"/>
      <c r="C204" s="47" t="s">
        <v>281</v>
      </c>
      <c r="D204" s="46"/>
      <c r="E204" s="46"/>
      <c r="F204" s="46"/>
      <c r="G204" s="46"/>
      <c r="H204" s="295">
        <f>I197+I198+I200+I201+I202</f>
        <v>1799.78</v>
      </c>
      <c r="I204" s="295"/>
      <c r="J204" s="295">
        <f>K197+K198+K200+K201+K202</f>
        <v>23187.89</v>
      </c>
      <c r="K204" s="295"/>
      <c r="L204" s="120"/>
      <c r="BD204" s="37">
        <f>I197+I198+I200+I201+I202</f>
        <v>1799.78</v>
      </c>
      <c r="BE204" s="37">
        <f>K197+K198+K200+K201+K202</f>
        <v>23187.89</v>
      </c>
      <c r="BM204">
        <f>IF(Source!BI150&lt;=1,I197+I198+I200+I201+I202-0, 0)</f>
        <v>1799.78</v>
      </c>
      <c r="BN204">
        <f>IF(Source!BI150=2,I197+I198+I200+I201+I202-0, 0)</f>
        <v>0</v>
      </c>
      <c r="BO204">
        <f>IF(Source!BI150=3,I197+I198+I200+I201+I202-0, 0)</f>
        <v>0</v>
      </c>
      <c r="BP204">
        <f>IF(Source!BI150=4,I197+I198+I200+I201+I202,0)</f>
        <v>0</v>
      </c>
    </row>
    <row r="206" spans="1:69" ht="42.75" x14ac:dyDescent="0.2">
      <c r="A206" s="28" t="str">
        <f>Source!E151</f>
        <v>15</v>
      </c>
      <c r="B206" s="29" t="str">
        <f>Source!F151</f>
        <v>3.47-1-2</v>
      </c>
      <c r="C206" s="29" t="s">
        <v>48</v>
      </c>
      <c r="D206" s="30" t="str">
        <f>Source!H151</f>
        <v>100 м2</v>
      </c>
      <c r="E206" s="11">
        <f>Source!I151</f>
        <v>16.698499999999999</v>
      </c>
      <c r="F206" s="32"/>
      <c r="G206" s="31"/>
      <c r="H206" s="11"/>
      <c r="I206" s="33"/>
      <c r="J206" s="11"/>
      <c r="K206" s="33"/>
      <c r="L206" s="38"/>
      <c r="BF206">
        <f>ROUND((Source!DN151/100)*ROUND((ROUND((Source!AF151*Source!AV151*Source!I151),2)),2), 2)</f>
        <v>3255.02</v>
      </c>
      <c r="BG206">
        <f>Source!X151</f>
        <v>44066.99</v>
      </c>
      <c r="BH206">
        <f>ROUND((Source!DO151/100)*ROUND((ROUND((Source!AF151*Source!AV151*Source!I151),2)),2), 2)</f>
        <v>1758.06</v>
      </c>
      <c r="BI206">
        <f>Source!Y151</f>
        <v>20305.38</v>
      </c>
      <c r="BJ206">
        <f>ROUND((175/100)*ROUND((ROUND((Source!AE151*Source!AV151*Source!I151),2)),2), 2)</f>
        <v>0</v>
      </c>
      <c r="BK206">
        <f>ROUND((157/100)*ROUND(ROUND((ROUND((Source!AE151*Source!AV151*Source!I151),2)*Source!BS151),2), 2), 2)</f>
        <v>0</v>
      </c>
    </row>
    <row r="207" spans="1:69" x14ac:dyDescent="0.2">
      <c r="C207" s="34" t="str">
        <f>"Объем: "&amp;Source!I151&amp;"=(166,985/"&amp;"0,1)/"&amp;"100"</f>
        <v>Объем: 16,6985=(166,985/0,1)/100</v>
      </c>
    </row>
    <row r="208" spans="1:69" ht="14.25" x14ac:dyDescent="0.2">
      <c r="A208" s="28"/>
      <c r="B208" s="29"/>
      <c r="C208" s="29" t="s">
        <v>271</v>
      </c>
      <c r="D208" s="30"/>
      <c r="E208" s="11"/>
      <c r="F208" s="32">
        <f>Source!AO151</f>
        <v>104.24</v>
      </c>
      <c r="G208" s="31" t="str">
        <f>Source!DG151</f>
        <v/>
      </c>
      <c r="H208" s="11">
        <f>Source!AV151</f>
        <v>1</v>
      </c>
      <c r="I208" s="33">
        <f>ROUND((ROUND((Source!AF151*Source!AV151*Source!I151),2)),2)</f>
        <v>1740.65</v>
      </c>
      <c r="J208" s="11">
        <f>IF(Source!BA151&lt;&gt; 0, Source!BA151, 1)</f>
        <v>24.82</v>
      </c>
      <c r="K208" s="33">
        <f>Source!S151</f>
        <v>43202.93</v>
      </c>
      <c r="L208" s="38"/>
      <c r="BL208">
        <f>I208</f>
        <v>1740.65</v>
      </c>
    </row>
    <row r="209" spans="1:79" ht="14.25" x14ac:dyDescent="0.2">
      <c r="A209" s="28"/>
      <c r="B209" s="29"/>
      <c r="C209" s="29" t="s">
        <v>275</v>
      </c>
      <c r="D209" s="30" t="s">
        <v>276</v>
      </c>
      <c r="E209" s="11">
        <f>Source!DN151</f>
        <v>187</v>
      </c>
      <c r="F209" s="32"/>
      <c r="G209" s="31"/>
      <c r="H209" s="11"/>
      <c r="I209" s="33">
        <f>SUM(BF206:BF208)</f>
        <v>3255.02</v>
      </c>
      <c r="J209" s="11">
        <f>Source!BZ151</f>
        <v>102</v>
      </c>
      <c r="K209" s="33">
        <f>SUM(BG206:BG208)</f>
        <v>44066.99</v>
      </c>
      <c r="L209" s="38"/>
    </row>
    <row r="210" spans="1:79" ht="14.25" x14ac:dyDescent="0.2">
      <c r="A210" s="28"/>
      <c r="B210" s="29"/>
      <c r="C210" s="29" t="s">
        <v>277</v>
      </c>
      <c r="D210" s="30" t="s">
        <v>276</v>
      </c>
      <c r="E210" s="11">
        <f>Source!DO151</f>
        <v>101</v>
      </c>
      <c r="F210" s="32"/>
      <c r="G210" s="31"/>
      <c r="H210" s="11"/>
      <c r="I210" s="33">
        <f>SUM(BH206:BH209)</f>
        <v>1758.06</v>
      </c>
      <c r="J210" s="11">
        <f>Source!CA151</f>
        <v>47</v>
      </c>
      <c r="K210" s="33">
        <f>SUM(BI206:BI209)</f>
        <v>20305.38</v>
      </c>
      <c r="L210" s="38"/>
    </row>
    <row r="211" spans="1:79" ht="14.25" x14ac:dyDescent="0.2">
      <c r="A211" s="39"/>
      <c r="B211" s="40"/>
      <c r="C211" s="40" t="s">
        <v>279</v>
      </c>
      <c r="D211" s="41" t="s">
        <v>280</v>
      </c>
      <c r="E211" s="42">
        <f>Source!AQ151</f>
        <v>10.199999999999999</v>
      </c>
      <c r="F211" s="43"/>
      <c r="G211" s="44" t="str">
        <f>Source!DI151</f>
        <v/>
      </c>
      <c r="H211" s="42">
        <f>Source!AV151</f>
        <v>1</v>
      </c>
      <c r="I211" s="45">
        <f>Source!U151</f>
        <v>170.32469999999998</v>
      </c>
      <c r="J211" s="42"/>
      <c r="K211" s="45"/>
      <c r="L211" s="119"/>
      <c r="BQ211" s="37">
        <f>I211</f>
        <v>170.32469999999998</v>
      </c>
    </row>
    <row r="212" spans="1:79" ht="15" x14ac:dyDescent="0.25">
      <c r="A212" s="46"/>
      <c r="B212" s="46"/>
      <c r="C212" s="47" t="s">
        <v>281</v>
      </c>
      <c r="D212" s="46"/>
      <c r="E212" s="46"/>
      <c r="F212" s="46"/>
      <c r="G212" s="46"/>
      <c r="H212" s="295">
        <f>I208+I209+I210</f>
        <v>6753.73</v>
      </c>
      <c r="I212" s="295"/>
      <c r="J212" s="295">
        <f>K208+K209+K210</f>
        <v>107575.3</v>
      </c>
      <c r="K212" s="295"/>
      <c r="L212" s="120"/>
      <c r="BD212" s="37">
        <f>I208+I209+I210</f>
        <v>6753.73</v>
      </c>
      <c r="BE212" s="37">
        <f>K208+K209+K210</f>
        <v>107575.3</v>
      </c>
      <c r="BM212">
        <f>IF(Source!BI151&lt;=1,I208+I209+I210-0, 0)</f>
        <v>6753.73</v>
      </c>
      <c r="BN212">
        <f>IF(Source!BI151=2,I208+I209+I210-0, 0)</f>
        <v>0</v>
      </c>
      <c r="BO212">
        <f>IF(Source!BI151=3,I208+I209+I210-0, 0)</f>
        <v>0</v>
      </c>
      <c r="BP212">
        <f>IF(Source!BI151=4,I208+I209+I210,0)</f>
        <v>0</v>
      </c>
    </row>
    <row r="215" spans="1:79" ht="15" x14ac:dyDescent="0.25">
      <c r="A215" s="307" t="str">
        <f>CONCATENATE("Итого по разделу: ",IF(Source!G153&lt;&gt;"Новый раздел", Source!G153, ""))</f>
        <v>Итого по разделу: Посадка деревьев с комом земли 1,0х1,0х0,6 м - 91 шт.</v>
      </c>
      <c r="B215" s="307"/>
      <c r="C215" s="307"/>
      <c r="D215" s="307"/>
      <c r="E215" s="307"/>
      <c r="F215" s="307"/>
      <c r="G215" s="307"/>
      <c r="H215" s="305">
        <f>SUM(BD159:BD214)</f>
        <v>77242.959999999992</v>
      </c>
      <c r="I215" s="306"/>
      <c r="J215" s="305">
        <f>SUM(BE159:BE214)</f>
        <v>902080.48</v>
      </c>
      <c r="K215" s="306"/>
      <c r="L215" s="49"/>
      <c r="CA215" s="50" t="str">
        <f>CONCATENATE("Итого по разделу: ",IF(Source!G153&lt;&gt;"Новый раздел", Source!G153, ""))</f>
        <v>Итого по разделу: Посадка деревьев с комом земли 1,0х1,0х0,6 м - 91 шт.</v>
      </c>
    </row>
    <row r="216" spans="1:79" hidden="1" x14ac:dyDescent="0.2"/>
    <row r="217" spans="1:79" hidden="1" x14ac:dyDescent="0.2"/>
    <row r="219" spans="1:79" ht="16.5" x14ac:dyDescent="0.25">
      <c r="A219" s="294" t="str">
        <f>CONCATENATE("Раздел: ",IF(Source!G183&lt;&gt;"Новый раздел", Source!G183, ""))</f>
        <v>Раздел: Восстановление отпада деревьев с комом земли 1,0х1,0х0,6 м - 4 шт.</v>
      </c>
      <c r="B219" s="294"/>
      <c r="C219" s="294"/>
      <c r="D219" s="294"/>
      <c r="E219" s="294"/>
      <c r="F219" s="294"/>
      <c r="G219" s="294"/>
      <c r="H219" s="294"/>
      <c r="I219" s="294"/>
      <c r="J219" s="294"/>
      <c r="K219" s="294"/>
      <c r="L219" s="27"/>
    </row>
    <row r="220" spans="1:79" ht="71.25" x14ac:dyDescent="0.2">
      <c r="A220" s="28" t="str">
        <f>Source!E187</f>
        <v>16</v>
      </c>
      <c r="B220" s="29" t="str">
        <f>Source!F187</f>
        <v>3.47-3-11</v>
      </c>
      <c r="C220" s="29" t="s">
        <v>150</v>
      </c>
      <c r="D220" s="30" t="str">
        <f>Source!H187</f>
        <v>10 ям</v>
      </c>
      <c r="E220" s="11">
        <f>Source!I187</f>
        <v>0.3</v>
      </c>
      <c r="F220" s="32"/>
      <c r="G220" s="31"/>
      <c r="H220" s="11"/>
      <c r="I220" s="33"/>
      <c r="J220" s="11"/>
      <c r="K220" s="33"/>
      <c r="L220" s="38"/>
      <c r="BF220">
        <f>ROUND((Source!DN187/100)*ROUND((ROUND((Source!AF187*Source!AV187*Source!I187),2)),2), 2)</f>
        <v>86.32</v>
      </c>
      <c r="BG220">
        <f>Source!X187</f>
        <v>1168.5999999999999</v>
      </c>
      <c r="BH220">
        <f>ROUND((Source!DO187/100)*ROUND((ROUND((Source!AF187*Source!AV187*Source!I187),2)),2), 2)</f>
        <v>46.62</v>
      </c>
      <c r="BI220">
        <f>Source!Y187</f>
        <v>538.47</v>
      </c>
      <c r="BJ220">
        <f>ROUND((175/100)*ROUND((ROUND((Source!AE187*Source!AV187*Source!I187),2)),2), 2)</f>
        <v>13.27</v>
      </c>
      <c r="BK220">
        <f>ROUND((157/100)*ROUND(ROUND((ROUND((Source!AE187*Source!AV187*Source!I187),2)*Source!BS187),2), 2), 2)</f>
        <v>295.38</v>
      </c>
    </row>
    <row r="221" spans="1:79" x14ac:dyDescent="0.2">
      <c r="C221" s="34" t="str">
        <f>"Объем: "&amp;Source!I187&amp;"=(4*"&amp;"0,75)/"&amp;"10"</f>
        <v>Объем: 0,3=(4*0,75)/10</v>
      </c>
    </row>
    <row r="222" spans="1:79" ht="14.25" x14ac:dyDescent="0.2">
      <c r="A222" s="28"/>
      <c r="B222" s="29"/>
      <c r="C222" s="29" t="s">
        <v>271</v>
      </c>
      <c r="D222" s="30"/>
      <c r="E222" s="11"/>
      <c r="F222" s="32">
        <f>Source!AO187</f>
        <v>153.87</v>
      </c>
      <c r="G222" s="31" t="str">
        <f>Source!DG187</f>
        <v/>
      </c>
      <c r="H222" s="11">
        <f>Source!AV187</f>
        <v>1</v>
      </c>
      <c r="I222" s="33">
        <f>ROUND((ROUND((Source!AF187*Source!AV187*Source!I187),2)),2)</f>
        <v>46.16</v>
      </c>
      <c r="J222" s="11">
        <f>IF(Source!BA187&lt;&gt; 0, Source!BA187, 1)</f>
        <v>24.82</v>
      </c>
      <c r="K222" s="33">
        <f>Source!S187</f>
        <v>1145.69</v>
      </c>
      <c r="L222" s="38"/>
      <c r="BL222">
        <f>I222</f>
        <v>46.16</v>
      </c>
    </row>
    <row r="223" spans="1:79" ht="14.25" x14ac:dyDescent="0.2">
      <c r="A223" s="28"/>
      <c r="B223" s="29"/>
      <c r="C223" s="29" t="s">
        <v>272</v>
      </c>
      <c r="D223" s="30"/>
      <c r="E223" s="11"/>
      <c r="F223" s="32">
        <f>Source!AM187</f>
        <v>96.8</v>
      </c>
      <c r="G223" s="31" t="str">
        <f>Source!DE187</f>
        <v/>
      </c>
      <c r="H223" s="11">
        <f>Source!AV187</f>
        <v>1</v>
      </c>
      <c r="I223" s="33">
        <f>(ROUND((ROUND(((Source!ET187)*Source!AV187*Source!I187),2)),2)+ROUND((ROUND(((Source!AE187-(Source!EU187))*Source!AV187*Source!I187),2)),2))</f>
        <v>29.04</v>
      </c>
      <c r="J223" s="11">
        <f>IF(Source!BB187&lt;&gt; 0, Source!BB187, 1)</f>
        <v>10.59</v>
      </c>
      <c r="K223" s="33">
        <f>Source!Q187</f>
        <v>307.52999999999997</v>
      </c>
      <c r="L223" s="38"/>
    </row>
    <row r="224" spans="1:79" ht="14.25" x14ac:dyDescent="0.2">
      <c r="A224" s="28"/>
      <c r="B224" s="29"/>
      <c r="C224" s="29" t="s">
        <v>273</v>
      </c>
      <c r="D224" s="30"/>
      <c r="E224" s="11"/>
      <c r="F224" s="32">
        <f>Source!AN187</f>
        <v>25.25</v>
      </c>
      <c r="G224" s="31" t="str">
        <f>Source!DF187</f>
        <v/>
      </c>
      <c r="H224" s="11">
        <f>Source!AV187</f>
        <v>1</v>
      </c>
      <c r="I224" s="35">
        <f>ROUND((ROUND((Source!AE187*Source!AV187*Source!I187),2)),2)</f>
        <v>7.58</v>
      </c>
      <c r="J224" s="11">
        <f>IF(Source!BS187&lt;&gt; 0, Source!BS187, 1)</f>
        <v>24.82</v>
      </c>
      <c r="K224" s="35">
        <f>Source!R187</f>
        <v>188.14</v>
      </c>
      <c r="L224" s="35"/>
      <c r="BL224">
        <f>I224</f>
        <v>7.58</v>
      </c>
    </row>
    <row r="225" spans="1:69" ht="14.25" x14ac:dyDescent="0.2">
      <c r="A225" s="28"/>
      <c r="B225" s="29"/>
      <c r="C225" s="29" t="s">
        <v>275</v>
      </c>
      <c r="D225" s="30" t="s">
        <v>276</v>
      </c>
      <c r="E225" s="11">
        <f>Source!DN187</f>
        <v>187</v>
      </c>
      <c r="F225" s="32"/>
      <c r="G225" s="31"/>
      <c r="H225" s="11"/>
      <c r="I225" s="33">
        <f>SUM(BF220:BF224)</f>
        <v>86.32</v>
      </c>
      <c r="J225" s="11">
        <f>Source!BZ187</f>
        <v>102</v>
      </c>
      <c r="K225" s="33">
        <f>SUM(BG220:BG224)</f>
        <v>1168.5999999999999</v>
      </c>
      <c r="L225" s="38"/>
    </row>
    <row r="226" spans="1:69" ht="14.25" x14ac:dyDescent="0.2">
      <c r="A226" s="28"/>
      <c r="B226" s="29"/>
      <c r="C226" s="29" t="s">
        <v>277</v>
      </c>
      <c r="D226" s="30" t="s">
        <v>276</v>
      </c>
      <c r="E226" s="11">
        <f>Source!DO187</f>
        <v>101</v>
      </c>
      <c r="F226" s="32"/>
      <c r="G226" s="31"/>
      <c r="H226" s="11"/>
      <c r="I226" s="33">
        <f>SUM(BH220:BH225)</f>
        <v>46.62</v>
      </c>
      <c r="J226" s="11">
        <f>Source!CA187</f>
        <v>47</v>
      </c>
      <c r="K226" s="33">
        <f>SUM(BI220:BI225)</f>
        <v>538.47</v>
      </c>
      <c r="L226" s="38"/>
    </row>
    <row r="227" spans="1:69" ht="14.25" x14ac:dyDescent="0.2">
      <c r="A227" s="28"/>
      <c r="B227" s="29"/>
      <c r="C227" s="29" t="s">
        <v>278</v>
      </c>
      <c r="D227" s="30" t="s">
        <v>276</v>
      </c>
      <c r="E227" s="11">
        <f>175</f>
        <v>175</v>
      </c>
      <c r="F227" s="32"/>
      <c r="G227" s="31"/>
      <c r="H227" s="11"/>
      <c r="I227" s="33">
        <f>SUM(BJ220:BJ226)</f>
        <v>13.27</v>
      </c>
      <c r="J227" s="11">
        <f>157</f>
        <v>157</v>
      </c>
      <c r="K227" s="33">
        <f>SUM(BK220:BK226)</f>
        <v>295.38</v>
      </c>
      <c r="L227" s="38"/>
    </row>
    <row r="228" spans="1:69" ht="14.25" x14ac:dyDescent="0.2">
      <c r="A228" s="39"/>
      <c r="B228" s="40"/>
      <c r="C228" s="40" t="s">
        <v>279</v>
      </c>
      <c r="D228" s="41" t="s">
        <v>280</v>
      </c>
      <c r="E228" s="42">
        <f>Source!AQ187</f>
        <v>15.31</v>
      </c>
      <c r="F228" s="43"/>
      <c r="G228" s="44" t="str">
        <f>Source!DI187</f>
        <v/>
      </c>
      <c r="H228" s="42">
        <f>Source!AV187</f>
        <v>1</v>
      </c>
      <c r="I228" s="45">
        <f>Source!U187</f>
        <v>4.593</v>
      </c>
      <c r="J228" s="42"/>
      <c r="K228" s="45"/>
      <c r="L228" s="119"/>
      <c r="BQ228" s="37">
        <f>I228</f>
        <v>4.593</v>
      </c>
    </row>
    <row r="229" spans="1:69" ht="15" x14ac:dyDescent="0.25">
      <c r="A229" s="46"/>
      <c r="B229" s="46"/>
      <c r="C229" s="47" t="s">
        <v>281</v>
      </c>
      <c r="D229" s="46"/>
      <c r="E229" s="46"/>
      <c r="F229" s="46"/>
      <c r="G229" s="46"/>
      <c r="H229" s="295">
        <f>I222+I223+I225+I226+I227</f>
        <v>221.41</v>
      </c>
      <c r="I229" s="295"/>
      <c r="J229" s="295">
        <f>K222+K223+K225+K226+K227</f>
        <v>3455.67</v>
      </c>
      <c r="K229" s="295"/>
      <c r="L229" s="120"/>
      <c r="BD229" s="37">
        <f>I222+I223+I225+I226+I227</f>
        <v>221.41</v>
      </c>
      <c r="BE229" s="37">
        <f>K222+K223+K225+K226+K227</f>
        <v>3455.67</v>
      </c>
      <c r="BM229">
        <f>IF(Source!BI187&lt;=1,I222+I223+I225+I226+I227-0, 0)</f>
        <v>221.41</v>
      </c>
      <c r="BN229">
        <f>IF(Source!BI187=2,I222+I223+I225+I226+I227-0, 0)</f>
        <v>0</v>
      </c>
      <c r="BO229">
        <f>IF(Source!BI187=3,I222+I223+I225+I226+I227-0, 0)</f>
        <v>0</v>
      </c>
      <c r="BP229">
        <f>IF(Source!BI187=4,I222+I223+I225+I226+I227,0)</f>
        <v>0</v>
      </c>
    </row>
    <row r="231" spans="1:69" ht="57" x14ac:dyDescent="0.2">
      <c r="A231" s="28" t="str">
        <f>Source!E188</f>
        <v>17</v>
      </c>
      <c r="B231" s="29" t="str">
        <f>Source!F188</f>
        <v>3.47-5-11</v>
      </c>
      <c r="C231" s="29" t="s">
        <v>154</v>
      </c>
      <c r="D231" s="30" t="str">
        <f>Source!H188</f>
        <v>10 ям</v>
      </c>
      <c r="E231" s="11">
        <f>Source!I188</f>
        <v>0.1</v>
      </c>
      <c r="F231" s="32"/>
      <c r="G231" s="31"/>
      <c r="H231" s="11"/>
      <c r="I231" s="33"/>
      <c r="J231" s="11"/>
      <c r="K231" s="33"/>
      <c r="L231" s="38"/>
      <c r="BF231">
        <f>ROUND((Source!DN188/100)*ROUND((ROUND((Source!AF188*Source!AV188*Source!I188),2)),2), 2)</f>
        <v>82.58</v>
      </c>
      <c r="BG231">
        <f>Source!X188</f>
        <v>1117.97</v>
      </c>
      <c r="BH231">
        <f>ROUND((Source!DO188/100)*ROUND((ROUND((Source!AF188*Source!AV188*Source!I188),2)),2), 2)</f>
        <v>44.6</v>
      </c>
      <c r="BI231">
        <f>Source!Y188</f>
        <v>515.14</v>
      </c>
      <c r="BJ231">
        <f>ROUND((175/100)*ROUND((ROUND((Source!AE188*Source!AV188*Source!I188),2)),2), 2)</f>
        <v>0</v>
      </c>
      <c r="BK231">
        <f>ROUND((157/100)*ROUND(ROUND((ROUND((Source!AE188*Source!AV188*Source!I188),2)*Source!BS188),2), 2), 2)</f>
        <v>0</v>
      </c>
    </row>
    <row r="232" spans="1:69" x14ac:dyDescent="0.2">
      <c r="C232" s="34" t="str">
        <f>"Объем: "&amp;Source!I188&amp;"=(4*"&amp;"0,25)/"&amp;"10"</f>
        <v>Объем: 0,1=(4*0,25)/10</v>
      </c>
    </row>
    <row r="233" spans="1:69" ht="14.25" x14ac:dyDescent="0.2">
      <c r="A233" s="28"/>
      <c r="B233" s="29"/>
      <c r="C233" s="29" t="s">
        <v>271</v>
      </c>
      <c r="D233" s="30"/>
      <c r="E233" s="11"/>
      <c r="F233" s="32">
        <f>Source!AO188</f>
        <v>441.61</v>
      </c>
      <c r="G233" s="31" t="str">
        <f>Source!DG188</f>
        <v/>
      </c>
      <c r="H233" s="11">
        <f>Source!AV188</f>
        <v>1</v>
      </c>
      <c r="I233" s="33">
        <f>ROUND((ROUND((Source!AF188*Source!AV188*Source!I188),2)),2)</f>
        <v>44.16</v>
      </c>
      <c r="J233" s="11">
        <f>IF(Source!BA188&lt;&gt; 0, Source!BA188, 1)</f>
        <v>24.82</v>
      </c>
      <c r="K233" s="33">
        <f>Source!S188</f>
        <v>1096.05</v>
      </c>
      <c r="L233" s="38"/>
      <c r="BL233">
        <f>I233</f>
        <v>44.16</v>
      </c>
    </row>
    <row r="234" spans="1:69" ht="14.25" x14ac:dyDescent="0.2">
      <c r="A234" s="28"/>
      <c r="B234" s="29"/>
      <c r="C234" s="29" t="s">
        <v>275</v>
      </c>
      <c r="D234" s="30" t="s">
        <v>276</v>
      </c>
      <c r="E234" s="11">
        <f>Source!DN188</f>
        <v>187</v>
      </c>
      <c r="F234" s="32"/>
      <c r="G234" s="31"/>
      <c r="H234" s="11"/>
      <c r="I234" s="33">
        <f>SUM(BF231:BF233)</f>
        <v>82.58</v>
      </c>
      <c r="J234" s="11">
        <f>Source!BZ188</f>
        <v>102</v>
      </c>
      <c r="K234" s="33">
        <f>SUM(BG231:BG233)</f>
        <v>1117.97</v>
      </c>
      <c r="L234" s="38"/>
    </row>
    <row r="235" spans="1:69" ht="14.25" x14ac:dyDescent="0.2">
      <c r="A235" s="28"/>
      <c r="B235" s="29"/>
      <c r="C235" s="29" t="s">
        <v>277</v>
      </c>
      <c r="D235" s="30" t="s">
        <v>276</v>
      </c>
      <c r="E235" s="11">
        <f>Source!DO188</f>
        <v>101</v>
      </c>
      <c r="F235" s="32"/>
      <c r="G235" s="31"/>
      <c r="H235" s="11"/>
      <c r="I235" s="33">
        <f>SUM(BH231:BH234)</f>
        <v>44.6</v>
      </c>
      <c r="J235" s="11">
        <f>Source!CA188</f>
        <v>47</v>
      </c>
      <c r="K235" s="33">
        <f>SUM(BI231:BI234)</f>
        <v>515.14</v>
      </c>
      <c r="L235" s="38"/>
    </row>
    <row r="236" spans="1:69" ht="14.25" x14ac:dyDescent="0.2">
      <c r="A236" s="39"/>
      <c r="B236" s="40"/>
      <c r="C236" s="40" t="s">
        <v>279</v>
      </c>
      <c r="D236" s="41" t="s">
        <v>280</v>
      </c>
      <c r="E236" s="42">
        <f>Source!AQ188</f>
        <v>43.21</v>
      </c>
      <c r="F236" s="43"/>
      <c r="G236" s="44" t="str">
        <f>Source!DI188</f>
        <v/>
      </c>
      <c r="H236" s="42">
        <f>Source!AV188</f>
        <v>1</v>
      </c>
      <c r="I236" s="45">
        <f>Source!U188</f>
        <v>4.3210000000000006</v>
      </c>
      <c r="J236" s="42"/>
      <c r="K236" s="45"/>
      <c r="L236" s="119"/>
      <c r="BQ236" s="37">
        <f>I236</f>
        <v>4.3210000000000006</v>
      </c>
    </row>
    <row r="237" spans="1:69" ht="15" x14ac:dyDescent="0.25">
      <c r="A237" s="46"/>
      <c r="B237" s="46"/>
      <c r="C237" s="47" t="s">
        <v>281</v>
      </c>
      <c r="D237" s="46"/>
      <c r="E237" s="46"/>
      <c r="F237" s="46"/>
      <c r="G237" s="46"/>
      <c r="H237" s="295">
        <f>I233+I234+I235</f>
        <v>171.34</v>
      </c>
      <c r="I237" s="295"/>
      <c r="J237" s="295">
        <f>K233+K234+K235</f>
        <v>2729.16</v>
      </c>
      <c r="K237" s="295"/>
      <c r="L237" s="120"/>
      <c r="BD237" s="37">
        <f>I233+I234+I235</f>
        <v>171.34</v>
      </c>
      <c r="BE237" s="37">
        <f>K233+K234+K235</f>
        <v>2729.16</v>
      </c>
      <c r="BM237">
        <f>IF(Source!BI188&lt;=1,I233+I234+I235-0, 0)</f>
        <v>171.34</v>
      </c>
      <c r="BN237">
        <f>IF(Source!BI188=2,I233+I234+I235-0, 0)</f>
        <v>0</v>
      </c>
      <c r="BO237">
        <f>IF(Source!BI188=3,I233+I234+I235-0, 0)</f>
        <v>0</v>
      </c>
      <c r="BP237">
        <f>IF(Source!BI188=4,I233+I234+I235,0)</f>
        <v>0</v>
      </c>
    </row>
    <row r="239" spans="1:69" ht="71.25" x14ac:dyDescent="0.2">
      <c r="A239" s="28" t="str">
        <f>Source!E189</f>
        <v>18</v>
      </c>
      <c r="B239" s="29" t="str">
        <f>Source!F189</f>
        <v>3.47-7-7</v>
      </c>
      <c r="C239" s="29" t="s">
        <v>142</v>
      </c>
      <c r="D239" s="30" t="str">
        <f>Source!H189</f>
        <v>10 деревьев или кустарников</v>
      </c>
      <c r="E239" s="11">
        <f>Source!I189</f>
        <v>0.4</v>
      </c>
      <c r="F239" s="32"/>
      <c r="G239" s="31"/>
      <c r="H239" s="11"/>
      <c r="I239" s="33"/>
      <c r="J239" s="11"/>
      <c r="K239" s="33"/>
      <c r="L239" s="38"/>
      <c r="BF239">
        <f>ROUND((Source!DN189/100)*ROUND((ROUND((Source!AF189*Source!AV189*Source!I189),2)),2), 2)</f>
        <v>439</v>
      </c>
      <c r="BG239">
        <f>Source!X189</f>
        <v>5943.27</v>
      </c>
      <c r="BH239">
        <f>ROUND((Source!DO189/100)*ROUND((ROUND((Source!AF189*Source!AV189*Source!I189),2)),2), 2)</f>
        <v>237.11</v>
      </c>
      <c r="BI239">
        <f>Source!Y189</f>
        <v>2738.57</v>
      </c>
      <c r="BJ239">
        <f>ROUND((175/100)*ROUND((ROUND((Source!AE189*Source!AV189*Source!I189),2)),2), 2)</f>
        <v>36.51</v>
      </c>
      <c r="BK239">
        <f>ROUND((157/100)*ROUND(ROUND((ROUND((Source!AE189*Source!AV189*Source!I189),2)*Source!BS189),2), 2), 2)</f>
        <v>812.87</v>
      </c>
    </row>
    <row r="240" spans="1:69" x14ac:dyDescent="0.2">
      <c r="C240" s="34" t="str">
        <f>"Объем: "&amp;Source!I189&amp;"=4/"&amp;"10"</f>
        <v>Объем: 0,4=4/10</v>
      </c>
    </row>
    <row r="241" spans="1:79" ht="14.25" x14ac:dyDescent="0.2">
      <c r="A241" s="28"/>
      <c r="B241" s="29"/>
      <c r="C241" s="29" t="s">
        <v>271</v>
      </c>
      <c r="D241" s="30"/>
      <c r="E241" s="11"/>
      <c r="F241" s="32">
        <f>Source!AO189</f>
        <v>586.91</v>
      </c>
      <c r="G241" s="31" t="str">
        <f>Source!DG189</f>
        <v/>
      </c>
      <c r="H241" s="11">
        <f>Source!AV189</f>
        <v>1</v>
      </c>
      <c r="I241" s="33">
        <f>ROUND((ROUND((Source!AF189*Source!AV189*Source!I189),2)),2)</f>
        <v>234.76</v>
      </c>
      <c r="J241" s="11">
        <f>IF(Source!BA189&lt;&gt; 0, Source!BA189, 1)</f>
        <v>24.82</v>
      </c>
      <c r="K241" s="33">
        <f>Source!S189</f>
        <v>5826.74</v>
      </c>
      <c r="L241" s="38"/>
      <c r="BL241">
        <f>I241</f>
        <v>234.76</v>
      </c>
    </row>
    <row r="242" spans="1:79" ht="14.25" x14ac:dyDescent="0.2">
      <c r="A242" s="28"/>
      <c r="B242" s="29"/>
      <c r="C242" s="29" t="s">
        <v>272</v>
      </c>
      <c r="D242" s="30"/>
      <c r="E242" s="11"/>
      <c r="F242" s="32">
        <f>Source!AM189</f>
        <v>704.38</v>
      </c>
      <c r="G242" s="31" t="str">
        <f>Source!DE189</f>
        <v/>
      </c>
      <c r="H242" s="11">
        <f>Source!AV189</f>
        <v>1</v>
      </c>
      <c r="I242" s="33">
        <f>(ROUND((ROUND(((Source!ET189)*Source!AV189*Source!I189),2)),2)+ROUND((ROUND(((Source!AE189-(Source!EU189))*Source!AV189*Source!I189),2)),2))</f>
        <v>281.75</v>
      </c>
      <c r="J242" s="11">
        <f>IF(Source!BB189&lt;&gt; 0, Source!BB189, 1)</f>
        <v>8.18</v>
      </c>
      <c r="K242" s="33">
        <f>Source!Q189</f>
        <v>2304.7199999999998</v>
      </c>
      <c r="L242" s="38"/>
    </row>
    <row r="243" spans="1:79" ht="14.25" x14ac:dyDescent="0.2">
      <c r="A243" s="28"/>
      <c r="B243" s="29"/>
      <c r="C243" s="29" t="s">
        <v>273</v>
      </c>
      <c r="D243" s="30"/>
      <c r="E243" s="11"/>
      <c r="F243" s="32">
        <f>Source!AN189</f>
        <v>52.14</v>
      </c>
      <c r="G243" s="31" t="str">
        <f>Source!DF189</f>
        <v/>
      </c>
      <c r="H243" s="11">
        <f>Source!AV189</f>
        <v>1</v>
      </c>
      <c r="I243" s="35">
        <f>ROUND((ROUND((Source!AE189*Source!AV189*Source!I189),2)),2)</f>
        <v>20.86</v>
      </c>
      <c r="J243" s="11">
        <f>IF(Source!BS189&lt;&gt; 0, Source!BS189, 1)</f>
        <v>24.82</v>
      </c>
      <c r="K243" s="35">
        <f>Source!R189</f>
        <v>517.75</v>
      </c>
      <c r="L243" s="35"/>
      <c r="BL243">
        <f>I243</f>
        <v>20.86</v>
      </c>
    </row>
    <row r="244" spans="1:79" ht="14.25" x14ac:dyDescent="0.2">
      <c r="A244" s="28"/>
      <c r="B244" s="29"/>
      <c r="C244" s="29" t="s">
        <v>274</v>
      </c>
      <c r="D244" s="30"/>
      <c r="E244" s="11"/>
      <c r="F244" s="32">
        <f>Source!AL189</f>
        <v>74</v>
      </c>
      <c r="G244" s="31" t="str">
        <f>Source!DD189</f>
        <v/>
      </c>
      <c r="H244" s="11">
        <f>Source!AW189</f>
        <v>1</v>
      </c>
      <c r="I244" s="33">
        <f>ROUND((ROUND((Source!AC189*Source!AW189*Source!I189),2)),2)</f>
        <v>29.6</v>
      </c>
      <c r="J244" s="11">
        <f>IF(Source!BC189&lt;&gt; 0, Source!BC189, 1)</f>
        <v>5.41</v>
      </c>
      <c r="K244" s="33">
        <f>Source!P189</f>
        <v>160.13999999999999</v>
      </c>
      <c r="L244" s="38"/>
    </row>
    <row r="245" spans="1:79" ht="14.25" x14ac:dyDescent="0.2">
      <c r="A245" s="28"/>
      <c r="B245" s="29"/>
      <c r="C245" s="29" t="s">
        <v>275</v>
      </c>
      <c r="D245" s="30" t="s">
        <v>276</v>
      </c>
      <c r="E245" s="11">
        <f>Source!DN189</f>
        <v>187</v>
      </c>
      <c r="F245" s="32"/>
      <c r="G245" s="31"/>
      <c r="H245" s="11"/>
      <c r="I245" s="33">
        <f>SUM(BF239:BF244)</f>
        <v>439</v>
      </c>
      <c r="J245" s="11">
        <f>Source!BZ189</f>
        <v>102</v>
      </c>
      <c r="K245" s="33">
        <f>SUM(BG239:BG244)</f>
        <v>5943.27</v>
      </c>
      <c r="L245" s="38"/>
    </row>
    <row r="246" spans="1:79" ht="14.25" x14ac:dyDescent="0.2">
      <c r="A246" s="28"/>
      <c r="B246" s="29"/>
      <c r="C246" s="29" t="s">
        <v>277</v>
      </c>
      <c r="D246" s="30" t="s">
        <v>276</v>
      </c>
      <c r="E246" s="11">
        <f>Source!DO189</f>
        <v>101</v>
      </c>
      <c r="F246" s="32"/>
      <c r="G246" s="31"/>
      <c r="H246" s="11"/>
      <c r="I246" s="33">
        <f>SUM(BH239:BH245)</f>
        <v>237.11</v>
      </c>
      <c r="J246" s="11">
        <f>Source!CA189</f>
        <v>47</v>
      </c>
      <c r="K246" s="33">
        <f>SUM(BI239:BI245)</f>
        <v>2738.57</v>
      </c>
      <c r="L246" s="38"/>
    </row>
    <row r="247" spans="1:79" ht="14.25" x14ac:dyDescent="0.2">
      <c r="A247" s="28"/>
      <c r="B247" s="29"/>
      <c r="C247" s="29" t="s">
        <v>278</v>
      </c>
      <c r="D247" s="30" t="s">
        <v>276</v>
      </c>
      <c r="E247" s="11">
        <f>175</f>
        <v>175</v>
      </c>
      <c r="F247" s="32"/>
      <c r="G247" s="31"/>
      <c r="H247" s="11"/>
      <c r="I247" s="33">
        <f>SUM(BJ239:BJ246)</f>
        <v>36.51</v>
      </c>
      <c r="J247" s="11">
        <f>157</f>
        <v>157</v>
      </c>
      <c r="K247" s="33">
        <f>SUM(BK239:BK246)</f>
        <v>812.87</v>
      </c>
      <c r="L247" s="38"/>
    </row>
    <row r="248" spans="1:79" ht="14.25" x14ac:dyDescent="0.2">
      <c r="A248" s="39"/>
      <c r="B248" s="40"/>
      <c r="C248" s="40" t="s">
        <v>279</v>
      </c>
      <c r="D248" s="41" t="s">
        <v>280</v>
      </c>
      <c r="E248" s="42">
        <f>Source!AQ189</f>
        <v>47.6</v>
      </c>
      <c r="F248" s="43"/>
      <c r="G248" s="44" t="str">
        <f>Source!DI189</f>
        <v/>
      </c>
      <c r="H248" s="42">
        <f>Source!AV189</f>
        <v>1</v>
      </c>
      <c r="I248" s="45">
        <f>Source!U189</f>
        <v>19.040000000000003</v>
      </c>
      <c r="J248" s="42"/>
      <c r="K248" s="45"/>
      <c r="L248" s="119"/>
      <c r="BQ248" s="37">
        <f>I248</f>
        <v>19.040000000000003</v>
      </c>
    </row>
    <row r="249" spans="1:79" ht="15" x14ac:dyDescent="0.25">
      <c r="A249" s="46"/>
      <c r="B249" s="46"/>
      <c r="C249" s="47" t="s">
        <v>281</v>
      </c>
      <c r="D249" s="46"/>
      <c r="E249" s="46"/>
      <c r="F249" s="46"/>
      <c r="G249" s="46"/>
      <c r="H249" s="295">
        <f>I241+I242+I244+I245+I246+I247</f>
        <v>1258.73</v>
      </c>
      <c r="I249" s="295"/>
      <c r="J249" s="295">
        <f>K241+K242+K244+K245+K246+K247</f>
        <v>17786.309999999998</v>
      </c>
      <c r="K249" s="295"/>
      <c r="L249" s="120"/>
      <c r="BD249" s="37">
        <f>I241+I242+I244+I245+I246+I247</f>
        <v>1258.73</v>
      </c>
      <c r="BE249" s="37">
        <f>K241+K242+K244+K245+K246+K247</f>
        <v>17786.309999999998</v>
      </c>
      <c r="BM249">
        <f>IF(Source!BI189&lt;=1,I241+I242+I244+I245+I246+I247-0, 0)</f>
        <v>1258.73</v>
      </c>
      <c r="BN249">
        <f>IF(Source!BI189=2,I241+I242+I244+I245+I246+I247-0, 0)</f>
        <v>0</v>
      </c>
      <c r="BO249">
        <f>IF(Source!BI189=3,I241+I242+I244+I245+I246+I247-0, 0)</f>
        <v>0</v>
      </c>
      <c r="BP249">
        <f>IF(Source!BI189=4,I241+I242+I244+I245+I246+I247,0)</f>
        <v>0</v>
      </c>
    </row>
    <row r="252" spans="1:79" ht="30" x14ac:dyDescent="0.25">
      <c r="A252" s="307" t="str">
        <f>CONCATENATE("Итого по разделу: ",IF(Source!G191&lt;&gt;"Новый раздел", Source!G191, ""))</f>
        <v>Итого по разделу: Восстановление отпада деревьев с комом земли 1,0х1,0х0,6 м - 4 шт.</v>
      </c>
      <c r="B252" s="307"/>
      <c r="C252" s="307"/>
      <c r="D252" s="307"/>
      <c r="E252" s="307"/>
      <c r="F252" s="307"/>
      <c r="G252" s="307"/>
      <c r="H252" s="305">
        <f>SUM(BD219:BD251)</f>
        <v>1651.48</v>
      </c>
      <c r="I252" s="306"/>
      <c r="J252" s="305">
        <f>SUM(BE219:BE251)</f>
        <v>23971.14</v>
      </c>
      <c r="K252" s="306"/>
      <c r="L252" s="49"/>
      <c r="CA252" s="50" t="str">
        <f>CONCATENATE("Итого по разделу: ",IF(Source!G191&lt;&gt;"Новый раздел", Source!G191, ""))</f>
        <v>Итого по разделу: Восстановление отпада деревьев с комом земли 1,0х1,0х0,6 м - 4 шт.</v>
      </c>
    </row>
    <row r="253" spans="1:79" hidden="1" x14ac:dyDescent="0.2"/>
    <row r="254" spans="1:79" hidden="1" x14ac:dyDescent="0.2"/>
    <row r="256" spans="1:79" ht="16.5" x14ac:dyDescent="0.25">
      <c r="A256" s="294" t="str">
        <f>CONCATENATE("Раздел: ",IF(Source!G221&lt;&gt;"Новый раздел", Source!G221, ""))</f>
        <v>Раздел: Уход за деревьями с комом 1,0х1,0х0,6 м - 91 шт.</v>
      </c>
      <c r="B256" s="294"/>
      <c r="C256" s="294"/>
      <c r="D256" s="294"/>
      <c r="E256" s="294"/>
      <c r="F256" s="294"/>
      <c r="G256" s="294"/>
      <c r="H256" s="294"/>
      <c r="I256" s="294"/>
      <c r="J256" s="294"/>
      <c r="K256" s="294"/>
      <c r="L256" s="27"/>
    </row>
    <row r="257" spans="1:69" ht="42.75" x14ac:dyDescent="0.2">
      <c r="A257" s="28" t="str">
        <f>Source!E225</f>
        <v>19</v>
      </c>
      <c r="B257" s="29" t="str">
        <f>Source!F225</f>
        <v>3.47-48-1</v>
      </c>
      <c r="C257" s="29" t="s">
        <v>118</v>
      </c>
      <c r="D257" s="30" t="str">
        <f>Source!H225</f>
        <v>1 м3 выливаемой воды</v>
      </c>
      <c r="E257" s="11">
        <f>Source!I225</f>
        <v>9.8552999999999997</v>
      </c>
      <c r="F257" s="32"/>
      <c r="G257" s="31"/>
      <c r="H257" s="11"/>
      <c r="I257" s="33"/>
      <c r="J257" s="11"/>
      <c r="K257" s="33"/>
      <c r="L257" s="38"/>
      <c r="BF257">
        <f>ROUND((Source!DN225/100)*ROUND((ROUND((Source!AF225*Source!AV225*Source!I225),2)),2), 2)</f>
        <v>340.58</v>
      </c>
      <c r="BG257">
        <f>Source!X225</f>
        <v>4610.88</v>
      </c>
      <c r="BH257">
        <f>ROUND((Source!DO225/100)*ROUND((ROUND((Source!AF225*Source!AV225*Source!I225),2)),2), 2)</f>
        <v>183.95</v>
      </c>
      <c r="BI257">
        <f>Source!Y225</f>
        <v>2124.62</v>
      </c>
      <c r="BJ257">
        <f>ROUND((175/100)*ROUND((ROUND((Source!AE225*Source!AV225*Source!I225),2)),2), 2)</f>
        <v>221.45</v>
      </c>
      <c r="BK257">
        <f>ROUND((157/100)*ROUND(ROUND((ROUND((Source!AE225*Source!AV225*Source!I225),2)*Source!BS225),2), 2), 2)</f>
        <v>4930.93</v>
      </c>
    </row>
    <row r="258" spans="1:69" x14ac:dyDescent="0.2">
      <c r="C258" s="34" t="str">
        <f>"Объем: "&amp;Source!I225&amp;"=30*"&amp;"3,61/"&amp;"1000*"&amp;"91"</f>
        <v>Объем: 9,8553=30*3,61/1000*91</v>
      </c>
    </row>
    <row r="259" spans="1:69" ht="14.25" x14ac:dyDescent="0.2">
      <c r="A259" s="28"/>
      <c r="B259" s="29"/>
      <c r="C259" s="29" t="s">
        <v>271</v>
      </c>
      <c r="D259" s="30"/>
      <c r="E259" s="11"/>
      <c r="F259" s="32">
        <f>Source!AO225</f>
        <v>4.62</v>
      </c>
      <c r="G259" s="31" t="str">
        <f>Source!DG225</f>
        <v>)*4</v>
      </c>
      <c r="H259" s="11">
        <f>Source!AV225</f>
        <v>1</v>
      </c>
      <c r="I259" s="33">
        <f>ROUND((ROUND((Source!AF225*Source!AV225*Source!I225),2)),2)</f>
        <v>182.13</v>
      </c>
      <c r="J259" s="11">
        <f>IF(Source!BA225&lt;&gt; 0, Source!BA225, 1)</f>
        <v>24.82</v>
      </c>
      <c r="K259" s="33">
        <f>Source!S225</f>
        <v>4520.47</v>
      </c>
      <c r="L259" s="38"/>
      <c r="BL259">
        <f>I259</f>
        <v>182.13</v>
      </c>
    </row>
    <row r="260" spans="1:69" ht="14.25" x14ac:dyDescent="0.2">
      <c r="A260" s="28"/>
      <c r="B260" s="29"/>
      <c r="C260" s="29" t="s">
        <v>272</v>
      </c>
      <c r="D260" s="30"/>
      <c r="E260" s="11"/>
      <c r="F260" s="32">
        <f>Source!AM225</f>
        <v>59.2</v>
      </c>
      <c r="G260" s="31" t="str">
        <f>Source!DE225</f>
        <v>)*4</v>
      </c>
      <c r="H260" s="11">
        <f>Source!AV225</f>
        <v>1</v>
      </c>
      <c r="I260" s="33">
        <f>(ROUND((ROUND((((Source!ET225*4))*Source!AV225*Source!I225),2)),2)+ROUND((ROUND(((Source!AE225-((Source!EU225*4)))*Source!AV225*Source!I225),2)),2))</f>
        <v>2333.7399999999998</v>
      </c>
      <c r="J260" s="11">
        <f>IF(Source!BB225&lt;&gt; 0, Source!BB225, 1)</f>
        <v>7.99</v>
      </c>
      <c r="K260" s="33">
        <f>Source!Q225</f>
        <v>18646.580000000002</v>
      </c>
      <c r="L260" s="38"/>
    </row>
    <row r="261" spans="1:69" ht="14.25" x14ac:dyDescent="0.2">
      <c r="A261" s="28"/>
      <c r="B261" s="29"/>
      <c r="C261" s="29" t="s">
        <v>273</v>
      </c>
      <c r="D261" s="30"/>
      <c r="E261" s="11"/>
      <c r="F261" s="32">
        <f>Source!AN225</f>
        <v>3.21</v>
      </c>
      <c r="G261" s="31" t="str">
        <f>Source!DF225</f>
        <v>)*4</v>
      </c>
      <c r="H261" s="11">
        <f>Source!AV225</f>
        <v>1</v>
      </c>
      <c r="I261" s="35">
        <f>ROUND((ROUND((Source!AE225*Source!AV225*Source!I225),2)),2)</f>
        <v>126.54</v>
      </c>
      <c r="J261" s="11">
        <f>IF(Source!BS225&lt;&gt; 0, Source!BS225, 1)</f>
        <v>24.82</v>
      </c>
      <c r="K261" s="35">
        <f>Source!R225</f>
        <v>3140.72</v>
      </c>
      <c r="L261" s="35"/>
      <c r="BL261">
        <f>I261</f>
        <v>126.54</v>
      </c>
    </row>
    <row r="262" spans="1:69" ht="14.25" x14ac:dyDescent="0.2">
      <c r="A262" s="28"/>
      <c r="B262" s="29"/>
      <c r="C262" s="29" t="s">
        <v>274</v>
      </c>
      <c r="D262" s="30"/>
      <c r="E262" s="11"/>
      <c r="F262" s="32">
        <f>Source!AL225</f>
        <v>7.07</v>
      </c>
      <c r="G262" s="31" t="str">
        <f>Source!DD225</f>
        <v>)*4</v>
      </c>
      <c r="H262" s="11">
        <f>Source!AW225</f>
        <v>1</v>
      </c>
      <c r="I262" s="33">
        <f>ROUND((ROUND((Source!AC225*Source!AW225*Source!I225),2)),2)</f>
        <v>278.70999999999998</v>
      </c>
      <c r="J262" s="11">
        <f>IF(Source!BC225&lt;&gt; 0, Source!BC225, 1)</f>
        <v>4.99</v>
      </c>
      <c r="K262" s="33">
        <f>Source!P225</f>
        <v>1390.76</v>
      </c>
      <c r="L262" s="38"/>
    </row>
    <row r="263" spans="1:69" ht="14.25" x14ac:dyDescent="0.2">
      <c r="A263" s="28"/>
      <c r="B263" s="29"/>
      <c r="C263" s="29" t="s">
        <v>275</v>
      </c>
      <c r="D263" s="30" t="s">
        <v>276</v>
      </c>
      <c r="E263" s="11">
        <f>Source!DN225</f>
        <v>187</v>
      </c>
      <c r="F263" s="32"/>
      <c r="G263" s="31"/>
      <c r="H263" s="11"/>
      <c r="I263" s="33">
        <f>SUM(BF257:BF262)</f>
        <v>340.58</v>
      </c>
      <c r="J263" s="11">
        <f>Source!BZ225</f>
        <v>102</v>
      </c>
      <c r="K263" s="33">
        <f>SUM(BG257:BG262)</f>
        <v>4610.88</v>
      </c>
      <c r="L263" s="38"/>
    </row>
    <row r="264" spans="1:69" ht="14.25" x14ac:dyDescent="0.2">
      <c r="A264" s="28"/>
      <c r="B264" s="29"/>
      <c r="C264" s="29" t="s">
        <v>277</v>
      </c>
      <c r="D264" s="30" t="s">
        <v>276</v>
      </c>
      <c r="E264" s="11">
        <f>Source!DO225</f>
        <v>101</v>
      </c>
      <c r="F264" s="32"/>
      <c r="G264" s="31"/>
      <c r="H264" s="11"/>
      <c r="I264" s="33">
        <f>SUM(BH257:BH263)</f>
        <v>183.95</v>
      </c>
      <c r="J264" s="11">
        <f>Source!CA225</f>
        <v>47</v>
      </c>
      <c r="K264" s="33">
        <f>SUM(BI257:BI263)</f>
        <v>2124.62</v>
      </c>
      <c r="L264" s="38"/>
    </row>
    <row r="265" spans="1:69" ht="14.25" x14ac:dyDescent="0.2">
      <c r="A265" s="28"/>
      <c r="B265" s="29"/>
      <c r="C265" s="29" t="s">
        <v>278</v>
      </c>
      <c r="D265" s="30" t="s">
        <v>276</v>
      </c>
      <c r="E265" s="11">
        <f>175</f>
        <v>175</v>
      </c>
      <c r="F265" s="32"/>
      <c r="G265" s="31"/>
      <c r="H265" s="11"/>
      <c r="I265" s="33">
        <f>SUM(BJ257:BJ264)</f>
        <v>221.45</v>
      </c>
      <c r="J265" s="11">
        <f>157</f>
        <v>157</v>
      </c>
      <c r="K265" s="33">
        <f>SUM(BK257:BK264)</f>
        <v>4930.93</v>
      </c>
      <c r="L265" s="38"/>
    </row>
    <row r="266" spans="1:69" ht="14.25" x14ac:dyDescent="0.2">
      <c r="A266" s="39"/>
      <c r="B266" s="40"/>
      <c r="C266" s="40" t="s">
        <v>279</v>
      </c>
      <c r="D266" s="41" t="s">
        <v>280</v>
      </c>
      <c r="E266" s="42">
        <f>Source!AQ225</f>
        <v>0.49</v>
      </c>
      <c r="F266" s="43"/>
      <c r="G266" s="44" t="str">
        <f>Source!DI225</f>
        <v>)*4</v>
      </c>
      <c r="H266" s="42">
        <f>Source!AV225</f>
        <v>1</v>
      </c>
      <c r="I266" s="45">
        <f>Source!U225</f>
        <v>19.316388</v>
      </c>
      <c r="J266" s="42"/>
      <c r="K266" s="45"/>
      <c r="L266" s="119"/>
      <c r="BQ266" s="37">
        <f>I266</f>
        <v>19.316388</v>
      </c>
    </row>
    <row r="267" spans="1:69" ht="15" x14ac:dyDescent="0.25">
      <c r="A267" s="46"/>
      <c r="B267" s="46"/>
      <c r="C267" s="47" t="s">
        <v>281</v>
      </c>
      <c r="D267" s="46"/>
      <c r="E267" s="46"/>
      <c r="F267" s="46"/>
      <c r="G267" s="46"/>
      <c r="H267" s="295">
        <f>I259+I260+I262+I263+I264+I265</f>
        <v>3540.5599999999995</v>
      </c>
      <c r="I267" s="295"/>
      <c r="J267" s="295">
        <f>K259+K260+K262+K263+K264+K265</f>
        <v>36224.240000000005</v>
      </c>
      <c r="K267" s="295"/>
      <c r="L267" s="120"/>
      <c r="BD267" s="37">
        <f>I259+I260+I262+I263+I264+I265</f>
        <v>3540.5599999999995</v>
      </c>
      <c r="BE267" s="37">
        <f>K259+K260+K262+K263+K264+K265</f>
        <v>36224.240000000005</v>
      </c>
      <c r="BM267">
        <f>IF(Source!BI225&lt;=1,I259+I260+I262+I263+I264+I265-0, 0)</f>
        <v>3540.5599999999995</v>
      </c>
      <c r="BN267">
        <f>IF(Source!BI225=2,I259+I260+I262+I263+I264+I265-0, 0)</f>
        <v>0</v>
      </c>
      <c r="BO267">
        <f>IF(Source!BI225=3,I259+I260+I262+I263+I264+I265-0, 0)</f>
        <v>0</v>
      </c>
      <c r="BP267">
        <f>IF(Source!BI225=4,I259+I260+I262+I263+I264+I265,0)</f>
        <v>0</v>
      </c>
    </row>
    <row r="269" spans="1:69" ht="57" x14ac:dyDescent="0.2">
      <c r="A269" s="28" t="str">
        <f>Source!E226</f>
        <v>20</v>
      </c>
      <c r="B269" s="29" t="str">
        <f>Source!F226</f>
        <v>3.47-49-3</v>
      </c>
      <c r="C269" s="29" t="s">
        <v>126</v>
      </c>
      <c r="D269" s="30" t="str">
        <f>Source!H226</f>
        <v>100 м2 площади лунок или канавок</v>
      </c>
      <c r="E269" s="11">
        <f>Source!I226</f>
        <v>3.2850999999999999</v>
      </c>
      <c r="F269" s="32"/>
      <c r="G269" s="31"/>
      <c r="H269" s="11"/>
      <c r="I269" s="33"/>
      <c r="J269" s="11"/>
      <c r="K269" s="33"/>
      <c r="L269" s="38"/>
      <c r="BF269">
        <f>ROUND((Source!DN226/100)*ROUND((ROUND((Source!AF226*Source!AV226*Source!I226),2)),2), 2)</f>
        <v>1654.97</v>
      </c>
      <c r="BG269">
        <f>Source!X226</f>
        <v>22405.27</v>
      </c>
      <c r="BH269">
        <f>ROUND((Source!DO226/100)*ROUND((ROUND((Source!AF226*Source!AV226*Source!I226),2)),2), 2)</f>
        <v>893.86</v>
      </c>
      <c r="BI269">
        <f>Source!Y226</f>
        <v>10324</v>
      </c>
      <c r="BJ269">
        <f>ROUND((175/100)*ROUND((ROUND((Source!AE226*Source!AV226*Source!I226),2)),2), 2)</f>
        <v>0</v>
      </c>
      <c r="BK269">
        <f>ROUND((157/100)*ROUND(ROUND((ROUND((Source!AE226*Source!AV226*Source!I226),2)*Source!BS226),2), 2), 2)</f>
        <v>0</v>
      </c>
    </row>
    <row r="270" spans="1:69" x14ac:dyDescent="0.2">
      <c r="C270" s="34" t="str">
        <f>"Объем: "&amp;Source!I226&amp;"=(3,61*"&amp;"91)/"&amp;"100"</f>
        <v>Объем: 3,2851=(3,61*91)/100</v>
      </c>
    </row>
    <row r="271" spans="1:69" ht="14.25" x14ac:dyDescent="0.2">
      <c r="A271" s="28"/>
      <c r="B271" s="29"/>
      <c r="C271" s="29" t="s">
        <v>271</v>
      </c>
      <c r="D271" s="30"/>
      <c r="E271" s="11"/>
      <c r="F271" s="32">
        <f>Source!AO226</f>
        <v>67.349999999999994</v>
      </c>
      <c r="G271" s="31" t="str">
        <f>Source!DG226</f>
        <v>)*4</v>
      </c>
      <c r="H271" s="11">
        <f>Source!AV226</f>
        <v>1</v>
      </c>
      <c r="I271" s="33">
        <f>ROUND((ROUND((Source!AF226*Source!AV226*Source!I226),2)),2)</f>
        <v>885.01</v>
      </c>
      <c r="J271" s="11">
        <f>IF(Source!BA226&lt;&gt; 0, Source!BA226, 1)</f>
        <v>24.82</v>
      </c>
      <c r="K271" s="33">
        <f>Source!S226</f>
        <v>21965.95</v>
      </c>
      <c r="L271" s="38"/>
      <c r="BL271">
        <f>I271</f>
        <v>885.01</v>
      </c>
    </row>
    <row r="272" spans="1:69" ht="14.25" x14ac:dyDescent="0.2">
      <c r="A272" s="28"/>
      <c r="B272" s="29"/>
      <c r="C272" s="29" t="s">
        <v>275</v>
      </c>
      <c r="D272" s="30" t="s">
        <v>276</v>
      </c>
      <c r="E272" s="11">
        <f>Source!DN226</f>
        <v>187</v>
      </c>
      <c r="F272" s="32"/>
      <c r="G272" s="31"/>
      <c r="H272" s="11"/>
      <c r="I272" s="33">
        <f>SUM(BF269:BF271)</f>
        <v>1654.97</v>
      </c>
      <c r="J272" s="11">
        <f>Source!BZ226</f>
        <v>102</v>
      </c>
      <c r="K272" s="33">
        <f>SUM(BG269:BG271)</f>
        <v>22405.27</v>
      </c>
      <c r="L272" s="38"/>
    </row>
    <row r="273" spans="1:123" ht="14.25" x14ac:dyDescent="0.2">
      <c r="A273" s="28"/>
      <c r="B273" s="29"/>
      <c r="C273" s="29" t="s">
        <v>277</v>
      </c>
      <c r="D273" s="30" t="s">
        <v>276</v>
      </c>
      <c r="E273" s="11">
        <f>Source!DO226</f>
        <v>101</v>
      </c>
      <c r="F273" s="32"/>
      <c r="G273" s="31"/>
      <c r="H273" s="11"/>
      <c r="I273" s="33">
        <f>SUM(BH269:BH272)</f>
        <v>893.86</v>
      </c>
      <c r="J273" s="11">
        <f>Source!CA226</f>
        <v>47</v>
      </c>
      <c r="K273" s="33">
        <f>SUM(BI269:BI272)</f>
        <v>10324</v>
      </c>
      <c r="L273" s="38"/>
    </row>
    <row r="274" spans="1:123" ht="14.25" x14ac:dyDescent="0.2">
      <c r="A274" s="39"/>
      <c r="B274" s="40"/>
      <c r="C274" s="40" t="s">
        <v>279</v>
      </c>
      <c r="D274" s="41" t="s">
        <v>280</v>
      </c>
      <c r="E274" s="42">
        <f>Source!AQ226</f>
        <v>6.59</v>
      </c>
      <c r="F274" s="43"/>
      <c r="G274" s="44" t="str">
        <f>Source!DI226</f>
        <v>)*4</v>
      </c>
      <c r="H274" s="42">
        <f>Source!AV226</f>
        <v>1</v>
      </c>
      <c r="I274" s="45">
        <f>Source!U226</f>
        <v>86.595236</v>
      </c>
      <c r="J274" s="42"/>
      <c r="K274" s="45"/>
      <c r="L274" s="119"/>
      <c r="BQ274" s="37">
        <f>I274</f>
        <v>86.595236</v>
      </c>
    </row>
    <row r="275" spans="1:123" ht="15" x14ac:dyDescent="0.25">
      <c r="A275" s="46"/>
      <c r="B275" s="46"/>
      <c r="C275" s="47" t="s">
        <v>281</v>
      </c>
      <c r="D275" s="46"/>
      <c r="E275" s="46"/>
      <c r="F275" s="46"/>
      <c r="G275" s="46"/>
      <c r="H275" s="295">
        <f>I271+I272+I273</f>
        <v>3433.84</v>
      </c>
      <c r="I275" s="295"/>
      <c r="J275" s="295">
        <f>K271+K272+K273</f>
        <v>54695.22</v>
      </c>
      <c r="K275" s="295"/>
      <c r="L275" s="120"/>
      <c r="BD275" s="37">
        <f>I271+I272+I273</f>
        <v>3433.84</v>
      </c>
      <c r="BE275" s="37">
        <f>K271+K272+K273</f>
        <v>54695.22</v>
      </c>
      <c r="BM275">
        <f>IF(Source!BI226&lt;=1,I271+I272+I273-0, 0)</f>
        <v>3433.84</v>
      </c>
      <c r="BN275">
        <f>IF(Source!BI226=2,I271+I272+I273-0, 0)</f>
        <v>0</v>
      </c>
      <c r="BO275">
        <f>IF(Source!BI226=3,I271+I272+I273-0, 0)</f>
        <v>0</v>
      </c>
      <c r="BP275">
        <f>IF(Source!BI226=4,I271+I272+I273,0)</f>
        <v>0</v>
      </c>
    </row>
    <row r="278" spans="1:123" ht="15" x14ac:dyDescent="0.25">
      <c r="A278" s="307" t="str">
        <f>CONCATENATE("Итого по разделу: ",IF(Source!G228&lt;&gt;"Новый раздел", Source!G228, ""))</f>
        <v>Итого по разделу: Уход за деревьями с комом 1,0х1,0х0,6 м - 91 шт.</v>
      </c>
      <c r="B278" s="307"/>
      <c r="C278" s="307"/>
      <c r="D278" s="307"/>
      <c r="E278" s="307"/>
      <c r="F278" s="307"/>
      <c r="G278" s="307"/>
      <c r="H278" s="305">
        <f>SUM(BD256:BD277)</f>
        <v>6974.4</v>
      </c>
      <c r="I278" s="306"/>
      <c r="J278" s="305">
        <f>SUM(BE256:BE277)</f>
        <v>90919.46</v>
      </c>
      <c r="K278" s="306"/>
      <c r="L278" s="49"/>
      <c r="CA278" s="50" t="str">
        <f>CONCATENATE("Итого по разделу: ",IF(Source!G228&lt;&gt;"Новый раздел", Source!G228, ""))</f>
        <v>Итого по разделу: Уход за деревьями с комом 1,0х1,0х0,6 м - 91 шт.</v>
      </c>
    </row>
    <row r="279" spans="1:123" hidden="1" x14ac:dyDescent="0.2"/>
    <row r="280" spans="1:123" hidden="1" x14ac:dyDescent="0.2"/>
    <row r="282" spans="1:123" ht="30" x14ac:dyDescent="0.25">
      <c r="A282" s="310" t="str">
        <f>CONCATENATE("Итого по локальной смете № 1: ",IF(Source!G258&lt;&gt;"Новая локальная смета", Source!G258, ""))</f>
        <v>Итого по локальной смете № 1: Посадка деревьев с комом земли 1,5х1,5х0,65 м, 1,0х1,0х0,6 м, восстановление отпада и уходные работы</v>
      </c>
      <c r="B282" s="310"/>
      <c r="C282" s="310"/>
      <c r="D282" s="310"/>
      <c r="E282" s="310"/>
      <c r="F282" s="310"/>
      <c r="G282" s="310"/>
      <c r="H282" s="283">
        <f>SUM(BD35:BD281)</f>
        <v>6900551.7600000016</v>
      </c>
      <c r="I282" s="284"/>
      <c r="J282" s="283">
        <f>SUM(BE35:BE281)</f>
        <v>82415101.169999972</v>
      </c>
      <c r="K282" s="284"/>
      <c r="L282" s="84"/>
      <c r="M282" s="82">
        <f>J288+J293</f>
        <v>82415101.169999987</v>
      </c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CA282" s="50" t="str">
        <f>CONCATENATE("Итого по локальной смете: ",IF(Source!G258&lt;&gt;"Новая локальная смета", Source!G258, ""))</f>
        <v>Итого по локальной смете: Посадка деревьев с комом земли 1,5х1,5х0,65 м, 1,0х1,0х0,6 м, восстановление отпада и уходные работы</v>
      </c>
    </row>
    <row r="283" spans="1:123" ht="20.25" customHeight="1" x14ac:dyDescent="0.25">
      <c r="A283" s="81" t="s">
        <v>161</v>
      </c>
      <c r="B283" s="81"/>
      <c r="C283" s="81"/>
      <c r="D283" s="81"/>
      <c r="E283" s="81"/>
      <c r="F283" s="81"/>
      <c r="G283" s="81"/>
      <c r="H283" s="281">
        <f>ROUND(H282*0.2,2)</f>
        <v>1380110.35</v>
      </c>
      <c r="I283" s="282"/>
      <c r="J283" s="281">
        <f>ROUND(J282*0.2,2)</f>
        <v>16483020.23</v>
      </c>
      <c r="K283" s="282"/>
      <c r="L283" s="121"/>
      <c r="M283" s="82">
        <f>J289+J294</f>
        <v>16483020.23</v>
      </c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  <c r="DS283" s="82"/>
    </row>
    <row r="284" spans="1:123" ht="20.25" customHeight="1" x14ac:dyDescent="0.25">
      <c r="A284" s="81" t="s">
        <v>163</v>
      </c>
      <c r="B284" s="81"/>
      <c r="C284" s="81"/>
      <c r="D284" s="81"/>
      <c r="E284" s="81"/>
      <c r="F284" s="81"/>
      <c r="G284" s="81"/>
      <c r="H284" s="281">
        <f>H282+H283</f>
        <v>8280662.1100000013</v>
      </c>
      <c r="I284" s="282"/>
      <c r="J284" s="281">
        <f>J282+J283</f>
        <v>98898121.399999976</v>
      </c>
      <c r="K284" s="282"/>
      <c r="L284" s="121"/>
      <c r="M284" s="82">
        <f>J290+J295</f>
        <v>98898121.399999991</v>
      </c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  <c r="DS284" s="82"/>
    </row>
    <row r="285" spans="1:123" ht="20.25" customHeight="1" x14ac:dyDescent="0.25">
      <c r="A285" s="81"/>
      <c r="B285" s="81"/>
      <c r="C285" s="81"/>
      <c r="D285" s="81"/>
      <c r="E285" s="81"/>
      <c r="F285" s="81"/>
      <c r="G285" s="81"/>
      <c r="H285" s="81"/>
      <c r="I285" s="83"/>
      <c r="J285" s="84"/>
      <c r="K285" s="83"/>
      <c r="L285" s="83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  <c r="CX285" s="85"/>
      <c r="CY285" s="85"/>
      <c r="CZ285" s="85"/>
      <c r="DA285" s="85"/>
      <c r="DB285" s="85"/>
      <c r="DC285" s="85"/>
      <c r="DD285" s="85"/>
      <c r="DE285" s="85"/>
      <c r="DF285" s="85"/>
      <c r="DG285" s="85"/>
      <c r="DH285" s="85"/>
      <c r="DI285" s="85"/>
      <c r="DJ285" s="85"/>
      <c r="DK285" s="85"/>
      <c r="DL285" s="85"/>
      <c r="DM285" s="85"/>
      <c r="DN285" s="85"/>
      <c r="DO285" s="85"/>
      <c r="DP285" s="85"/>
      <c r="DQ285" s="85"/>
      <c r="DR285" s="85"/>
      <c r="DS285" s="85"/>
    </row>
    <row r="286" spans="1:123" s="87" customFormat="1" ht="15" x14ac:dyDescent="0.2">
      <c r="A286" s="86" t="s">
        <v>303</v>
      </c>
      <c r="I286" s="88"/>
      <c r="J286" s="88"/>
    </row>
    <row r="287" spans="1:123" s="12" customFormat="1" ht="14.25" x14ac:dyDescent="0.2">
      <c r="I287" s="13"/>
      <c r="J287" s="13"/>
    </row>
    <row r="288" spans="1:123" ht="15.75" x14ac:dyDescent="0.25">
      <c r="A288" s="81" t="s">
        <v>304</v>
      </c>
      <c r="I288" s="83"/>
      <c r="J288" s="281">
        <f>J92+J215</f>
        <v>72790147.149999991</v>
      </c>
      <c r="K288" s="282"/>
      <c r="L288" s="121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  <c r="DA288" s="85"/>
      <c r="DB288" s="85"/>
      <c r="DC288" s="85"/>
      <c r="DD288" s="85"/>
      <c r="DE288" s="85"/>
      <c r="DF288" s="85"/>
      <c r="DG288" s="85"/>
      <c r="DH288" s="85"/>
      <c r="DI288" s="85"/>
      <c r="DJ288" s="85"/>
      <c r="DK288" s="85"/>
      <c r="DL288" s="85"/>
      <c r="DM288" s="85"/>
      <c r="DN288" s="85"/>
      <c r="DO288" s="85"/>
      <c r="DP288" s="85"/>
      <c r="DQ288" s="85"/>
      <c r="DR288" s="85"/>
      <c r="DS288" s="85"/>
    </row>
    <row r="289" spans="1:188" ht="20.25" customHeight="1" x14ac:dyDescent="0.25">
      <c r="A289" s="81" t="s">
        <v>161</v>
      </c>
      <c r="B289" s="81"/>
      <c r="C289" s="81"/>
      <c r="D289" s="81"/>
      <c r="E289" s="81"/>
      <c r="F289" s="81"/>
      <c r="G289" s="81"/>
      <c r="H289" s="81"/>
      <c r="I289" s="83"/>
      <c r="J289" s="281">
        <f>ROUND(J288*0.2,2)</f>
        <v>14558029.43</v>
      </c>
      <c r="K289" s="282"/>
      <c r="L289" s="121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  <c r="DA289" s="85"/>
      <c r="DB289" s="85"/>
      <c r="DC289" s="85"/>
      <c r="DD289" s="85"/>
      <c r="DE289" s="85"/>
      <c r="DF289" s="85"/>
      <c r="DG289" s="85"/>
      <c r="DH289" s="85"/>
      <c r="DI289" s="85"/>
      <c r="DJ289" s="85"/>
      <c r="DK289" s="85"/>
      <c r="DL289" s="85"/>
      <c r="DM289" s="85"/>
      <c r="DN289" s="85"/>
      <c r="DO289" s="85"/>
      <c r="DP289" s="85"/>
      <c r="DQ289" s="85"/>
      <c r="DR289" s="85"/>
      <c r="DS289" s="85"/>
    </row>
    <row r="290" spans="1:188" ht="19.5" customHeight="1" x14ac:dyDescent="0.25">
      <c r="A290" s="81" t="s">
        <v>163</v>
      </c>
      <c r="B290" s="81"/>
      <c r="C290" s="81"/>
      <c r="D290" s="81"/>
      <c r="E290" s="81"/>
      <c r="F290" s="81"/>
      <c r="G290" s="81"/>
      <c r="H290" s="81"/>
      <c r="I290" s="83"/>
      <c r="J290" s="281">
        <f>J288+J289</f>
        <v>87348176.579999983</v>
      </c>
      <c r="K290" s="282"/>
      <c r="L290" s="121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  <c r="DA290" s="85"/>
      <c r="DB290" s="85"/>
      <c r="DC290" s="85"/>
      <c r="DD290" s="85"/>
      <c r="DE290" s="85"/>
      <c r="DF290" s="85"/>
      <c r="DG290" s="85"/>
      <c r="DH290" s="85"/>
      <c r="DI290" s="85"/>
      <c r="DJ290" s="85"/>
      <c r="DK290" s="85"/>
      <c r="DL290" s="85"/>
      <c r="DM290" s="85"/>
      <c r="DN290" s="85"/>
      <c r="DO290" s="85"/>
      <c r="DP290" s="85"/>
      <c r="DQ290" s="85"/>
      <c r="DR290" s="85"/>
      <c r="DS290" s="85"/>
    </row>
    <row r="291" spans="1:188" s="9" customFormat="1" x14ac:dyDescent="0.2">
      <c r="A291" s="89"/>
      <c r="B291" s="89"/>
      <c r="C291" s="89"/>
      <c r="D291" s="89"/>
      <c r="E291" s="89"/>
      <c r="F291" s="89"/>
      <c r="G291" s="89"/>
      <c r="I291" s="90"/>
      <c r="J291" s="91"/>
      <c r="K291" s="90"/>
      <c r="L291" s="90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  <c r="BN291" s="92"/>
      <c r="BO291" s="92"/>
      <c r="BP291" s="92"/>
      <c r="BQ291" s="92"/>
      <c r="BR291" s="92"/>
      <c r="BS291" s="92"/>
      <c r="BT291" s="92"/>
      <c r="BU291" s="92"/>
      <c r="BV291" s="92"/>
      <c r="BW291" s="92"/>
      <c r="BX291" s="92"/>
      <c r="BY291" s="92"/>
      <c r="BZ291" s="92"/>
      <c r="CA291" s="92"/>
      <c r="CB291" s="92"/>
      <c r="CC291" s="92"/>
      <c r="CD291" s="92"/>
      <c r="CE291" s="92"/>
      <c r="CF291" s="92"/>
      <c r="CG291" s="92"/>
      <c r="CH291" s="92"/>
      <c r="CI291" s="92"/>
      <c r="CJ291" s="92"/>
      <c r="CK291" s="92"/>
      <c r="CL291" s="92"/>
      <c r="CM291" s="92"/>
      <c r="CN291" s="92"/>
      <c r="CO291" s="92"/>
      <c r="CP291" s="92"/>
      <c r="CQ291" s="92"/>
      <c r="CR291" s="92"/>
      <c r="CS291" s="92"/>
      <c r="CT291" s="92"/>
      <c r="CU291" s="92"/>
      <c r="CV291" s="92"/>
      <c r="CW291" s="92"/>
      <c r="CX291" s="92"/>
      <c r="CY291" s="92"/>
      <c r="CZ291" s="92"/>
      <c r="DA291" s="92"/>
      <c r="DB291" s="92"/>
      <c r="DC291" s="92"/>
      <c r="DD291" s="92"/>
      <c r="DE291" s="92"/>
      <c r="DF291" s="92"/>
      <c r="DG291" s="92"/>
      <c r="DH291" s="92"/>
      <c r="DI291" s="92"/>
      <c r="DJ291" s="92"/>
      <c r="DK291" s="92"/>
      <c r="DL291" s="92"/>
      <c r="DM291" s="92"/>
      <c r="DN291" s="92"/>
      <c r="DO291" s="92"/>
      <c r="DP291" s="92"/>
      <c r="DQ291" s="92"/>
      <c r="DR291" s="92"/>
      <c r="DS291" s="92"/>
    </row>
    <row r="292" spans="1:188" s="9" customFormat="1" x14ac:dyDescent="0.2">
      <c r="A292" s="89"/>
      <c r="B292" s="89"/>
      <c r="C292" s="89"/>
      <c r="D292" s="89"/>
      <c r="E292" s="89"/>
      <c r="F292" s="89"/>
      <c r="G292" s="89"/>
      <c r="I292" s="90"/>
      <c r="J292" s="91"/>
      <c r="K292" s="90"/>
      <c r="L292" s="90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  <c r="BN292" s="92"/>
      <c r="BO292" s="92"/>
      <c r="BP292" s="92"/>
      <c r="BQ292" s="92"/>
      <c r="BR292" s="92"/>
      <c r="BS292" s="92"/>
      <c r="BT292" s="92"/>
      <c r="BU292" s="92"/>
      <c r="BV292" s="92"/>
      <c r="BW292" s="92"/>
      <c r="BX292" s="92"/>
      <c r="BY292" s="92"/>
      <c r="BZ292" s="92"/>
      <c r="CA292" s="92"/>
      <c r="CB292" s="92"/>
      <c r="CC292" s="92"/>
      <c r="CD292" s="92"/>
      <c r="CE292" s="92"/>
      <c r="CF292" s="92"/>
      <c r="CG292" s="92"/>
      <c r="CH292" s="92"/>
      <c r="CI292" s="92"/>
      <c r="CJ292" s="92"/>
      <c r="CK292" s="92"/>
      <c r="CL292" s="92"/>
      <c r="CM292" s="92"/>
      <c r="CN292" s="92"/>
      <c r="CO292" s="92"/>
      <c r="CP292" s="92"/>
      <c r="CQ292" s="92"/>
      <c r="CR292" s="92"/>
      <c r="CS292" s="92"/>
      <c r="CT292" s="92"/>
      <c r="CU292" s="92"/>
      <c r="CV292" s="92"/>
      <c r="CW292" s="92"/>
      <c r="CX292" s="92"/>
      <c r="CY292" s="92"/>
      <c r="CZ292" s="92"/>
      <c r="DA292" s="92"/>
      <c r="DB292" s="92"/>
      <c r="DC292" s="92"/>
      <c r="DD292" s="92"/>
      <c r="DE292" s="92"/>
      <c r="DF292" s="92"/>
      <c r="DG292" s="92"/>
      <c r="DH292" s="92"/>
      <c r="DI292" s="92"/>
      <c r="DJ292" s="92"/>
      <c r="DK292" s="92"/>
      <c r="DL292" s="92"/>
      <c r="DM292" s="92"/>
      <c r="DN292" s="92"/>
      <c r="DO292" s="92"/>
      <c r="DP292" s="92"/>
      <c r="DQ292" s="92"/>
      <c r="DR292" s="92"/>
      <c r="DS292" s="92"/>
    </row>
    <row r="293" spans="1:188" ht="15.75" x14ac:dyDescent="0.25">
      <c r="A293" s="81" t="s">
        <v>305</v>
      </c>
      <c r="I293" s="83"/>
      <c r="J293" s="281">
        <f>J129+J155+J252+J278</f>
        <v>9624954.0200000014</v>
      </c>
      <c r="K293" s="282"/>
      <c r="L293" s="121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  <c r="BJ293" s="93"/>
      <c r="BK293" s="93"/>
      <c r="BL293" s="93"/>
      <c r="BM293" s="93"/>
      <c r="BN293" s="93"/>
      <c r="BO293" s="93"/>
      <c r="BP293" s="93"/>
      <c r="BQ293" s="93"/>
      <c r="BR293" s="93"/>
      <c r="BS293" s="93"/>
      <c r="BT293" s="93"/>
      <c r="BU293" s="93"/>
      <c r="BV293" s="93"/>
      <c r="BW293" s="93"/>
      <c r="BX293" s="93"/>
      <c r="BY293" s="93"/>
      <c r="BZ293" s="93"/>
      <c r="CA293" s="93"/>
      <c r="CB293" s="93"/>
      <c r="CC293" s="93"/>
      <c r="CD293" s="93"/>
      <c r="CE293" s="93"/>
      <c r="CF293" s="93"/>
      <c r="CG293" s="93"/>
      <c r="CH293" s="93"/>
      <c r="CI293" s="93"/>
      <c r="CJ293" s="93"/>
      <c r="CK293" s="93"/>
      <c r="CL293" s="93"/>
      <c r="CM293" s="93"/>
      <c r="CN293" s="93"/>
      <c r="CO293" s="93"/>
      <c r="CP293" s="93"/>
      <c r="CQ293" s="93"/>
      <c r="CR293" s="93"/>
      <c r="CS293" s="93"/>
      <c r="CT293" s="93"/>
      <c r="CU293" s="93"/>
      <c r="CV293" s="93"/>
      <c r="CW293" s="93"/>
      <c r="CX293" s="93"/>
      <c r="CY293" s="93"/>
      <c r="CZ293" s="93"/>
      <c r="DA293" s="93"/>
      <c r="DB293" s="93"/>
      <c r="DC293" s="93"/>
      <c r="DD293" s="93"/>
      <c r="DE293" s="93"/>
      <c r="DF293" s="93"/>
      <c r="DG293" s="93"/>
      <c r="DH293" s="93"/>
      <c r="DI293" s="93"/>
      <c r="DJ293" s="93"/>
      <c r="DK293" s="93"/>
      <c r="DL293" s="93"/>
      <c r="DM293" s="93"/>
      <c r="DN293" s="93"/>
      <c r="DO293" s="93"/>
      <c r="DP293" s="93"/>
      <c r="DQ293" s="93"/>
      <c r="DR293" s="93"/>
      <c r="DS293" s="93"/>
    </row>
    <row r="294" spans="1:188" ht="20.25" customHeight="1" x14ac:dyDescent="0.25">
      <c r="A294" s="81" t="s">
        <v>161</v>
      </c>
      <c r="B294" s="81"/>
      <c r="C294" s="81"/>
      <c r="D294" s="81"/>
      <c r="E294" s="81"/>
      <c r="F294" s="81"/>
      <c r="G294" s="81"/>
      <c r="H294" s="81"/>
      <c r="I294" s="83"/>
      <c r="J294" s="281">
        <f>ROUND(J293*0.2,2)</f>
        <v>1924990.8</v>
      </c>
      <c r="K294" s="282"/>
      <c r="L294" s="121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4"/>
      <c r="AS294" s="94"/>
      <c r="AT294" s="94"/>
      <c r="AU294" s="94"/>
      <c r="AV294" s="94"/>
      <c r="AW294" s="94"/>
      <c r="AX294" s="94"/>
      <c r="AY294" s="94"/>
      <c r="AZ294" s="94"/>
      <c r="BA294" s="94"/>
      <c r="BB294" s="94"/>
      <c r="BC294" s="94"/>
      <c r="BD294" s="94"/>
      <c r="BE294" s="94"/>
      <c r="BF294" s="94"/>
      <c r="BG294" s="94"/>
      <c r="BH294" s="94"/>
      <c r="BI294" s="94"/>
      <c r="BJ294" s="94"/>
      <c r="BK294" s="94"/>
      <c r="BL294" s="94"/>
      <c r="BM294" s="94"/>
      <c r="BN294" s="94"/>
      <c r="BO294" s="94"/>
      <c r="BP294" s="94"/>
      <c r="BQ294" s="94"/>
      <c r="BR294" s="94"/>
      <c r="BS294" s="94"/>
      <c r="BT294" s="94"/>
      <c r="BU294" s="94"/>
      <c r="BV294" s="94"/>
      <c r="BW294" s="94"/>
      <c r="BX294" s="94"/>
      <c r="BY294" s="94"/>
      <c r="BZ294" s="94"/>
      <c r="CA294" s="94"/>
      <c r="CB294" s="94"/>
      <c r="CC294" s="94"/>
      <c r="CD294" s="94"/>
      <c r="CE294" s="94"/>
      <c r="CF294" s="94"/>
      <c r="CG294" s="94"/>
      <c r="CH294" s="94"/>
      <c r="CI294" s="94"/>
      <c r="CJ294" s="94"/>
      <c r="CK294" s="94"/>
      <c r="CL294" s="94"/>
      <c r="CM294" s="94"/>
      <c r="CN294" s="94"/>
      <c r="CO294" s="94"/>
      <c r="CP294" s="94"/>
      <c r="CQ294" s="94"/>
      <c r="CR294" s="94"/>
      <c r="CS294" s="94"/>
      <c r="CT294" s="94"/>
      <c r="CU294" s="94"/>
      <c r="CV294" s="94"/>
      <c r="CW294" s="94"/>
      <c r="CX294" s="94"/>
      <c r="CY294" s="94"/>
      <c r="CZ294" s="94"/>
      <c r="DA294" s="94"/>
      <c r="DB294" s="94"/>
      <c r="DC294" s="94"/>
      <c r="DD294" s="94"/>
      <c r="DE294" s="94"/>
      <c r="DF294" s="94"/>
      <c r="DG294" s="94"/>
      <c r="DH294" s="94"/>
      <c r="DI294" s="94"/>
      <c r="DJ294" s="94"/>
      <c r="DK294" s="94"/>
      <c r="DL294" s="94"/>
      <c r="DM294" s="94"/>
      <c r="DN294" s="94"/>
      <c r="DO294" s="94"/>
      <c r="DP294" s="94"/>
      <c r="DQ294" s="94"/>
      <c r="DR294" s="94"/>
      <c r="DS294" s="94"/>
      <c r="DT294" s="95"/>
      <c r="DU294" s="95"/>
      <c r="DV294" s="95"/>
      <c r="DW294" s="95"/>
      <c r="DX294" s="95"/>
      <c r="DY294" s="95"/>
      <c r="DZ294" s="95"/>
      <c r="EA294" s="95"/>
      <c r="EB294" s="95"/>
      <c r="EC294" s="95"/>
      <c r="ED294" s="95"/>
      <c r="EE294" s="95"/>
      <c r="EF294" s="95"/>
      <c r="EG294" s="95"/>
      <c r="EH294" s="95"/>
      <c r="EI294" s="95"/>
      <c r="EJ294" s="95"/>
      <c r="EK294" s="95"/>
      <c r="EL294" s="95"/>
      <c r="EM294" s="95"/>
      <c r="EN294" s="95"/>
      <c r="EO294" s="95"/>
      <c r="EP294" s="95"/>
      <c r="EQ294" s="95"/>
      <c r="ER294" s="95"/>
      <c r="ES294" s="95"/>
      <c r="ET294" s="95"/>
      <c r="EU294" s="95"/>
      <c r="EV294" s="95"/>
      <c r="EW294" s="95"/>
      <c r="EX294" s="95"/>
      <c r="EY294" s="95"/>
      <c r="EZ294" s="95"/>
      <c r="FA294" s="95"/>
      <c r="FB294" s="95"/>
      <c r="FC294" s="95"/>
      <c r="FD294" s="95"/>
      <c r="FE294" s="95"/>
      <c r="FF294" s="95"/>
      <c r="FG294" s="95"/>
      <c r="FH294" s="95"/>
      <c r="FI294" s="95"/>
      <c r="FJ294" s="95"/>
      <c r="FK294" s="95"/>
      <c r="FL294" s="95"/>
      <c r="FM294" s="95"/>
      <c r="FN294" s="95"/>
      <c r="FO294" s="95"/>
      <c r="FP294" s="95"/>
      <c r="FQ294" s="95"/>
      <c r="FR294" s="95"/>
      <c r="FS294" s="95"/>
      <c r="FT294" s="95"/>
      <c r="FU294" s="95"/>
      <c r="FV294" s="95"/>
      <c r="FW294" s="95"/>
      <c r="FX294" s="95"/>
      <c r="FY294" s="95"/>
      <c r="FZ294" s="95"/>
      <c r="GA294" s="95"/>
      <c r="GB294" s="95"/>
      <c r="GC294" s="95"/>
      <c r="GD294" s="95"/>
      <c r="GE294" s="95"/>
      <c r="GF294" s="95"/>
    </row>
    <row r="295" spans="1:188" ht="17.25" customHeight="1" x14ac:dyDescent="0.25">
      <c r="A295" s="81" t="s">
        <v>163</v>
      </c>
      <c r="B295" s="81"/>
      <c r="C295" s="81"/>
      <c r="D295" s="81"/>
      <c r="E295" s="81"/>
      <c r="F295" s="81"/>
      <c r="G295" s="81"/>
      <c r="H295" s="81"/>
      <c r="I295" s="83"/>
      <c r="J295" s="281">
        <f>J293+J294</f>
        <v>11549944.820000002</v>
      </c>
      <c r="K295" s="282"/>
      <c r="L295" s="121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  <c r="BJ295" s="93"/>
      <c r="BK295" s="93"/>
      <c r="BL295" s="93"/>
      <c r="BM295" s="93"/>
      <c r="BN295" s="93"/>
      <c r="BO295" s="93"/>
      <c r="BP295" s="93"/>
      <c r="BQ295" s="93"/>
      <c r="BR295" s="93"/>
      <c r="BS295" s="93"/>
      <c r="BT295" s="93"/>
      <c r="BU295" s="93"/>
      <c r="BV295" s="93"/>
      <c r="BW295" s="93"/>
      <c r="BX295" s="93"/>
      <c r="BY295" s="93"/>
      <c r="BZ295" s="93"/>
      <c r="CA295" s="93"/>
      <c r="CB295" s="93"/>
      <c r="CC295" s="93"/>
      <c r="CD295" s="93"/>
      <c r="CE295" s="93"/>
      <c r="CF295" s="93"/>
      <c r="CG295" s="93"/>
      <c r="CH295" s="93"/>
      <c r="CI295" s="93"/>
      <c r="CJ295" s="93"/>
      <c r="CK295" s="93"/>
      <c r="CL295" s="93"/>
      <c r="CM295" s="93"/>
      <c r="CN295" s="93"/>
      <c r="CO295" s="93"/>
      <c r="CP295" s="93"/>
      <c r="CQ295" s="93"/>
      <c r="CR295" s="93"/>
      <c r="CS295" s="93"/>
      <c r="CT295" s="93"/>
      <c r="CU295" s="93"/>
      <c r="CV295" s="93"/>
      <c r="CW295" s="93"/>
      <c r="CX295" s="93"/>
      <c r="CY295" s="93"/>
      <c r="CZ295" s="93"/>
      <c r="DA295" s="93"/>
      <c r="DB295" s="93"/>
      <c r="DC295" s="93"/>
      <c r="DD295" s="93"/>
      <c r="DE295" s="93"/>
      <c r="DF295" s="93"/>
      <c r="DG295" s="93"/>
      <c r="DH295" s="93"/>
      <c r="DI295" s="93"/>
      <c r="DJ295" s="93"/>
      <c r="DK295" s="93"/>
      <c r="DL295" s="93"/>
      <c r="DM295" s="93"/>
      <c r="DN295" s="93"/>
      <c r="DO295" s="93"/>
      <c r="DP295" s="93"/>
      <c r="DQ295" s="93"/>
      <c r="DR295" s="93"/>
      <c r="DS295" s="93"/>
      <c r="DT295" s="95"/>
      <c r="DU295" s="95"/>
      <c r="DV295" s="95"/>
      <c r="DW295" s="95"/>
      <c r="DX295" s="95"/>
      <c r="DY295" s="95"/>
      <c r="DZ295" s="95"/>
      <c r="EA295" s="95"/>
      <c r="EB295" s="95"/>
      <c r="EC295" s="95"/>
      <c r="ED295" s="95"/>
      <c r="EE295" s="95"/>
      <c r="EF295" s="95"/>
      <c r="EG295" s="95"/>
      <c r="EH295" s="95"/>
      <c r="EI295" s="95"/>
      <c r="EJ295" s="95"/>
      <c r="EK295" s="95"/>
      <c r="EL295" s="95"/>
      <c r="EM295" s="95"/>
      <c r="EN295" s="95"/>
      <c r="EO295" s="95"/>
      <c r="EP295" s="95"/>
      <c r="EQ295" s="95"/>
      <c r="ER295" s="95"/>
      <c r="ES295" s="95"/>
      <c r="ET295" s="95"/>
      <c r="EU295" s="95"/>
      <c r="EV295" s="95"/>
      <c r="EW295" s="95"/>
      <c r="EX295" s="95"/>
      <c r="EY295" s="95"/>
      <c r="EZ295" s="95"/>
      <c r="FA295" s="95"/>
      <c r="FB295" s="95"/>
      <c r="FC295" s="95"/>
      <c r="FD295" s="95"/>
      <c r="FE295" s="95"/>
      <c r="FF295" s="95"/>
      <c r="FG295" s="95"/>
      <c r="FH295" s="95"/>
      <c r="FI295" s="95"/>
      <c r="FJ295" s="95"/>
      <c r="FK295" s="95"/>
      <c r="FL295" s="95"/>
      <c r="FM295" s="95"/>
      <c r="FN295" s="95"/>
      <c r="FO295" s="95"/>
      <c r="FP295" s="95"/>
      <c r="FQ295" s="95"/>
      <c r="FR295" s="95"/>
      <c r="FS295" s="95"/>
      <c r="FT295" s="95"/>
      <c r="FU295" s="95"/>
      <c r="FV295" s="95"/>
      <c r="FW295" s="95"/>
      <c r="FX295" s="95"/>
      <c r="FY295" s="95"/>
      <c r="FZ295" s="95"/>
      <c r="GA295" s="95"/>
      <c r="GB295" s="95"/>
      <c r="GC295" s="95"/>
      <c r="GD295" s="95"/>
      <c r="GE295" s="95"/>
      <c r="GF295" s="95"/>
    </row>
    <row r="305" spans="1:12" ht="14.25" x14ac:dyDescent="0.2">
      <c r="C305" s="308"/>
      <c r="D305" s="308"/>
      <c r="E305" s="308"/>
      <c r="F305" s="308"/>
      <c r="G305" s="308"/>
      <c r="H305" s="308"/>
      <c r="I305" s="308"/>
      <c r="J305" s="309"/>
      <c r="K305" s="309"/>
      <c r="L305" s="38"/>
    </row>
    <row r="306" spans="1:12" ht="14.25" x14ac:dyDescent="0.2">
      <c r="C306" s="308"/>
      <c r="D306" s="308"/>
      <c r="E306" s="308"/>
      <c r="F306" s="308"/>
      <c r="G306" s="308"/>
      <c r="H306" s="308"/>
      <c r="I306" s="308"/>
      <c r="J306" s="309"/>
      <c r="K306" s="309"/>
      <c r="L306" s="38"/>
    </row>
    <row r="307" spans="1:12" x14ac:dyDescent="0.2">
      <c r="A307" s="96" t="str">
        <f>Source!B1</f>
        <v>Smeta.RU  (495) 974-1589</v>
      </c>
    </row>
    <row r="308" spans="1:12" ht="14.2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 spans="1:12" ht="15.75" x14ac:dyDescent="0.25">
      <c r="A309" s="285" t="str">
        <f>CONCATENATE( "ЛОКАЛЬНАЯ СМЕТА № 2",IF(Source!F290&lt;&gt;"Новая локальная смета", Source!F290, ""))</f>
        <v>ЛОКАЛЬНАЯ СМЕТА № 2</v>
      </c>
      <c r="B309" s="286"/>
      <c r="C309" s="286"/>
      <c r="D309" s="286"/>
      <c r="E309" s="286"/>
      <c r="F309" s="286"/>
      <c r="G309" s="286"/>
      <c r="H309" s="286"/>
      <c r="I309" s="286"/>
      <c r="J309" s="286"/>
      <c r="K309" s="286"/>
      <c r="L309" s="66"/>
    </row>
    <row r="310" spans="1:12" ht="14.2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 spans="1:12" ht="18" x14ac:dyDescent="0.25">
      <c r="A311" s="287" t="str">
        <f>IF(Source!G290&lt;&gt;"Новая локальная смета", Source!G290, "")</f>
        <v>Затраты на перевозку отходов строительства и сноса, в т.ч. грунта, автотранспортными средствами</v>
      </c>
      <c r="B311" s="287"/>
      <c r="C311" s="287"/>
      <c r="D311" s="287"/>
      <c r="E311" s="287"/>
      <c r="F311" s="287"/>
      <c r="G311" s="287"/>
      <c r="H311" s="287"/>
      <c r="I311" s="287"/>
      <c r="J311" s="287"/>
      <c r="K311" s="287"/>
      <c r="L311" s="117"/>
    </row>
    <row r="312" spans="1:12" x14ac:dyDescent="0.2">
      <c r="A312" s="288" t="s">
        <v>247</v>
      </c>
      <c r="B312" s="289"/>
      <c r="C312" s="289"/>
      <c r="D312" s="289"/>
      <c r="E312" s="289"/>
      <c r="F312" s="289"/>
      <c r="G312" s="289"/>
      <c r="H312" s="289"/>
      <c r="I312" s="289"/>
      <c r="J312" s="289"/>
      <c r="K312" s="289"/>
      <c r="L312" s="16"/>
    </row>
    <row r="313" spans="1:12" ht="14.2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 spans="1:12" ht="14.25" x14ac:dyDescent="0.2">
      <c r="A314" s="290" t="str">
        <f>CONCATENATE( "Основание: чертежи № ", Source!J290)</f>
        <v xml:space="preserve">Основание: чертежи № </v>
      </c>
      <c r="B314" s="290"/>
      <c r="C314" s="290"/>
      <c r="D314" s="290"/>
      <c r="E314" s="290"/>
      <c r="F314" s="290"/>
      <c r="G314" s="290"/>
      <c r="H314" s="290"/>
      <c r="I314" s="290"/>
      <c r="J314" s="290"/>
      <c r="K314" s="290"/>
      <c r="L314" s="17"/>
    </row>
    <row r="315" spans="1:12" ht="14.2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ht="28.5" x14ac:dyDescent="0.2">
      <c r="A316" s="12"/>
      <c r="B316" s="12"/>
      <c r="C316" s="12"/>
      <c r="D316" s="12"/>
      <c r="E316" s="12"/>
      <c r="F316" s="12"/>
      <c r="G316" s="12"/>
      <c r="H316" s="12"/>
      <c r="I316" s="18" t="s">
        <v>249</v>
      </c>
      <c r="J316" s="18" t="s">
        <v>250</v>
      </c>
      <c r="K316" s="12"/>
      <c r="L316" s="12"/>
    </row>
    <row r="317" spans="1:12" ht="15" x14ac:dyDescent="0.25">
      <c r="A317" s="12"/>
      <c r="B317" s="12"/>
      <c r="C317" s="12"/>
      <c r="D317" s="12"/>
      <c r="E317" s="296" t="s">
        <v>251</v>
      </c>
      <c r="F317" s="296"/>
      <c r="G317" s="296"/>
      <c r="H317" s="296"/>
      <c r="I317" s="19">
        <f>SUM(BD331:BD358)</f>
        <v>122561.59</v>
      </c>
      <c r="J317" s="19">
        <f>(Source!F394)</f>
        <v>1317537.0900000001</v>
      </c>
      <c r="K317" s="20" t="s">
        <v>282</v>
      </c>
      <c r="L317" s="20"/>
    </row>
    <row r="318" spans="1:12" ht="14.25" x14ac:dyDescent="0.2">
      <c r="A318" s="12"/>
      <c r="B318" s="12"/>
      <c r="C318" s="12"/>
      <c r="D318" s="12"/>
      <c r="E318" s="291" t="s">
        <v>21</v>
      </c>
      <c r="F318" s="291"/>
      <c r="G318" s="291"/>
      <c r="H318" s="291"/>
      <c r="I318" s="21">
        <f>SUM(BM331:BM358)</f>
        <v>0</v>
      </c>
      <c r="J318" s="21">
        <f>(Source!F383)</f>
        <v>0</v>
      </c>
      <c r="K318" s="12" t="s">
        <v>282</v>
      </c>
      <c r="L318" s="12"/>
    </row>
    <row r="319" spans="1:12" ht="14.25" x14ac:dyDescent="0.2">
      <c r="A319" s="12"/>
      <c r="B319" s="12"/>
      <c r="C319" s="12"/>
      <c r="D319" s="12"/>
      <c r="E319" s="291" t="s">
        <v>252</v>
      </c>
      <c r="F319" s="291"/>
      <c r="G319" s="291"/>
      <c r="H319" s="291"/>
      <c r="I319" s="21">
        <f>SUM(BN331:BN358)</f>
        <v>0</v>
      </c>
      <c r="J319" s="21">
        <f>(Source!F384)</f>
        <v>0</v>
      </c>
      <c r="K319" s="12" t="s">
        <v>282</v>
      </c>
      <c r="L319" s="12"/>
    </row>
    <row r="320" spans="1:12" ht="14.25" x14ac:dyDescent="0.2">
      <c r="A320" s="12"/>
      <c r="B320" s="12"/>
      <c r="C320" s="12"/>
      <c r="D320" s="12"/>
      <c r="E320" s="291" t="s">
        <v>253</v>
      </c>
      <c r="F320" s="291"/>
      <c r="G320" s="291"/>
      <c r="H320" s="291"/>
      <c r="I320" s="21">
        <f>SUM(BO331:BO358)</f>
        <v>0</v>
      </c>
      <c r="J320" s="21">
        <f>(Source!F375)</f>
        <v>0</v>
      </c>
      <c r="K320" s="12" t="s">
        <v>282</v>
      </c>
      <c r="L320" s="12"/>
    </row>
    <row r="321" spans="1:78" ht="14.25" x14ac:dyDescent="0.2">
      <c r="A321" s="12"/>
      <c r="B321" s="12"/>
      <c r="C321" s="12"/>
      <c r="D321" s="12"/>
      <c r="E321" s="291" t="s">
        <v>254</v>
      </c>
      <c r="F321" s="291"/>
      <c r="G321" s="291"/>
      <c r="H321" s="291"/>
      <c r="I321" s="21">
        <f>SUM(BP331:BP358)</f>
        <v>122561.59</v>
      </c>
      <c r="J321" s="21">
        <f>(Source!F385+Source!F386)</f>
        <v>1317537.0900000001</v>
      </c>
      <c r="K321" s="12" t="s">
        <v>282</v>
      </c>
      <c r="L321" s="12"/>
    </row>
    <row r="322" spans="1:78" ht="14.25" x14ac:dyDescent="0.2">
      <c r="A322" s="12"/>
      <c r="B322" s="12"/>
      <c r="C322" s="12"/>
      <c r="D322" s="12"/>
      <c r="E322" s="291" t="s">
        <v>255</v>
      </c>
      <c r="F322" s="291"/>
      <c r="G322" s="291"/>
      <c r="H322" s="291"/>
      <c r="I322" s="21">
        <f>SUM(BL331:BL358)</f>
        <v>0</v>
      </c>
      <c r="J322" s="21">
        <f>(Source!F381+ Source!F380)</f>
        <v>0</v>
      </c>
      <c r="K322" s="12" t="s">
        <v>282</v>
      </c>
      <c r="L322" s="12"/>
    </row>
    <row r="323" spans="1:78" ht="14.25" x14ac:dyDescent="0.2">
      <c r="A323" s="12"/>
      <c r="B323" s="12"/>
      <c r="C323" s="12"/>
      <c r="D323" s="12"/>
      <c r="E323" s="291" t="s">
        <v>256</v>
      </c>
      <c r="F323" s="291"/>
      <c r="G323" s="291"/>
      <c r="H323" s="291"/>
      <c r="I323" s="21">
        <f>SUM(BQ331:BQ358)</f>
        <v>0</v>
      </c>
      <c r="J323" s="21"/>
      <c r="K323" s="12" t="s">
        <v>212</v>
      </c>
      <c r="L323" s="12"/>
    </row>
    <row r="324" spans="1:78" ht="14.25" hidden="1" x14ac:dyDescent="0.2">
      <c r="A324" s="12"/>
      <c r="B324" s="12"/>
      <c r="C324" s="12"/>
      <c r="D324" s="12"/>
      <c r="E324" s="292" t="s">
        <v>257</v>
      </c>
      <c r="F324" s="292"/>
      <c r="G324" s="292"/>
      <c r="H324" s="292"/>
      <c r="I324" s="21"/>
      <c r="J324" s="21"/>
      <c r="K324" s="12"/>
      <c r="L324" s="12"/>
    </row>
    <row r="325" spans="1:78" ht="14.25" hidden="1" x14ac:dyDescent="0.2">
      <c r="A325" s="12"/>
      <c r="B325" s="12"/>
      <c r="C325" s="12"/>
      <c r="D325" s="12"/>
      <c r="E325" s="293" t="s">
        <v>90</v>
      </c>
      <c r="F325" s="293"/>
      <c r="G325" s="293"/>
      <c r="H325" s="293"/>
      <c r="I325" s="21">
        <f>SUM(BT331:BT358)</f>
        <v>0</v>
      </c>
      <c r="J325" s="21">
        <f>SUM(BU331:BU358)</f>
        <v>0</v>
      </c>
      <c r="K325" s="12" t="s">
        <v>282</v>
      </c>
      <c r="L325" s="12"/>
    </row>
    <row r="326" spans="1:78" ht="14.25" x14ac:dyDescent="0.2">
      <c r="A326" s="12"/>
      <c r="B326" s="12"/>
      <c r="C326" s="12"/>
      <c r="D326" s="12"/>
      <c r="E326" s="12"/>
      <c r="F326" s="14"/>
      <c r="G326" s="14"/>
      <c r="H326" s="14"/>
      <c r="I326" s="21"/>
      <c r="J326" s="21"/>
      <c r="K326" s="12"/>
      <c r="L326" s="12"/>
    </row>
    <row r="327" spans="1:78" ht="14.25" x14ac:dyDescent="0.2">
      <c r="A327" s="12" t="s">
        <v>269</v>
      </c>
      <c r="B327" s="12"/>
      <c r="C327" s="12"/>
      <c r="D327" s="12"/>
      <c r="E327" s="12"/>
      <c r="F327" s="14"/>
      <c r="G327" s="14"/>
      <c r="H327" s="14"/>
      <c r="I327" s="21"/>
      <c r="J327" s="21"/>
      <c r="K327" s="12"/>
      <c r="L327" s="12"/>
    </row>
    <row r="328" spans="1:78" ht="14.25" x14ac:dyDescent="0.2">
      <c r="A328" s="290" t="s">
        <v>270</v>
      </c>
      <c r="B328" s="290"/>
      <c r="C328" s="290"/>
      <c r="D328" s="290"/>
      <c r="E328" s="290"/>
      <c r="F328" s="290"/>
      <c r="G328" s="290"/>
      <c r="H328" s="290"/>
      <c r="I328" s="290"/>
      <c r="J328" s="290"/>
      <c r="K328" s="290"/>
      <c r="L328" s="17"/>
      <c r="BZ328" s="26" t="s">
        <v>270</v>
      </c>
    </row>
    <row r="329" spans="1:78" ht="99.75" x14ac:dyDescent="0.2">
      <c r="A329" s="22" t="s">
        <v>258</v>
      </c>
      <c r="B329" s="22" t="s">
        <v>259</v>
      </c>
      <c r="C329" s="22" t="s">
        <v>260</v>
      </c>
      <c r="D329" s="22" t="s">
        <v>261</v>
      </c>
      <c r="E329" s="22" t="s">
        <v>262</v>
      </c>
      <c r="F329" s="22" t="s">
        <v>263</v>
      </c>
      <c r="G329" s="23" t="s">
        <v>264</v>
      </c>
      <c r="H329" s="23" t="s">
        <v>265</v>
      </c>
      <c r="I329" s="22" t="s">
        <v>266</v>
      </c>
      <c r="J329" s="22" t="s">
        <v>267</v>
      </c>
      <c r="K329" s="22" t="s">
        <v>268</v>
      </c>
      <c r="L329" s="118"/>
    </row>
    <row r="330" spans="1:78" ht="14.25" x14ac:dyDescent="0.2">
      <c r="A330" s="22">
        <v>1</v>
      </c>
      <c r="B330" s="22">
        <v>2</v>
      </c>
      <c r="C330" s="22">
        <v>3</v>
      </c>
      <c r="D330" s="22">
        <v>4</v>
      </c>
      <c r="E330" s="22">
        <v>5</v>
      </c>
      <c r="F330" s="22">
        <v>6</v>
      </c>
      <c r="G330" s="22">
        <v>7</v>
      </c>
      <c r="H330" s="22">
        <v>8</v>
      </c>
      <c r="I330" s="22">
        <v>9</v>
      </c>
      <c r="J330" s="22">
        <v>10</v>
      </c>
      <c r="K330" s="22">
        <v>11</v>
      </c>
      <c r="L330" s="118"/>
    </row>
    <row r="332" spans="1:78" ht="16.5" x14ac:dyDescent="0.25">
      <c r="A332" s="294" t="str">
        <f>CONCATENATE("Раздел: ",IF(Source!G294&lt;&gt;"Новый раздел", Source!G294, ""))</f>
        <v>Раздел: Посадка деревьев с комом земли 1,5х1,5х0,65 м - 4625 шт.</v>
      </c>
      <c r="B332" s="294"/>
      <c r="C332" s="294"/>
      <c r="D332" s="294"/>
      <c r="E332" s="294"/>
      <c r="F332" s="294"/>
      <c r="G332" s="294"/>
      <c r="H332" s="294"/>
      <c r="I332" s="294"/>
      <c r="J332" s="294"/>
      <c r="K332" s="294"/>
      <c r="L332" s="27"/>
    </row>
    <row r="333" spans="1:78" ht="57" x14ac:dyDescent="0.2">
      <c r="A333" s="28" t="str">
        <f>Source!E298</f>
        <v>21</v>
      </c>
      <c r="B333" s="29" t="str">
        <f>Source!F298</f>
        <v>15.2-1-2</v>
      </c>
      <c r="C333" s="29" t="s">
        <v>167</v>
      </c>
      <c r="D333" s="30" t="str">
        <f>Source!H298</f>
        <v>т</v>
      </c>
      <c r="E333" s="11">
        <f>Source!I298</f>
        <v>21497</v>
      </c>
      <c r="F333" s="32"/>
      <c r="G333" s="31"/>
      <c r="H333" s="11"/>
      <c r="I333" s="33"/>
      <c r="J333" s="11"/>
      <c r="K333" s="33"/>
      <c r="L333" s="38"/>
      <c r="BF333">
        <f>ROUND((Source!DN298/100)*ROUND((ROUND((Source!AF298*Source!AV298*Source!I298),2)),2), 2)</f>
        <v>0</v>
      </c>
      <c r="BG333">
        <f>Source!X298</f>
        <v>0</v>
      </c>
      <c r="BH333">
        <f>ROUND((Source!DO298/100)*ROUND((ROUND((Source!AF298*Source!AV298*Source!I298),2)),2), 2)</f>
        <v>0</v>
      </c>
      <c r="BI333">
        <f>Source!Y298</f>
        <v>0</v>
      </c>
      <c r="BJ333">
        <f>ROUND((175/100)*ROUND((ROUND((Source!AE298*Source!AV298*Source!I298),2)),2), 2)</f>
        <v>0</v>
      </c>
      <c r="BK333">
        <f>ROUND((157/100)*ROUND(ROUND((ROUND((Source!AE298*Source!AV298*Source!I298),2)*Source!BS298),2), 2), 2)</f>
        <v>0</v>
      </c>
    </row>
    <row r="334" spans="1:78" x14ac:dyDescent="0.2">
      <c r="C334" s="34" t="str">
        <f>"Объем: "&amp;Source!I298&amp;"=15355*"&amp;"1,4"</f>
        <v>Объем: 21497=15355*1,4</v>
      </c>
    </row>
    <row r="335" spans="1:78" ht="14.25" x14ac:dyDescent="0.2">
      <c r="A335" s="39"/>
      <c r="B335" s="40"/>
      <c r="C335" s="40" t="s">
        <v>272</v>
      </c>
      <c r="D335" s="41"/>
      <c r="E335" s="42"/>
      <c r="F335" s="43">
        <f>Source!AM298</f>
        <v>5.64</v>
      </c>
      <c r="G335" s="44" t="str">
        <f>Source!DE298</f>
        <v/>
      </c>
      <c r="H335" s="42">
        <f>Source!AV298</f>
        <v>1</v>
      </c>
      <c r="I335" s="45">
        <f>(ROUND((ROUND(((Source!ET298)*Source!AV298*Source!I298),2)),2)+ROUND((ROUND(((Source!AE298-(Source!EU298))*Source!AV298*Source!I298),2)),2))</f>
        <v>121243.08</v>
      </c>
      <c r="J335" s="42">
        <f>IF(Source!BB298&lt;&gt; 0, Source!BB298, 1)</f>
        <v>10.75</v>
      </c>
      <c r="K335" s="45">
        <f>Source!Q298</f>
        <v>1303363.1100000001</v>
      </c>
      <c r="L335" s="119"/>
    </row>
    <row r="336" spans="1:78" ht="15" x14ac:dyDescent="0.25">
      <c r="A336" s="46"/>
      <c r="B336" s="46"/>
      <c r="C336" s="47" t="s">
        <v>281</v>
      </c>
      <c r="D336" s="46"/>
      <c r="E336" s="46"/>
      <c r="F336" s="46"/>
      <c r="G336" s="46"/>
      <c r="H336" s="295">
        <f>I335</f>
        <v>121243.08</v>
      </c>
      <c r="I336" s="295"/>
      <c r="J336" s="295">
        <f>K335</f>
        <v>1303363.1100000001</v>
      </c>
      <c r="K336" s="295"/>
      <c r="L336" s="120"/>
      <c r="BD336" s="37">
        <f>I335</f>
        <v>121243.08</v>
      </c>
      <c r="BE336" s="37">
        <f>K335</f>
        <v>1303363.1100000001</v>
      </c>
      <c r="BM336">
        <f>IF(Source!BI298&lt;=1,I335-0, 0)</f>
        <v>0</v>
      </c>
      <c r="BN336">
        <f>IF(Source!BI298=2,I335-0, 0)</f>
        <v>0</v>
      </c>
      <c r="BO336">
        <f>IF(Source!BI298=3,I335-0, 0)</f>
        <v>0</v>
      </c>
      <c r="BP336">
        <f>IF(Source!BI298=4,I335,0)</f>
        <v>121243.08</v>
      </c>
    </row>
    <row r="339" spans="1:79" ht="15" x14ac:dyDescent="0.25">
      <c r="A339" s="307" t="str">
        <f>CONCATENATE("Итого по разделу: ",IF(Source!G300&lt;&gt;"Новый раздел", Source!G300, ""))</f>
        <v>Итого по разделу: Посадка деревьев с комом земли 1,5х1,5х0,65 м - 4625 шт.</v>
      </c>
      <c r="B339" s="307"/>
      <c r="C339" s="307"/>
      <c r="D339" s="307"/>
      <c r="E339" s="307"/>
      <c r="F339" s="307"/>
      <c r="G339" s="307"/>
      <c r="H339" s="305">
        <f>SUM(BD332:BD338)</f>
        <v>121243.08</v>
      </c>
      <c r="I339" s="306"/>
      <c r="J339" s="305">
        <f>SUM(BE332:BE338)</f>
        <v>1303363.1100000001</v>
      </c>
      <c r="K339" s="306"/>
      <c r="L339" s="49"/>
      <c r="CA339" s="50" t="str">
        <f>CONCATENATE("Итого по разделу: ",IF(Source!G300&lt;&gt;"Новый раздел", Source!G300, ""))</f>
        <v>Итого по разделу: Посадка деревьев с комом земли 1,5х1,5х0,65 м - 4625 шт.</v>
      </c>
    </row>
    <row r="340" spans="1:79" hidden="1" x14ac:dyDescent="0.2"/>
    <row r="341" spans="1:79" hidden="1" x14ac:dyDescent="0.2"/>
    <row r="343" spans="1:79" ht="16.5" x14ac:dyDescent="0.25">
      <c r="A343" s="294" t="str">
        <f>CONCATENATE("Раздел: ",IF(Source!G330&lt;&gt;"Новый раздел", Source!G330, ""))</f>
        <v>Раздел: Посадка деревьев с комом земли 1,0х1,0х0,6 м - 91 шт.</v>
      </c>
      <c r="B343" s="294"/>
      <c r="C343" s="294"/>
      <c r="D343" s="294"/>
      <c r="E343" s="294"/>
      <c r="F343" s="294"/>
      <c r="G343" s="294"/>
      <c r="H343" s="294"/>
      <c r="I343" s="294"/>
      <c r="J343" s="294"/>
      <c r="K343" s="294"/>
      <c r="L343" s="27"/>
    </row>
    <row r="344" spans="1:79" ht="57" x14ac:dyDescent="0.2">
      <c r="A344" s="28" t="str">
        <f>Source!E334</f>
        <v>22</v>
      </c>
      <c r="B344" s="29" t="str">
        <f>Source!F334</f>
        <v>15.2-1-2</v>
      </c>
      <c r="C344" s="29" t="s">
        <v>167</v>
      </c>
      <c r="D344" s="30" t="str">
        <f>Source!H334</f>
        <v>т</v>
      </c>
      <c r="E344" s="11">
        <f>Source!I334</f>
        <v>233.779</v>
      </c>
      <c r="F344" s="32"/>
      <c r="G344" s="31"/>
      <c r="H344" s="11"/>
      <c r="I344" s="33"/>
      <c r="J344" s="11"/>
      <c r="K344" s="33"/>
      <c r="L344" s="38"/>
      <c r="BF344">
        <f>ROUND((Source!DN334/100)*ROUND((ROUND((Source!AF334*Source!AV334*Source!I334),2)),2), 2)</f>
        <v>0</v>
      </c>
      <c r="BG344">
        <f>Source!X334</f>
        <v>0</v>
      </c>
      <c r="BH344">
        <f>ROUND((Source!DO334/100)*ROUND((ROUND((Source!AF334*Source!AV334*Source!I334),2)),2), 2)</f>
        <v>0</v>
      </c>
      <c r="BI344">
        <f>Source!Y334</f>
        <v>0</v>
      </c>
      <c r="BJ344">
        <f>ROUND((175/100)*ROUND((ROUND((Source!AE334*Source!AV334*Source!I334),2)),2), 2)</f>
        <v>0</v>
      </c>
      <c r="BK344">
        <f>ROUND((157/100)*ROUND(ROUND((ROUND((Source!AE334*Source!AV334*Source!I334),2)*Source!BS334),2), 2), 2)</f>
        <v>0</v>
      </c>
    </row>
    <row r="345" spans="1:79" x14ac:dyDescent="0.2">
      <c r="C345" s="34" t="str">
        <f>"Объем: "&amp;Source!I334&amp;"=166,985*"&amp;"1,4"</f>
        <v>Объем: 233,779=166,985*1,4</v>
      </c>
    </row>
    <row r="346" spans="1:79" ht="14.25" x14ac:dyDescent="0.2">
      <c r="A346" s="39"/>
      <c r="B346" s="40"/>
      <c r="C346" s="40" t="s">
        <v>272</v>
      </c>
      <c r="D346" s="41"/>
      <c r="E346" s="42"/>
      <c r="F346" s="43">
        <f>Source!AM334</f>
        <v>5.64</v>
      </c>
      <c r="G346" s="44" t="str">
        <f>Source!DE334</f>
        <v/>
      </c>
      <c r="H346" s="42">
        <f>Source!AV334</f>
        <v>1</v>
      </c>
      <c r="I346" s="45">
        <f>(ROUND((ROUND(((Source!ET334)*Source!AV334*Source!I334),2)),2)+ROUND((ROUND(((Source!AE334-(Source!EU334))*Source!AV334*Source!I334),2)),2))</f>
        <v>1318.51</v>
      </c>
      <c r="J346" s="42">
        <f>IF(Source!BB334&lt;&gt; 0, Source!BB334, 1)</f>
        <v>10.75</v>
      </c>
      <c r="K346" s="45">
        <f>Source!Q334</f>
        <v>14173.98</v>
      </c>
      <c r="L346" s="119"/>
    </row>
    <row r="347" spans="1:79" ht="15" x14ac:dyDescent="0.25">
      <c r="A347" s="46"/>
      <c r="B347" s="46"/>
      <c r="C347" s="47" t="s">
        <v>281</v>
      </c>
      <c r="D347" s="46"/>
      <c r="E347" s="46"/>
      <c r="F347" s="46"/>
      <c r="G347" s="46"/>
      <c r="H347" s="295">
        <f>I346</f>
        <v>1318.51</v>
      </c>
      <c r="I347" s="295"/>
      <c r="J347" s="295">
        <f>K346</f>
        <v>14173.98</v>
      </c>
      <c r="K347" s="295"/>
      <c r="L347" s="120"/>
      <c r="BD347" s="37">
        <f>I346</f>
        <v>1318.51</v>
      </c>
      <c r="BE347" s="37">
        <f>K346</f>
        <v>14173.98</v>
      </c>
      <c r="BM347">
        <f>IF(Source!BI334&lt;=1,I346-0, 0)</f>
        <v>0</v>
      </c>
      <c r="BN347">
        <f>IF(Source!BI334=2,I346-0, 0)</f>
        <v>0</v>
      </c>
      <c r="BO347">
        <f>IF(Source!BI334=3,I346-0, 0)</f>
        <v>0</v>
      </c>
      <c r="BP347">
        <f>IF(Source!BI334=4,I346,0)</f>
        <v>1318.51</v>
      </c>
    </row>
    <row r="350" spans="1:79" ht="15" x14ac:dyDescent="0.25">
      <c r="A350" s="307" t="str">
        <f>CONCATENATE("Итого по разделу: ",IF(Source!G336&lt;&gt;"Новый раздел", Source!G336, ""))</f>
        <v>Итого по разделу: Посадка деревьев с комом земли 1,0х1,0х0,6 м - 91 шт.</v>
      </c>
      <c r="B350" s="307"/>
      <c r="C350" s="307"/>
      <c r="D350" s="307"/>
      <c r="E350" s="307"/>
      <c r="F350" s="307"/>
      <c r="G350" s="307"/>
      <c r="H350" s="305">
        <f>SUM(BD343:BD349)</f>
        <v>1318.51</v>
      </c>
      <c r="I350" s="306"/>
      <c r="J350" s="305">
        <f>SUM(BE343:BE349)</f>
        <v>14173.98</v>
      </c>
      <c r="K350" s="306"/>
      <c r="L350" s="49"/>
      <c r="CA350" s="50" t="str">
        <f>CONCATENATE("Итого по разделу: ",IF(Source!G336&lt;&gt;"Новый раздел", Source!G336, ""))</f>
        <v>Итого по разделу: Посадка деревьев с комом земли 1,0х1,0х0,6 м - 91 шт.</v>
      </c>
    </row>
    <row r="351" spans="1:79" hidden="1" x14ac:dyDescent="0.2"/>
    <row r="352" spans="1:79" hidden="1" x14ac:dyDescent="0.2"/>
    <row r="354" spans="1:188" ht="37.5" customHeight="1" x14ac:dyDescent="0.25">
      <c r="A354" s="310" t="str">
        <f>CONCATENATE("Итого по локальной смете № 2: ",IF(Source!G366&lt;&gt;"Новая локальная смета", Source!G366, ""))</f>
        <v>Итого по локальной смете № 2: Затраты на перевозку отходов строительства и сноса, в т.ч. грунта, автотранспортными средствами</v>
      </c>
      <c r="B354" s="310"/>
      <c r="C354" s="310"/>
      <c r="D354" s="310"/>
      <c r="E354" s="310"/>
      <c r="F354" s="310"/>
      <c r="G354" s="310"/>
      <c r="H354" s="283">
        <f>SUM(BD331:BD353)</f>
        <v>122561.59</v>
      </c>
      <c r="I354" s="284"/>
      <c r="J354" s="283">
        <f>SUM(BE331:BE353)</f>
        <v>1317537.0900000001</v>
      </c>
      <c r="K354" s="284"/>
      <c r="L354" s="84"/>
      <c r="CA354" s="50" t="str">
        <f>CONCATENATE("Итого по локальной смете: ",IF(Source!G366&lt;&gt;"Новая локальная смета", Source!G366, ""))</f>
        <v>Итого по локальной смете: Затраты на перевозку отходов строительства и сноса, в т.ч. грунта, автотранспортными средствами</v>
      </c>
    </row>
    <row r="355" spans="1:188" ht="20.25" customHeight="1" x14ac:dyDescent="0.25">
      <c r="A355" s="81" t="s">
        <v>161</v>
      </c>
      <c r="B355" s="81"/>
      <c r="C355" s="81"/>
      <c r="D355" s="81"/>
      <c r="E355" s="81"/>
      <c r="F355" s="81"/>
      <c r="G355" s="81"/>
      <c r="H355" s="81"/>
      <c r="I355" s="83"/>
      <c r="J355" s="281">
        <f>ROUND(J354*0.2,2)</f>
        <v>263507.42</v>
      </c>
      <c r="K355" s="282"/>
      <c r="L355" s="121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  <c r="AL355" s="94"/>
      <c r="AM355" s="94"/>
      <c r="AN355" s="94"/>
      <c r="AO355" s="94"/>
      <c r="AP355" s="94"/>
      <c r="AQ355" s="94"/>
      <c r="AR355" s="94"/>
      <c r="AS355" s="94"/>
      <c r="AT355" s="94"/>
      <c r="AU355" s="94"/>
      <c r="AV355" s="94"/>
      <c r="AW355" s="94"/>
      <c r="AX355" s="94"/>
      <c r="AY355" s="94"/>
      <c r="AZ355" s="94"/>
      <c r="BA355" s="94"/>
      <c r="BB355" s="94"/>
      <c r="BC355" s="94"/>
      <c r="BD355" s="94"/>
      <c r="BE355" s="94"/>
      <c r="BF355" s="94"/>
      <c r="BG355" s="94"/>
      <c r="BH355" s="94"/>
      <c r="BI355" s="94"/>
      <c r="BJ355" s="94"/>
      <c r="BK355" s="94"/>
      <c r="BL355" s="94"/>
      <c r="BM355" s="94"/>
      <c r="BN355" s="94"/>
      <c r="BO355" s="94"/>
      <c r="BP355" s="94"/>
      <c r="BQ355" s="94"/>
      <c r="BR355" s="94"/>
      <c r="BS355" s="94"/>
      <c r="BT355" s="94"/>
      <c r="BU355" s="94"/>
      <c r="BV355" s="94"/>
      <c r="BW355" s="94"/>
      <c r="BX355" s="94"/>
      <c r="BY355" s="94"/>
      <c r="BZ355" s="94"/>
      <c r="CA355" s="94"/>
      <c r="CB355" s="94"/>
      <c r="CC355" s="94"/>
      <c r="CD355" s="94"/>
      <c r="CE355" s="94"/>
      <c r="CF355" s="94"/>
      <c r="CG355" s="94"/>
      <c r="CH355" s="94"/>
      <c r="CI355" s="94"/>
      <c r="CJ355" s="94"/>
      <c r="CK355" s="94"/>
      <c r="CL355" s="94"/>
      <c r="CM355" s="94"/>
      <c r="CN355" s="94"/>
      <c r="CO355" s="94"/>
      <c r="CP355" s="94"/>
      <c r="CQ355" s="94"/>
      <c r="CR355" s="94"/>
      <c r="CS355" s="94"/>
      <c r="CT355" s="94"/>
      <c r="CU355" s="94"/>
      <c r="CV355" s="94"/>
      <c r="CW355" s="94"/>
      <c r="CX355" s="94"/>
      <c r="CY355" s="94"/>
      <c r="CZ355" s="94"/>
      <c r="DA355" s="94"/>
      <c r="DB355" s="94"/>
      <c r="DC355" s="94"/>
      <c r="DD355" s="94"/>
      <c r="DE355" s="94"/>
      <c r="DF355" s="94"/>
      <c r="DG355" s="94"/>
      <c r="DH355" s="94"/>
      <c r="DI355" s="94"/>
      <c r="DJ355" s="94"/>
      <c r="DK355" s="94"/>
      <c r="DL355" s="94"/>
      <c r="DM355" s="94"/>
      <c r="DN355" s="94"/>
      <c r="DO355" s="94"/>
      <c r="DP355" s="94"/>
      <c r="DQ355" s="94"/>
      <c r="DR355" s="94"/>
      <c r="DS355" s="94"/>
      <c r="DT355" s="95"/>
      <c r="DU355" s="95"/>
      <c r="DV355" s="95"/>
      <c r="DW355" s="95"/>
      <c r="DX355" s="95"/>
      <c r="DY355" s="95"/>
      <c r="DZ355" s="95"/>
      <c r="EA355" s="95"/>
      <c r="EB355" s="95"/>
      <c r="EC355" s="95"/>
      <c r="ED355" s="95"/>
      <c r="EE355" s="95"/>
      <c r="EF355" s="95"/>
      <c r="EG355" s="95"/>
      <c r="EH355" s="95"/>
      <c r="EI355" s="95"/>
      <c r="EJ355" s="95"/>
      <c r="EK355" s="95"/>
      <c r="EL355" s="95"/>
      <c r="EM355" s="95"/>
      <c r="EN355" s="95"/>
      <c r="EO355" s="95"/>
      <c r="EP355" s="95"/>
      <c r="EQ355" s="95"/>
      <c r="ER355" s="95"/>
      <c r="ES355" s="95"/>
      <c r="ET355" s="95"/>
      <c r="EU355" s="95"/>
      <c r="EV355" s="95"/>
      <c r="EW355" s="95"/>
      <c r="EX355" s="95"/>
      <c r="EY355" s="95"/>
      <c r="EZ355" s="95"/>
      <c r="FA355" s="95"/>
      <c r="FB355" s="95"/>
      <c r="FC355" s="95"/>
      <c r="FD355" s="95"/>
      <c r="FE355" s="95"/>
      <c r="FF355" s="95"/>
      <c r="FG355" s="95"/>
      <c r="FH355" s="95"/>
      <c r="FI355" s="95"/>
      <c r="FJ355" s="95"/>
      <c r="FK355" s="95"/>
      <c r="FL355" s="95"/>
      <c r="FM355" s="95"/>
      <c r="FN355" s="95"/>
      <c r="FO355" s="95"/>
      <c r="FP355" s="95"/>
      <c r="FQ355" s="95"/>
      <c r="FR355" s="95"/>
      <c r="FS355" s="95"/>
      <c r="FT355" s="95"/>
      <c r="FU355" s="95"/>
      <c r="FV355" s="95"/>
      <c r="FW355" s="95"/>
      <c r="FX355" s="95"/>
      <c r="FY355" s="95"/>
      <c r="FZ355" s="95"/>
      <c r="GA355" s="95"/>
      <c r="GB355" s="95"/>
      <c r="GC355" s="95"/>
      <c r="GD355" s="95"/>
      <c r="GE355" s="95"/>
      <c r="GF355" s="95"/>
    </row>
    <row r="356" spans="1:188" ht="17.25" customHeight="1" x14ac:dyDescent="0.25">
      <c r="A356" s="81" t="s">
        <v>163</v>
      </c>
      <c r="B356" s="81"/>
      <c r="C356" s="81"/>
      <c r="D356" s="81"/>
      <c r="E356" s="81"/>
      <c r="F356" s="81"/>
      <c r="G356" s="81"/>
      <c r="H356" s="81"/>
      <c r="I356" s="83"/>
      <c r="J356" s="281">
        <f>J354+J355</f>
        <v>1581044.51</v>
      </c>
      <c r="K356" s="282"/>
      <c r="L356" s="121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  <c r="BJ356" s="93"/>
      <c r="BK356" s="93"/>
      <c r="BL356" s="93"/>
      <c r="BM356" s="93"/>
      <c r="BN356" s="93"/>
      <c r="BO356" s="93"/>
      <c r="BP356" s="93"/>
      <c r="BQ356" s="93"/>
      <c r="BR356" s="93"/>
      <c r="BS356" s="93"/>
      <c r="BT356" s="93"/>
      <c r="BU356" s="93"/>
      <c r="BV356" s="93"/>
      <c r="BW356" s="93"/>
      <c r="BX356" s="93"/>
      <c r="BY356" s="93"/>
      <c r="BZ356" s="93"/>
      <c r="CA356" s="93"/>
      <c r="CB356" s="93"/>
      <c r="CC356" s="93"/>
      <c r="CD356" s="93"/>
      <c r="CE356" s="93"/>
      <c r="CF356" s="93"/>
      <c r="CG356" s="93"/>
      <c r="CH356" s="93"/>
      <c r="CI356" s="93"/>
      <c r="CJ356" s="93"/>
      <c r="CK356" s="93"/>
      <c r="CL356" s="93"/>
      <c r="CM356" s="93"/>
      <c r="CN356" s="93"/>
      <c r="CO356" s="93"/>
      <c r="CP356" s="93"/>
      <c r="CQ356" s="93"/>
      <c r="CR356" s="93"/>
      <c r="CS356" s="93"/>
      <c r="CT356" s="93"/>
      <c r="CU356" s="93"/>
      <c r="CV356" s="93"/>
      <c r="CW356" s="93"/>
      <c r="CX356" s="93"/>
      <c r="CY356" s="93"/>
      <c r="CZ356" s="93"/>
      <c r="DA356" s="93"/>
      <c r="DB356" s="93"/>
      <c r="DC356" s="93"/>
      <c r="DD356" s="93"/>
      <c r="DE356" s="93"/>
      <c r="DF356" s="93"/>
      <c r="DG356" s="93"/>
      <c r="DH356" s="93"/>
      <c r="DI356" s="93"/>
      <c r="DJ356" s="93"/>
      <c r="DK356" s="93"/>
      <c r="DL356" s="93"/>
      <c r="DM356" s="93"/>
      <c r="DN356" s="93"/>
      <c r="DO356" s="93"/>
      <c r="DP356" s="93"/>
      <c r="DQ356" s="93"/>
      <c r="DR356" s="93"/>
      <c r="DS356" s="93"/>
      <c r="DT356" s="95"/>
      <c r="DU356" s="95"/>
      <c r="DV356" s="95"/>
      <c r="DW356" s="95"/>
      <c r="DX356" s="95"/>
      <c r="DY356" s="95"/>
      <c r="DZ356" s="95"/>
      <c r="EA356" s="95"/>
      <c r="EB356" s="95"/>
      <c r="EC356" s="95"/>
      <c r="ED356" s="95"/>
      <c r="EE356" s="95"/>
      <c r="EF356" s="95"/>
      <c r="EG356" s="95"/>
      <c r="EH356" s="95"/>
      <c r="EI356" s="95"/>
      <c r="EJ356" s="95"/>
      <c r="EK356" s="95"/>
      <c r="EL356" s="95"/>
      <c r="EM356" s="95"/>
      <c r="EN356" s="95"/>
      <c r="EO356" s="95"/>
      <c r="EP356" s="95"/>
      <c r="EQ356" s="95"/>
      <c r="ER356" s="95"/>
      <c r="ES356" s="95"/>
      <c r="ET356" s="95"/>
      <c r="EU356" s="95"/>
      <c r="EV356" s="95"/>
      <c r="EW356" s="95"/>
      <c r="EX356" s="95"/>
      <c r="EY356" s="95"/>
      <c r="EZ356" s="95"/>
      <c r="FA356" s="95"/>
      <c r="FB356" s="95"/>
      <c r="FC356" s="95"/>
      <c r="FD356" s="95"/>
      <c r="FE356" s="95"/>
      <c r="FF356" s="95"/>
      <c r="FG356" s="95"/>
      <c r="FH356" s="95"/>
      <c r="FI356" s="95"/>
      <c r="FJ356" s="95"/>
      <c r="FK356" s="95"/>
      <c r="FL356" s="95"/>
      <c r="FM356" s="95"/>
      <c r="FN356" s="95"/>
      <c r="FO356" s="95"/>
      <c r="FP356" s="95"/>
      <c r="FQ356" s="95"/>
      <c r="FR356" s="95"/>
      <c r="FS356" s="95"/>
      <c r="FT356" s="95"/>
      <c r="FU356" s="95"/>
      <c r="FV356" s="95"/>
      <c r="FW356" s="95"/>
      <c r="FX356" s="95"/>
      <c r="FY356" s="95"/>
      <c r="FZ356" s="95"/>
      <c r="GA356" s="95"/>
      <c r="GB356" s="95"/>
      <c r="GC356" s="95"/>
      <c r="GD356" s="95"/>
      <c r="GE356" s="95"/>
      <c r="GF356" s="95"/>
    </row>
    <row r="359" spans="1:188" x14ac:dyDescent="0.2">
      <c r="A359" s="96" t="str">
        <f>Source!B1</f>
        <v>Smeta.RU  (495) 974-1589</v>
      </c>
    </row>
    <row r="360" spans="1:188" ht="14.2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88" ht="15.75" x14ac:dyDescent="0.25">
      <c r="A361" s="285" t="str">
        <f>CONCATENATE( "ЛОКАЛЬНАЯ СМЕТА № 3",IF(Source!F396&lt;&gt;"Новая локальная смета", Source!F396, ""))</f>
        <v>ЛОКАЛЬНАЯ СМЕТА № 3</v>
      </c>
      <c r="B361" s="286"/>
      <c r="C361" s="286"/>
      <c r="D361" s="286"/>
      <c r="E361" s="286"/>
      <c r="F361" s="286"/>
      <c r="G361" s="286"/>
      <c r="H361" s="286"/>
      <c r="I361" s="286"/>
      <c r="J361" s="286"/>
      <c r="K361" s="286"/>
      <c r="L361" s="66"/>
    </row>
    <row r="362" spans="1:188" ht="14.2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88" ht="36" x14ac:dyDescent="0.25">
      <c r="A363" s="287" t="s">
        <v>483</v>
      </c>
      <c r="B363" s="287"/>
      <c r="C363" s="287"/>
      <c r="D363" s="287"/>
      <c r="E363" s="287"/>
      <c r="F363" s="287"/>
      <c r="G363" s="287"/>
      <c r="H363" s="287"/>
      <c r="I363" s="287"/>
      <c r="J363" s="287"/>
      <c r="K363" s="287"/>
      <c r="L363" s="117"/>
      <c r="BZ363" s="25" t="str">
        <f>IF(Source!G396&lt;&gt;"Новая локальная смета", Source!G396, "")</f>
        <v>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</row>
    <row r="364" spans="1:188" x14ac:dyDescent="0.2">
      <c r="A364" s="288" t="s">
        <v>247</v>
      </c>
      <c r="B364" s="289"/>
      <c r="C364" s="289"/>
      <c r="D364" s="289"/>
      <c r="E364" s="289"/>
      <c r="F364" s="289"/>
      <c r="G364" s="289"/>
      <c r="H364" s="289"/>
      <c r="I364" s="289"/>
      <c r="J364" s="289"/>
      <c r="K364" s="289"/>
      <c r="L364" s="16"/>
    </row>
    <row r="365" spans="1:188" ht="14.2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88" ht="14.25" x14ac:dyDescent="0.2">
      <c r="A366" s="290" t="str">
        <f>CONCATENATE( "Основание: чертежи № ", Source!J396)</f>
        <v xml:space="preserve">Основание: чертежи № </v>
      </c>
      <c r="B366" s="290"/>
      <c r="C366" s="290"/>
      <c r="D366" s="290"/>
      <c r="E366" s="290"/>
      <c r="F366" s="290"/>
      <c r="G366" s="290"/>
      <c r="H366" s="290"/>
      <c r="I366" s="290"/>
      <c r="J366" s="290"/>
      <c r="K366" s="290"/>
      <c r="L366" s="17"/>
    </row>
    <row r="367" spans="1:188" ht="14.2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88" ht="28.5" x14ac:dyDescent="0.2">
      <c r="A368" s="12"/>
      <c r="B368" s="12"/>
      <c r="C368" s="12"/>
      <c r="D368" s="12"/>
      <c r="E368" s="12"/>
      <c r="F368" s="12"/>
      <c r="G368" s="12"/>
      <c r="H368" s="12"/>
      <c r="I368" s="18" t="s">
        <v>249</v>
      </c>
      <c r="J368" s="18" t="s">
        <v>250</v>
      </c>
      <c r="K368" s="12"/>
      <c r="L368" s="12"/>
    </row>
    <row r="369" spans="1:78" ht="15" x14ac:dyDescent="0.25">
      <c r="A369" s="12"/>
      <c r="B369" s="12"/>
      <c r="C369" s="12"/>
      <c r="D369" s="12"/>
      <c r="E369" s="296" t="s">
        <v>251</v>
      </c>
      <c r="F369" s="296"/>
      <c r="G369" s="296"/>
      <c r="H369" s="296"/>
      <c r="I369" s="19">
        <f>SUM(BD383:BD467)</f>
        <v>304047572</v>
      </c>
      <c r="J369" s="19">
        <f>(Source!F514)</f>
        <v>304047572</v>
      </c>
      <c r="K369" s="20" t="s">
        <v>282</v>
      </c>
      <c r="L369" s="20"/>
    </row>
    <row r="370" spans="1:78" ht="14.25" x14ac:dyDescent="0.2">
      <c r="A370" s="12"/>
      <c r="B370" s="12"/>
      <c r="C370" s="12"/>
      <c r="D370" s="12"/>
      <c r="E370" s="291" t="s">
        <v>21</v>
      </c>
      <c r="F370" s="291"/>
      <c r="G370" s="291"/>
      <c r="H370" s="291"/>
      <c r="I370" s="21">
        <f>SUM(BM383:BM467)</f>
        <v>304047572</v>
      </c>
      <c r="J370" s="21">
        <f>(Source!F503)</f>
        <v>304047572</v>
      </c>
      <c r="K370" s="12" t="s">
        <v>282</v>
      </c>
      <c r="L370" s="12"/>
    </row>
    <row r="371" spans="1:78" ht="14.25" x14ac:dyDescent="0.2">
      <c r="A371" s="12"/>
      <c r="B371" s="12"/>
      <c r="C371" s="12"/>
      <c r="D371" s="12"/>
      <c r="E371" s="291" t="s">
        <v>252</v>
      </c>
      <c r="F371" s="291"/>
      <c r="G371" s="291"/>
      <c r="H371" s="291"/>
      <c r="I371" s="21">
        <f>SUM(BN383:BN467)</f>
        <v>0</v>
      </c>
      <c r="J371" s="21">
        <f>(Source!F504)</f>
        <v>0</v>
      </c>
      <c r="K371" s="12" t="s">
        <v>282</v>
      </c>
      <c r="L371" s="12"/>
    </row>
    <row r="372" spans="1:78" ht="14.25" x14ac:dyDescent="0.2">
      <c r="A372" s="12"/>
      <c r="B372" s="12"/>
      <c r="C372" s="12"/>
      <c r="D372" s="12"/>
      <c r="E372" s="291" t="s">
        <v>253</v>
      </c>
      <c r="F372" s="291"/>
      <c r="G372" s="291"/>
      <c r="H372" s="291"/>
      <c r="I372" s="21">
        <f>SUM(BO383:BO467)</f>
        <v>0</v>
      </c>
      <c r="J372" s="21">
        <f>(Source!F495)</f>
        <v>0</v>
      </c>
      <c r="K372" s="12" t="s">
        <v>282</v>
      </c>
      <c r="L372" s="12"/>
    </row>
    <row r="373" spans="1:78" ht="14.25" x14ac:dyDescent="0.2">
      <c r="A373" s="12"/>
      <c r="B373" s="12"/>
      <c r="C373" s="12"/>
      <c r="D373" s="12"/>
      <c r="E373" s="291" t="s">
        <v>254</v>
      </c>
      <c r="F373" s="291"/>
      <c r="G373" s="291"/>
      <c r="H373" s="291"/>
      <c r="I373" s="21">
        <f>SUM(BP383:BP467)</f>
        <v>0</v>
      </c>
      <c r="J373" s="21">
        <f>(Source!F505+Source!F506)</f>
        <v>0</v>
      </c>
      <c r="K373" s="12" t="s">
        <v>282</v>
      </c>
      <c r="L373" s="12"/>
    </row>
    <row r="374" spans="1:78" ht="14.25" x14ac:dyDescent="0.2">
      <c r="A374" s="12"/>
      <c r="B374" s="12"/>
      <c r="C374" s="12"/>
      <c r="D374" s="12"/>
      <c r="E374" s="291" t="s">
        <v>255</v>
      </c>
      <c r="F374" s="291"/>
      <c r="G374" s="291"/>
      <c r="H374" s="291"/>
      <c r="I374" s="21">
        <f>SUM(BL383:BL467)</f>
        <v>0</v>
      </c>
      <c r="J374" s="21">
        <f>(Source!F501+ Source!F500)</f>
        <v>0</v>
      </c>
      <c r="K374" s="12" t="s">
        <v>282</v>
      </c>
      <c r="L374" s="12"/>
    </row>
    <row r="375" spans="1:78" ht="14.25" x14ac:dyDescent="0.2">
      <c r="A375" s="12"/>
      <c r="B375" s="12"/>
      <c r="C375" s="12"/>
      <c r="D375" s="12"/>
      <c r="E375" s="291" t="s">
        <v>256</v>
      </c>
      <c r="F375" s="291"/>
      <c r="G375" s="291"/>
      <c r="H375" s="291"/>
      <c r="I375" s="21">
        <f>SUM(BQ383:BQ467)</f>
        <v>0</v>
      </c>
      <c r="J375" s="21"/>
      <c r="K375" s="12" t="s">
        <v>212</v>
      </c>
      <c r="L375" s="12"/>
    </row>
    <row r="376" spans="1:78" ht="14.25" hidden="1" x14ac:dyDescent="0.2">
      <c r="A376" s="12"/>
      <c r="B376" s="12"/>
      <c r="C376" s="12"/>
      <c r="D376" s="12"/>
      <c r="E376" s="292" t="s">
        <v>257</v>
      </c>
      <c r="F376" s="292"/>
      <c r="G376" s="292"/>
      <c r="H376" s="292"/>
      <c r="I376" s="21"/>
      <c r="J376" s="21"/>
      <c r="K376" s="12"/>
      <c r="L376" s="12"/>
    </row>
    <row r="377" spans="1:78" ht="14.25" hidden="1" x14ac:dyDescent="0.2">
      <c r="A377" s="12"/>
      <c r="B377" s="12"/>
      <c r="C377" s="12"/>
      <c r="D377" s="12"/>
      <c r="E377" s="293" t="s">
        <v>90</v>
      </c>
      <c r="F377" s="293"/>
      <c r="G377" s="293"/>
      <c r="H377" s="293"/>
      <c r="I377" s="21">
        <f>SUM(BT383:BT467)</f>
        <v>0</v>
      </c>
      <c r="J377" s="21">
        <f>SUM(BU383:BU467)</f>
        <v>0</v>
      </c>
      <c r="K377" s="12" t="s">
        <v>282</v>
      </c>
      <c r="L377" s="12"/>
    </row>
    <row r="378" spans="1:78" ht="14.25" x14ac:dyDescent="0.2">
      <c r="A378" s="12"/>
      <c r="B378" s="12"/>
      <c r="C378" s="12"/>
      <c r="D378" s="12"/>
      <c r="E378" s="12"/>
      <c r="F378" s="14"/>
      <c r="G378" s="14"/>
      <c r="H378" s="14"/>
      <c r="I378" s="21"/>
      <c r="J378" s="21"/>
      <c r="K378" s="12"/>
      <c r="L378" s="12"/>
    </row>
    <row r="379" spans="1:78" ht="14.25" x14ac:dyDescent="0.2">
      <c r="A379" s="12" t="s">
        <v>269</v>
      </c>
      <c r="B379" s="12"/>
      <c r="C379" s="12"/>
      <c r="D379" s="12"/>
      <c r="E379" s="12"/>
      <c r="F379" s="14"/>
      <c r="G379" s="14"/>
      <c r="H379" s="14"/>
      <c r="I379" s="21"/>
      <c r="J379" s="21"/>
      <c r="K379" s="12"/>
      <c r="L379" s="12"/>
    </row>
    <row r="380" spans="1:78" ht="14.25" x14ac:dyDescent="0.2">
      <c r="A380" s="290" t="s">
        <v>270</v>
      </c>
      <c r="B380" s="290"/>
      <c r="C380" s="290"/>
      <c r="D380" s="290"/>
      <c r="E380" s="290"/>
      <c r="F380" s="290"/>
      <c r="G380" s="290"/>
      <c r="H380" s="290"/>
      <c r="I380" s="290"/>
      <c r="J380" s="290"/>
      <c r="K380" s="290"/>
      <c r="L380" s="17"/>
      <c r="BZ380" s="26" t="s">
        <v>270</v>
      </c>
    </row>
    <row r="381" spans="1:78" ht="99.75" x14ac:dyDescent="0.2">
      <c r="A381" s="22" t="s">
        <v>258</v>
      </c>
      <c r="B381" s="22" t="s">
        <v>259</v>
      </c>
      <c r="C381" s="22" t="s">
        <v>260</v>
      </c>
      <c r="D381" s="22" t="s">
        <v>261</v>
      </c>
      <c r="E381" s="22" t="s">
        <v>262</v>
      </c>
      <c r="F381" s="22" t="s">
        <v>263</v>
      </c>
      <c r="G381" s="23" t="s">
        <v>264</v>
      </c>
      <c r="H381" s="23" t="s">
        <v>265</v>
      </c>
      <c r="I381" s="22" t="s">
        <v>266</v>
      </c>
      <c r="J381" s="22" t="s">
        <v>267</v>
      </c>
      <c r="K381" s="22" t="s">
        <v>268</v>
      </c>
      <c r="L381" s="118"/>
    </row>
    <row r="382" spans="1:78" ht="14.25" x14ac:dyDescent="0.2">
      <c r="A382" s="22">
        <v>1</v>
      </c>
      <c r="B382" s="22">
        <v>2</v>
      </c>
      <c r="C382" s="22">
        <v>3</v>
      </c>
      <c r="D382" s="22">
        <v>4</v>
      </c>
      <c r="E382" s="22">
        <v>5</v>
      </c>
      <c r="F382" s="22">
        <v>6</v>
      </c>
      <c r="G382" s="22">
        <v>7</v>
      </c>
      <c r="H382" s="22">
        <v>8</v>
      </c>
      <c r="I382" s="22">
        <v>9</v>
      </c>
      <c r="J382" s="22">
        <v>10</v>
      </c>
      <c r="K382" s="22">
        <v>11</v>
      </c>
      <c r="L382" s="118"/>
    </row>
    <row r="384" spans="1:78" ht="16.5" x14ac:dyDescent="0.25">
      <c r="A384" s="294" t="str">
        <f>CONCATENATE("Раздел: ",IF(Source!G400&lt;&gt;"Новый раздел", Source!G400, ""))</f>
        <v>Раздел: Стоимость деревьев для посадки</v>
      </c>
      <c r="B384" s="294"/>
      <c r="C384" s="294"/>
      <c r="D384" s="294"/>
      <c r="E384" s="294"/>
      <c r="F384" s="294"/>
      <c r="G384" s="294"/>
      <c r="H384" s="294"/>
      <c r="I384" s="294"/>
      <c r="J384" s="294"/>
      <c r="K384" s="294"/>
      <c r="L384" s="27"/>
    </row>
    <row r="385" spans="1:68" ht="42.75" x14ac:dyDescent="0.2">
      <c r="A385" s="39" t="str">
        <f>Source!E404</f>
        <v>23</v>
      </c>
      <c r="B385" s="40" t="str">
        <f>Source!F404</f>
        <v>Цена поставщика</v>
      </c>
      <c r="C385" s="40" t="s">
        <v>178</v>
      </c>
      <c r="D385" s="41" t="str">
        <f>Source!H404</f>
        <v>шт.</v>
      </c>
      <c r="E385" s="42">
        <f>Source!I404</f>
        <v>47</v>
      </c>
      <c r="F385" s="43">
        <f>Source!AL404</f>
        <v>24500</v>
      </c>
      <c r="G385" s="44" t="str">
        <f>Source!DD404</f>
        <v/>
      </c>
      <c r="H385" s="42">
        <f>Source!AW404</f>
        <v>1</v>
      </c>
      <c r="I385" s="45">
        <f>ROUND((ROUND((Source!AC404*Source!AW404*Source!I404),2)),2)</f>
        <v>1151500</v>
      </c>
      <c r="J385" s="42">
        <f>IF(Source!BC404&lt;&gt; 0, Source!BC404, 1)</f>
        <v>1</v>
      </c>
      <c r="K385" s="45">
        <f>Source!P404</f>
        <v>1151500</v>
      </c>
      <c r="L385" s="119"/>
      <c r="BF385">
        <f>ROUND((Source!DN404/100)*ROUND((ROUND((Source!AF404*Source!AV404*Source!I404),2)),2), 2)</f>
        <v>0</v>
      </c>
      <c r="BG385">
        <f>Source!X404</f>
        <v>0</v>
      </c>
      <c r="BH385">
        <f>ROUND((Source!DO404/100)*ROUND((ROUND((Source!AF404*Source!AV404*Source!I404),2)),2), 2)</f>
        <v>0</v>
      </c>
      <c r="BI385">
        <f>Source!Y404</f>
        <v>0</v>
      </c>
      <c r="BJ385">
        <f>ROUND((175/100)*ROUND((ROUND((Source!AE404*Source!AV404*Source!I404),2)),2), 2)</f>
        <v>0</v>
      </c>
      <c r="BK385">
        <f>ROUND((157/100)*ROUND(ROUND((ROUND((Source!AE404*Source!AV404*Source!I404),2)*Source!BS404),2), 2), 2)</f>
        <v>0</v>
      </c>
    </row>
    <row r="386" spans="1:68" ht="15" x14ac:dyDescent="0.25">
      <c r="A386" s="46"/>
      <c r="B386" s="46"/>
      <c r="C386" s="47" t="s">
        <v>281</v>
      </c>
      <c r="D386" s="46"/>
      <c r="E386" s="46"/>
      <c r="F386" s="46"/>
      <c r="G386" s="46"/>
      <c r="H386" s="295">
        <f>I385</f>
        <v>1151500</v>
      </c>
      <c r="I386" s="295"/>
      <c r="J386" s="295">
        <f>K385</f>
        <v>1151500</v>
      </c>
      <c r="K386" s="295"/>
      <c r="L386" s="120"/>
      <c r="BD386" s="37">
        <f>I385</f>
        <v>1151500</v>
      </c>
      <c r="BE386" s="37">
        <f>K385</f>
        <v>1151500</v>
      </c>
      <c r="BM386">
        <f>IF(Source!BI404&lt;=1,I385-0, 0)</f>
        <v>1151500</v>
      </c>
      <c r="BN386">
        <f>IF(Source!BI404=2,I385-0, 0)</f>
        <v>0</v>
      </c>
      <c r="BO386">
        <f>IF(Source!BI404=3,I385-0, 0)</f>
        <v>0</v>
      </c>
      <c r="BP386">
        <f>IF(Source!BI404=4,I385,0)</f>
        <v>0</v>
      </c>
    </row>
    <row r="388" spans="1:68" ht="42.75" x14ac:dyDescent="0.2">
      <c r="A388" s="39" t="str">
        <f>Source!E406</f>
        <v>24</v>
      </c>
      <c r="B388" s="40" t="str">
        <f>Source!F406</f>
        <v>Цена поставщика</v>
      </c>
      <c r="C388" s="40" t="s">
        <v>184</v>
      </c>
      <c r="D388" s="41" t="str">
        <f>Source!H406</f>
        <v>шт.</v>
      </c>
      <c r="E388" s="42">
        <f>Source!I406</f>
        <v>656</v>
      </c>
      <c r="F388" s="43">
        <f>Source!AL406</f>
        <v>54000</v>
      </c>
      <c r="G388" s="44" t="str">
        <f>Source!DD406</f>
        <v/>
      </c>
      <c r="H388" s="42">
        <f>Source!AW406</f>
        <v>1</v>
      </c>
      <c r="I388" s="45">
        <f>ROUND((ROUND((Source!AC406*Source!AW406*Source!I406),2)),2)</f>
        <v>35424000</v>
      </c>
      <c r="J388" s="42">
        <f>IF(Source!BC406&lt;&gt; 0, Source!BC406, 1)</f>
        <v>1</v>
      </c>
      <c r="K388" s="45">
        <f>Source!P406</f>
        <v>35424000</v>
      </c>
      <c r="L388" s="119"/>
      <c r="BF388">
        <f>ROUND((Source!DN406/100)*ROUND((ROUND((Source!AF406*Source!AV406*Source!I406),2)),2), 2)</f>
        <v>0</v>
      </c>
      <c r="BG388">
        <f>Source!X406</f>
        <v>0</v>
      </c>
      <c r="BH388">
        <f>ROUND((Source!DO406/100)*ROUND((ROUND((Source!AF406*Source!AV406*Source!I406),2)),2), 2)</f>
        <v>0</v>
      </c>
      <c r="BI388">
        <f>Source!Y406</f>
        <v>0</v>
      </c>
      <c r="BJ388">
        <f>ROUND((175/100)*ROUND((ROUND((Source!AE406*Source!AV406*Source!I406),2)),2), 2)</f>
        <v>0</v>
      </c>
      <c r="BK388">
        <f>ROUND((157/100)*ROUND(ROUND((ROUND((Source!AE406*Source!AV406*Source!I406),2)*Source!BS406),2), 2), 2)</f>
        <v>0</v>
      </c>
    </row>
    <row r="389" spans="1:68" ht="15" x14ac:dyDescent="0.25">
      <c r="A389" s="46"/>
      <c r="B389" s="46"/>
      <c r="C389" s="47" t="s">
        <v>281</v>
      </c>
      <c r="D389" s="46"/>
      <c r="E389" s="46"/>
      <c r="F389" s="46"/>
      <c r="G389" s="46"/>
      <c r="H389" s="295">
        <f>I388</f>
        <v>35424000</v>
      </c>
      <c r="I389" s="295"/>
      <c r="J389" s="295">
        <f>K388</f>
        <v>35424000</v>
      </c>
      <c r="K389" s="295"/>
      <c r="L389" s="120"/>
      <c r="BD389" s="37">
        <f>I388</f>
        <v>35424000</v>
      </c>
      <c r="BE389" s="37">
        <f>K388</f>
        <v>35424000</v>
      </c>
      <c r="BM389">
        <f>IF(Source!BI406&lt;=1,I388-0, 0)</f>
        <v>35424000</v>
      </c>
      <c r="BN389">
        <f>IF(Source!BI406=2,I388-0, 0)</f>
        <v>0</v>
      </c>
      <c r="BO389">
        <f>IF(Source!BI406=3,I388-0, 0)</f>
        <v>0</v>
      </c>
      <c r="BP389">
        <f>IF(Source!BI406=4,I388,0)</f>
        <v>0</v>
      </c>
    </row>
    <row r="391" spans="1:68" ht="42.75" x14ac:dyDescent="0.2">
      <c r="A391" s="39" t="str">
        <f>Source!E407</f>
        <v>25</v>
      </c>
      <c r="B391" s="40" t="str">
        <f>Source!F407</f>
        <v>Цена поставщика</v>
      </c>
      <c r="C391" s="40" t="s">
        <v>186</v>
      </c>
      <c r="D391" s="41" t="str">
        <f>Source!H407</f>
        <v>шт.</v>
      </c>
      <c r="E391" s="42">
        <f>Source!I407</f>
        <v>590</v>
      </c>
      <c r="F391" s="43">
        <f>Source!AL407</f>
        <v>83160</v>
      </c>
      <c r="G391" s="44" t="str">
        <f>Source!DD407</f>
        <v/>
      </c>
      <c r="H391" s="42">
        <f>Source!AW407</f>
        <v>1</v>
      </c>
      <c r="I391" s="45">
        <f>ROUND((ROUND((Source!AC407*Source!AW407*Source!I407),2)),2)</f>
        <v>49064400</v>
      </c>
      <c r="J391" s="42">
        <f>IF(Source!BC407&lt;&gt; 0, Source!BC407, 1)</f>
        <v>1</v>
      </c>
      <c r="K391" s="45">
        <f>Source!P407</f>
        <v>49064400</v>
      </c>
      <c r="L391" s="119"/>
      <c r="BF391">
        <f>ROUND((Source!DN407/100)*ROUND((ROUND((Source!AF407*Source!AV407*Source!I407),2)),2), 2)</f>
        <v>0</v>
      </c>
      <c r="BG391">
        <f>Source!X407</f>
        <v>0</v>
      </c>
      <c r="BH391">
        <f>ROUND((Source!DO407/100)*ROUND((ROUND((Source!AF407*Source!AV407*Source!I407),2)),2), 2)</f>
        <v>0</v>
      </c>
      <c r="BI391">
        <f>Source!Y407</f>
        <v>0</v>
      </c>
      <c r="BJ391">
        <f>ROUND((175/100)*ROUND((ROUND((Source!AE407*Source!AV407*Source!I407),2)),2), 2)</f>
        <v>0</v>
      </c>
      <c r="BK391">
        <f>ROUND((157/100)*ROUND(ROUND((ROUND((Source!AE407*Source!AV407*Source!I407),2)*Source!BS407),2), 2), 2)</f>
        <v>0</v>
      </c>
    </row>
    <row r="392" spans="1:68" ht="15" x14ac:dyDescent="0.25">
      <c r="A392" s="46"/>
      <c r="B392" s="46"/>
      <c r="C392" s="47" t="s">
        <v>281</v>
      </c>
      <c r="D392" s="46"/>
      <c r="E392" s="46"/>
      <c r="F392" s="46"/>
      <c r="G392" s="46"/>
      <c r="H392" s="295">
        <f>I391</f>
        <v>49064400</v>
      </c>
      <c r="I392" s="295"/>
      <c r="J392" s="295">
        <f>K391</f>
        <v>49064400</v>
      </c>
      <c r="K392" s="295"/>
      <c r="L392" s="120"/>
      <c r="BD392" s="37">
        <f>I391</f>
        <v>49064400</v>
      </c>
      <c r="BE392" s="37">
        <f>K391</f>
        <v>49064400</v>
      </c>
      <c r="BM392">
        <f>IF(Source!BI407&lt;=1,I391-0, 0)</f>
        <v>49064400</v>
      </c>
      <c r="BN392">
        <f>IF(Source!BI407=2,I391-0, 0)</f>
        <v>0</v>
      </c>
      <c r="BO392">
        <f>IF(Source!BI407=3,I391-0, 0)</f>
        <v>0</v>
      </c>
      <c r="BP392">
        <f>IF(Source!BI407=4,I391,0)</f>
        <v>0</v>
      </c>
    </row>
    <row r="394" spans="1:68" ht="42.75" x14ac:dyDescent="0.2">
      <c r="A394" s="39" t="str">
        <f>Source!E408</f>
        <v>26</v>
      </c>
      <c r="B394" s="40" t="str">
        <f>Source!F408</f>
        <v>Цена поставщика</v>
      </c>
      <c r="C394" s="40" t="s">
        <v>188</v>
      </c>
      <c r="D394" s="41" t="str">
        <f>Source!H408</f>
        <v>шт.</v>
      </c>
      <c r="E394" s="42">
        <f>Source!I408</f>
        <v>2646</v>
      </c>
      <c r="F394" s="43">
        <f>Source!AL408</f>
        <v>65772</v>
      </c>
      <c r="G394" s="44" t="str">
        <f>Source!DD408</f>
        <v/>
      </c>
      <c r="H394" s="42">
        <f>Source!AW408</f>
        <v>1</v>
      </c>
      <c r="I394" s="45">
        <f>ROUND((ROUND((Source!AC408*Source!AW408*Source!I408),2)),2)</f>
        <v>174032712</v>
      </c>
      <c r="J394" s="42">
        <f>IF(Source!BC408&lt;&gt; 0, Source!BC408, 1)</f>
        <v>1</v>
      </c>
      <c r="K394" s="45">
        <f>Source!P408</f>
        <v>174032712</v>
      </c>
      <c r="L394" s="119"/>
      <c r="BF394">
        <f>ROUND((Source!DN408/100)*ROUND((ROUND((Source!AF408*Source!AV408*Source!I408),2)),2), 2)</f>
        <v>0</v>
      </c>
      <c r="BG394">
        <f>Source!X408</f>
        <v>0</v>
      </c>
      <c r="BH394">
        <f>ROUND((Source!DO408/100)*ROUND((ROUND((Source!AF408*Source!AV408*Source!I408),2)),2), 2)</f>
        <v>0</v>
      </c>
      <c r="BI394">
        <f>Source!Y408</f>
        <v>0</v>
      </c>
      <c r="BJ394">
        <f>ROUND((175/100)*ROUND((ROUND((Source!AE408*Source!AV408*Source!I408),2)),2), 2)</f>
        <v>0</v>
      </c>
      <c r="BK394">
        <f>ROUND((157/100)*ROUND(ROUND((ROUND((Source!AE408*Source!AV408*Source!I408),2)*Source!BS408),2), 2), 2)</f>
        <v>0</v>
      </c>
    </row>
    <row r="395" spans="1:68" ht="15" x14ac:dyDescent="0.25">
      <c r="A395" s="46"/>
      <c r="B395" s="46"/>
      <c r="C395" s="47" t="s">
        <v>281</v>
      </c>
      <c r="D395" s="46"/>
      <c r="E395" s="46"/>
      <c r="F395" s="46"/>
      <c r="G395" s="46"/>
      <c r="H395" s="295">
        <f>I394</f>
        <v>174032712</v>
      </c>
      <c r="I395" s="295"/>
      <c r="J395" s="295">
        <f>K394</f>
        <v>174032712</v>
      </c>
      <c r="K395" s="295"/>
      <c r="L395" s="120"/>
      <c r="BD395" s="37">
        <f>I394</f>
        <v>174032712</v>
      </c>
      <c r="BE395" s="37">
        <f>K394</f>
        <v>174032712</v>
      </c>
      <c r="BM395">
        <f>IF(Source!BI408&lt;=1,I394-0, 0)</f>
        <v>174032712</v>
      </c>
      <c r="BN395">
        <f>IF(Source!BI408=2,I394-0, 0)</f>
        <v>0</v>
      </c>
      <c r="BO395">
        <f>IF(Source!BI408=3,I394-0, 0)</f>
        <v>0</v>
      </c>
      <c r="BP395">
        <f>IF(Source!BI408=4,I394,0)</f>
        <v>0</v>
      </c>
    </row>
    <row r="397" spans="1:68" ht="42.75" x14ac:dyDescent="0.2">
      <c r="A397" s="39" t="str">
        <f>Source!E409</f>
        <v>27</v>
      </c>
      <c r="B397" s="40" t="str">
        <f>Source!F409</f>
        <v>Цена поставщика</v>
      </c>
      <c r="C397" s="40" t="s">
        <v>190</v>
      </c>
      <c r="D397" s="41" t="str">
        <f>Source!H409</f>
        <v>шт.</v>
      </c>
      <c r="E397" s="42">
        <f>Source!I409</f>
        <v>362</v>
      </c>
      <c r="F397" s="43">
        <f>Source!AL409</f>
        <v>52693.2</v>
      </c>
      <c r="G397" s="44" t="str">
        <f>Source!DD409</f>
        <v/>
      </c>
      <c r="H397" s="42">
        <f>Source!AW409</f>
        <v>1</v>
      </c>
      <c r="I397" s="45">
        <f>ROUND((ROUND((Source!AC409*Source!AW409*Source!I409),2)),2)</f>
        <v>19074938.399999999</v>
      </c>
      <c r="J397" s="42">
        <f>IF(Source!BC409&lt;&gt; 0, Source!BC409, 1)</f>
        <v>1</v>
      </c>
      <c r="K397" s="45">
        <f>Source!P409</f>
        <v>19074938.399999999</v>
      </c>
      <c r="L397" s="119"/>
      <c r="BF397">
        <f>ROUND((Source!DN409/100)*ROUND((ROUND((Source!AF409*Source!AV409*Source!I409),2)),2), 2)</f>
        <v>0</v>
      </c>
      <c r="BG397">
        <f>Source!X409</f>
        <v>0</v>
      </c>
      <c r="BH397">
        <f>ROUND((Source!DO409/100)*ROUND((ROUND((Source!AF409*Source!AV409*Source!I409),2)),2), 2)</f>
        <v>0</v>
      </c>
      <c r="BI397">
        <f>Source!Y409</f>
        <v>0</v>
      </c>
      <c r="BJ397">
        <f>ROUND((175/100)*ROUND((ROUND((Source!AE409*Source!AV409*Source!I409),2)),2), 2)</f>
        <v>0</v>
      </c>
      <c r="BK397">
        <f>ROUND((157/100)*ROUND(ROUND((ROUND((Source!AE409*Source!AV409*Source!I409),2)*Source!BS409),2), 2), 2)</f>
        <v>0</v>
      </c>
    </row>
    <row r="398" spans="1:68" ht="15" x14ac:dyDescent="0.25">
      <c r="A398" s="46"/>
      <c r="B398" s="46"/>
      <c r="C398" s="47" t="s">
        <v>281</v>
      </c>
      <c r="D398" s="46"/>
      <c r="E398" s="46"/>
      <c r="F398" s="46"/>
      <c r="G398" s="46"/>
      <c r="H398" s="295">
        <f>I397</f>
        <v>19074938.399999999</v>
      </c>
      <c r="I398" s="295"/>
      <c r="J398" s="295">
        <f>K397</f>
        <v>19074938.399999999</v>
      </c>
      <c r="K398" s="295"/>
      <c r="L398" s="120"/>
      <c r="BD398" s="37">
        <f>I397</f>
        <v>19074938.399999999</v>
      </c>
      <c r="BE398" s="37">
        <f>K397</f>
        <v>19074938.399999999</v>
      </c>
      <c r="BM398">
        <f>IF(Source!BI409&lt;=1,I397-0, 0)</f>
        <v>19074938.399999999</v>
      </c>
      <c r="BN398">
        <f>IF(Source!BI409=2,I397-0, 0)</f>
        <v>0</v>
      </c>
      <c r="BO398">
        <f>IF(Source!BI409=3,I397-0, 0)</f>
        <v>0</v>
      </c>
      <c r="BP398">
        <f>IF(Source!BI409=4,I397,0)</f>
        <v>0</v>
      </c>
    </row>
    <row r="400" spans="1:68" ht="42.75" x14ac:dyDescent="0.2">
      <c r="A400" s="39" t="str">
        <f>Source!E410</f>
        <v>28</v>
      </c>
      <c r="B400" s="40" t="str">
        <f>Source!F410</f>
        <v>Цена поставщика</v>
      </c>
      <c r="C400" s="40" t="s">
        <v>192</v>
      </c>
      <c r="D400" s="41" t="str">
        <f>Source!H410</f>
        <v>шт.</v>
      </c>
      <c r="E400" s="42">
        <f>Source!I410</f>
        <v>307</v>
      </c>
      <c r="F400" s="43">
        <f>Source!AL410</f>
        <v>30240</v>
      </c>
      <c r="G400" s="44" t="str">
        <f>Source!DD410</f>
        <v/>
      </c>
      <c r="H400" s="42">
        <f>Source!AW410</f>
        <v>1</v>
      </c>
      <c r="I400" s="45">
        <f>ROUND((ROUND((Source!AC410*Source!AW410*Source!I410),2)),2)</f>
        <v>9283680</v>
      </c>
      <c r="J400" s="42">
        <f>IF(Source!BC410&lt;&gt; 0, Source!BC410, 1)</f>
        <v>1</v>
      </c>
      <c r="K400" s="45">
        <f>Source!P410</f>
        <v>9283680</v>
      </c>
      <c r="L400" s="119"/>
      <c r="BF400">
        <f>ROUND((Source!DN410/100)*ROUND((ROUND((Source!AF410*Source!AV410*Source!I410),2)),2), 2)</f>
        <v>0</v>
      </c>
      <c r="BG400">
        <f>Source!X410</f>
        <v>0</v>
      </c>
      <c r="BH400">
        <f>ROUND((Source!DO410/100)*ROUND((ROUND((Source!AF410*Source!AV410*Source!I410),2)),2), 2)</f>
        <v>0</v>
      </c>
      <c r="BI400">
        <f>Source!Y410</f>
        <v>0</v>
      </c>
      <c r="BJ400">
        <f>ROUND((175/100)*ROUND((ROUND((Source!AE410*Source!AV410*Source!I410),2)),2), 2)</f>
        <v>0</v>
      </c>
      <c r="BK400">
        <f>ROUND((157/100)*ROUND(ROUND((ROUND((Source!AE410*Source!AV410*Source!I410),2)*Source!BS410),2), 2), 2)</f>
        <v>0</v>
      </c>
    </row>
    <row r="401" spans="1:68" ht="15" x14ac:dyDescent="0.25">
      <c r="A401" s="46"/>
      <c r="B401" s="46"/>
      <c r="C401" s="47" t="s">
        <v>281</v>
      </c>
      <c r="D401" s="46"/>
      <c r="E401" s="46"/>
      <c r="F401" s="46"/>
      <c r="G401" s="46"/>
      <c r="H401" s="295">
        <f>I400</f>
        <v>9283680</v>
      </c>
      <c r="I401" s="295"/>
      <c r="J401" s="295">
        <f>K400</f>
        <v>9283680</v>
      </c>
      <c r="K401" s="295"/>
      <c r="L401" s="120"/>
      <c r="BD401" s="37">
        <f>I400</f>
        <v>9283680</v>
      </c>
      <c r="BE401" s="37">
        <f>K400</f>
        <v>9283680</v>
      </c>
      <c r="BM401">
        <f>IF(Source!BI410&lt;=1,I400-0, 0)</f>
        <v>9283680</v>
      </c>
      <c r="BN401">
        <f>IF(Source!BI410=2,I400-0, 0)</f>
        <v>0</v>
      </c>
      <c r="BO401">
        <f>IF(Source!BI410=3,I400-0, 0)</f>
        <v>0</v>
      </c>
      <c r="BP401">
        <f>IF(Source!BI410=4,I400,0)</f>
        <v>0</v>
      </c>
    </row>
    <row r="403" spans="1:68" ht="42.75" x14ac:dyDescent="0.2">
      <c r="A403" s="39" t="str">
        <f>Source!E411</f>
        <v>29</v>
      </c>
      <c r="B403" s="40" t="str">
        <f>Source!F411</f>
        <v>Цена поставщика</v>
      </c>
      <c r="C403" s="40" t="s">
        <v>194</v>
      </c>
      <c r="D403" s="41" t="str">
        <f>Source!H411</f>
        <v>шт.</v>
      </c>
      <c r="E403" s="42">
        <f>Source!I411</f>
        <v>63</v>
      </c>
      <c r="F403" s="43">
        <f>Source!AL411</f>
        <v>25660</v>
      </c>
      <c r="G403" s="44" t="str">
        <f>Source!DD411</f>
        <v/>
      </c>
      <c r="H403" s="42">
        <f>Source!AW411</f>
        <v>1</v>
      </c>
      <c r="I403" s="45">
        <f>ROUND((ROUND((Source!AC411*Source!AW411*Source!I411),2)),2)</f>
        <v>1616580</v>
      </c>
      <c r="J403" s="42">
        <f>IF(Source!BC411&lt;&gt; 0, Source!BC411, 1)</f>
        <v>1</v>
      </c>
      <c r="K403" s="45">
        <f>Source!P411</f>
        <v>1616580</v>
      </c>
      <c r="L403" s="119"/>
      <c r="BF403">
        <f>ROUND((Source!DN411/100)*ROUND((ROUND((Source!AF411*Source!AV411*Source!I411),2)),2), 2)</f>
        <v>0</v>
      </c>
      <c r="BG403">
        <f>Source!X411</f>
        <v>0</v>
      </c>
      <c r="BH403">
        <f>ROUND((Source!DO411/100)*ROUND((ROUND((Source!AF411*Source!AV411*Source!I411),2)),2), 2)</f>
        <v>0</v>
      </c>
      <c r="BI403">
        <f>Source!Y411</f>
        <v>0</v>
      </c>
      <c r="BJ403">
        <f>ROUND((175/100)*ROUND((ROUND((Source!AE411*Source!AV411*Source!I411),2)),2), 2)</f>
        <v>0</v>
      </c>
      <c r="BK403">
        <f>ROUND((157/100)*ROUND(ROUND((ROUND((Source!AE411*Source!AV411*Source!I411),2)*Source!BS411),2), 2), 2)</f>
        <v>0</v>
      </c>
    </row>
    <row r="404" spans="1:68" ht="15" x14ac:dyDescent="0.25">
      <c r="A404" s="46"/>
      <c r="B404" s="46"/>
      <c r="C404" s="47" t="s">
        <v>281</v>
      </c>
      <c r="D404" s="46"/>
      <c r="E404" s="46"/>
      <c r="F404" s="46"/>
      <c r="G404" s="46"/>
      <c r="H404" s="295">
        <f>I403</f>
        <v>1616580</v>
      </c>
      <c r="I404" s="295"/>
      <c r="J404" s="295">
        <f>K403</f>
        <v>1616580</v>
      </c>
      <c r="K404" s="295"/>
      <c r="L404" s="120"/>
      <c r="BD404" s="37">
        <f>I403</f>
        <v>1616580</v>
      </c>
      <c r="BE404" s="37">
        <f>K403</f>
        <v>1616580</v>
      </c>
      <c r="BM404">
        <f>IF(Source!BI411&lt;=1,I403-0, 0)</f>
        <v>1616580</v>
      </c>
      <c r="BN404">
        <f>IF(Source!BI411=2,I403-0, 0)</f>
        <v>0</v>
      </c>
      <c r="BO404">
        <f>IF(Source!BI411=3,I403-0, 0)</f>
        <v>0</v>
      </c>
      <c r="BP404">
        <f>IF(Source!BI411=4,I403,0)</f>
        <v>0</v>
      </c>
    </row>
    <row r="407" spans="1:68" ht="15" x14ac:dyDescent="0.25">
      <c r="A407" s="307" t="str">
        <f>CONCATENATE("Итого по разделу: ",IF(Source!G414&lt;&gt;"Новый раздел", Source!G414, ""))</f>
        <v>Итого по разделу: Стоимость деревьев для посадки</v>
      </c>
      <c r="B407" s="307"/>
      <c r="C407" s="307"/>
      <c r="D407" s="307"/>
      <c r="E407" s="307"/>
      <c r="F407" s="307"/>
      <c r="G407" s="307"/>
      <c r="H407" s="305">
        <f>SUM(BD384:BD406)</f>
        <v>289647810.39999998</v>
      </c>
      <c r="I407" s="306"/>
      <c r="J407" s="305">
        <f>SUM(BE384:BE406)</f>
        <v>289647810.39999998</v>
      </c>
      <c r="K407" s="306"/>
      <c r="L407" s="49"/>
    </row>
    <row r="408" spans="1:68" hidden="1" x14ac:dyDescent="0.2"/>
    <row r="409" spans="1:68" hidden="1" x14ac:dyDescent="0.2"/>
    <row r="411" spans="1:68" ht="16.5" x14ac:dyDescent="0.25">
      <c r="A411" s="294" t="str">
        <f>CONCATENATE("Раздел: ",IF(Source!G444&lt;&gt;"Новый раздел", Source!G444, ""))</f>
        <v>Раздел: Стоимость деревьев для восстановления отпада</v>
      </c>
      <c r="B411" s="294"/>
      <c r="C411" s="294"/>
      <c r="D411" s="294"/>
      <c r="E411" s="294"/>
      <c r="F411" s="294"/>
      <c r="G411" s="294"/>
      <c r="H411" s="294"/>
      <c r="I411" s="294"/>
      <c r="J411" s="294"/>
      <c r="K411" s="294"/>
      <c r="L411" s="27"/>
    </row>
    <row r="412" spans="1:68" ht="42.75" x14ac:dyDescent="0.2">
      <c r="A412" s="39" t="str">
        <f>Source!E448</f>
        <v>30</v>
      </c>
      <c r="B412" s="40" t="str">
        <f>Source!F448</f>
        <v>Цена поставщика</v>
      </c>
      <c r="C412" s="40" t="s">
        <v>178</v>
      </c>
      <c r="D412" s="41" t="str">
        <f>Source!H448</f>
        <v>шт.</v>
      </c>
      <c r="E412" s="42">
        <f>Source!I448</f>
        <v>3</v>
      </c>
      <c r="F412" s="43">
        <f>Source!AL448</f>
        <v>24500</v>
      </c>
      <c r="G412" s="44" t="str">
        <f>Source!DD448</f>
        <v/>
      </c>
      <c r="H412" s="42">
        <f>Source!AW448</f>
        <v>1</v>
      </c>
      <c r="I412" s="45">
        <f>ROUND((ROUND((Source!AC448*Source!AW448*Source!I448),2)),2)</f>
        <v>73500</v>
      </c>
      <c r="J412" s="42">
        <f>IF(Source!BC448&lt;&gt; 0, Source!BC448, 1)</f>
        <v>1</v>
      </c>
      <c r="K412" s="45">
        <f>Source!P448</f>
        <v>73500</v>
      </c>
      <c r="L412" s="119"/>
      <c r="BF412">
        <f>ROUND((Source!DN448/100)*ROUND((ROUND((Source!AF448*Source!AV448*Source!I448),2)),2), 2)</f>
        <v>0</v>
      </c>
      <c r="BG412">
        <f>Source!X448</f>
        <v>0</v>
      </c>
      <c r="BH412">
        <f>ROUND((Source!DO448/100)*ROUND((ROUND((Source!AF448*Source!AV448*Source!I448),2)),2), 2)</f>
        <v>0</v>
      </c>
      <c r="BI412">
        <f>Source!Y448</f>
        <v>0</v>
      </c>
      <c r="BJ412">
        <f>ROUND((175/100)*ROUND((ROUND((Source!AE448*Source!AV448*Source!I448),2)),2), 2)</f>
        <v>0</v>
      </c>
      <c r="BK412">
        <f>ROUND((157/100)*ROUND(ROUND((ROUND((Source!AE448*Source!AV448*Source!I448),2)*Source!BS448),2), 2), 2)</f>
        <v>0</v>
      </c>
    </row>
    <row r="413" spans="1:68" ht="15" x14ac:dyDescent="0.25">
      <c r="A413" s="46"/>
      <c r="B413" s="46"/>
      <c r="C413" s="47" t="s">
        <v>281</v>
      </c>
      <c r="D413" s="46"/>
      <c r="E413" s="46"/>
      <c r="F413" s="46"/>
      <c r="G413" s="46"/>
      <c r="H413" s="295">
        <f>I412</f>
        <v>73500</v>
      </c>
      <c r="I413" s="295"/>
      <c r="J413" s="295">
        <f>K412</f>
        <v>73500</v>
      </c>
      <c r="K413" s="295"/>
      <c r="L413" s="120"/>
      <c r="BD413" s="37">
        <f>I412</f>
        <v>73500</v>
      </c>
      <c r="BE413" s="37">
        <f>K412</f>
        <v>73500</v>
      </c>
      <c r="BM413">
        <f>IF(Source!BI448&lt;=1,I412-0, 0)</f>
        <v>73500</v>
      </c>
      <c r="BN413">
        <f>IF(Source!BI448=2,I412-0, 0)</f>
        <v>0</v>
      </c>
      <c r="BO413">
        <f>IF(Source!BI448=3,I412-0, 0)</f>
        <v>0</v>
      </c>
      <c r="BP413">
        <f>IF(Source!BI448=4,I412,0)</f>
        <v>0</v>
      </c>
    </row>
    <row r="415" spans="1:68" ht="42.75" x14ac:dyDescent="0.2">
      <c r="A415" s="39" t="str">
        <f>Source!E449</f>
        <v>31</v>
      </c>
      <c r="B415" s="40" t="str">
        <f>Source!F449</f>
        <v>Цена поставщика</v>
      </c>
      <c r="C415" s="40" t="s">
        <v>184</v>
      </c>
      <c r="D415" s="41" t="str">
        <f>Source!H449</f>
        <v>шт.</v>
      </c>
      <c r="E415" s="42">
        <f>Source!I449</f>
        <v>32</v>
      </c>
      <c r="F415" s="43">
        <f>Source!AL449</f>
        <v>54000</v>
      </c>
      <c r="G415" s="44" t="str">
        <f>Source!DD449</f>
        <v/>
      </c>
      <c r="H415" s="42">
        <f>Source!AW449</f>
        <v>1</v>
      </c>
      <c r="I415" s="45">
        <f>ROUND((ROUND((Source!AC449*Source!AW449*Source!I449),2)),2)</f>
        <v>1728000</v>
      </c>
      <c r="J415" s="42">
        <f>IF(Source!BC449&lt;&gt; 0, Source!BC449, 1)</f>
        <v>1</v>
      </c>
      <c r="K415" s="45">
        <f>Source!P449</f>
        <v>1728000</v>
      </c>
      <c r="L415" s="119"/>
      <c r="BF415">
        <f>ROUND((Source!DN449/100)*ROUND((ROUND((Source!AF449*Source!AV449*Source!I449),2)),2), 2)</f>
        <v>0</v>
      </c>
      <c r="BG415">
        <f>Source!X449</f>
        <v>0</v>
      </c>
      <c r="BH415">
        <f>ROUND((Source!DO449/100)*ROUND((ROUND((Source!AF449*Source!AV449*Source!I449),2)),2), 2)</f>
        <v>0</v>
      </c>
      <c r="BI415">
        <f>Source!Y449</f>
        <v>0</v>
      </c>
      <c r="BJ415">
        <f>ROUND((175/100)*ROUND((ROUND((Source!AE449*Source!AV449*Source!I449),2)),2), 2)</f>
        <v>0</v>
      </c>
      <c r="BK415">
        <f>ROUND((157/100)*ROUND(ROUND((ROUND((Source!AE449*Source!AV449*Source!I449),2)*Source!BS449),2), 2), 2)</f>
        <v>0</v>
      </c>
    </row>
    <row r="416" spans="1:68" ht="15" x14ac:dyDescent="0.25">
      <c r="A416" s="46"/>
      <c r="B416" s="46"/>
      <c r="C416" s="47" t="s">
        <v>281</v>
      </c>
      <c r="D416" s="46"/>
      <c r="E416" s="46"/>
      <c r="F416" s="46"/>
      <c r="G416" s="46"/>
      <c r="H416" s="295">
        <f>I415</f>
        <v>1728000</v>
      </c>
      <c r="I416" s="295"/>
      <c r="J416" s="295">
        <f>K415</f>
        <v>1728000</v>
      </c>
      <c r="K416" s="295"/>
      <c r="L416" s="120"/>
      <c r="BD416" s="37">
        <f>I415</f>
        <v>1728000</v>
      </c>
      <c r="BE416" s="37">
        <f>K415</f>
        <v>1728000</v>
      </c>
      <c r="BM416">
        <f>IF(Source!BI449&lt;=1,I415-0, 0)</f>
        <v>1728000</v>
      </c>
      <c r="BN416">
        <f>IF(Source!BI449=2,I415-0, 0)</f>
        <v>0</v>
      </c>
      <c r="BO416">
        <f>IF(Source!BI449=3,I415-0, 0)</f>
        <v>0</v>
      </c>
      <c r="BP416">
        <f>IF(Source!BI449=4,I415,0)</f>
        <v>0</v>
      </c>
    </row>
    <row r="418" spans="1:68" ht="42.75" x14ac:dyDescent="0.2">
      <c r="A418" s="39" t="str">
        <f>Source!E450</f>
        <v>32</v>
      </c>
      <c r="B418" s="40" t="str">
        <f>Source!F450</f>
        <v>Цена поставщика</v>
      </c>
      <c r="C418" s="40" t="s">
        <v>186</v>
      </c>
      <c r="D418" s="41" t="str">
        <f>Source!H450</f>
        <v>шт.</v>
      </c>
      <c r="E418" s="42">
        <f>Source!I450</f>
        <v>29</v>
      </c>
      <c r="F418" s="43">
        <f>Source!AL450</f>
        <v>83160</v>
      </c>
      <c r="G418" s="44" t="str">
        <f>Source!DD450</f>
        <v/>
      </c>
      <c r="H418" s="42">
        <f>Source!AW450</f>
        <v>1</v>
      </c>
      <c r="I418" s="45">
        <f>ROUND((ROUND((Source!AC450*Source!AW450*Source!I450),2)),2)</f>
        <v>2411640</v>
      </c>
      <c r="J418" s="42">
        <f>IF(Source!BC450&lt;&gt; 0, Source!BC450, 1)</f>
        <v>1</v>
      </c>
      <c r="K418" s="45">
        <f>Source!P450</f>
        <v>2411640</v>
      </c>
      <c r="L418" s="119"/>
      <c r="BF418">
        <f>ROUND((Source!DN450/100)*ROUND((ROUND((Source!AF450*Source!AV450*Source!I450),2)),2), 2)</f>
        <v>0</v>
      </c>
      <c r="BG418">
        <f>Source!X450</f>
        <v>0</v>
      </c>
      <c r="BH418">
        <f>ROUND((Source!DO450/100)*ROUND((ROUND((Source!AF450*Source!AV450*Source!I450),2)),2), 2)</f>
        <v>0</v>
      </c>
      <c r="BI418">
        <f>Source!Y450</f>
        <v>0</v>
      </c>
      <c r="BJ418">
        <f>ROUND((175/100)*ROUND((ROUND((Source!AE450*Source!AV450*Source!I450),2)),2), 2)</f>
        <v>0</v>
      </c>
      <c r="BK418">
        <f>ROUND((157/100)*ROUND(ROUND((ROUND((Source!AE450*Source!AV450*Source!I450),2)*Source!BS450),2), 2), 2)</f>
        <v>0</v>
      </c>
    </row>
    <row r="419" spans="1:68" ht="15" x14ac:dyDescent="0.25">
      <c r="A419" s="46"/>
      <c r="B419" s="46"/>
      <c r="C419" s="47" t="s">
        <v>281</v>
      </c>
      <c r="D419" s="46"/>
      <c r="E419" s="46"/>
      <c r="F419" s="46"/>
      <c r="G419" s="46"/>
      <c r="H419" s="295">
        <f>I418</f>
        <v>2411640</v>
      </c>
      <c r="I419" s="295"/>
      <c r="J419" s="295">
        <f>K418</f>
        <v>2411640</v>
      </c>
      <c r="K419" s="295"/>
      <c r="L419" s="120"/>
      <c r="BD419" s="37">
        <f>I418</f>
        <v>2411640</v>
      </c>
      <c r="BE419" s="37">
        <f>K418</f>
        <v>2411640</v>
      </c>
      <c r="BM419">
        <f>IF(Source!BI450&lt;=1,I418-0, 0)</f>
        <v>2411640</v>
      </c>
      <c r="BN419">
        <f>IF(Source!BI450=2,I418-0, 0)</f>
        <v>0</v>
      </c>
      <c r="BO419">
        <f>IF(Source!BI450=3,I418-0, 0)</f>
        <v>0</v>
      </c>
      <c r="BP419">
        <f>IF(Source!BI450=4,I418,0)</f>
        <v>0</v>
      </c>
    </row>
    <row r="421" spans="1:68" ht="42.75" x14ac:dyDescent="0.2">
      <c r="A421" s="39" t="str">
        <f>Source!E451</f>
        <v>33</v>
      </c>
      <c r="B421" s="40" t="str">
        <f>Source!F451</f>
        <v>Цена поставщика</v>
      </c>
      <c r="C421" s="40" t="s">
        <v>188</v>
      </c>
      <c r="D421" s="41" t="str">
        <f>Source!H451</f>
        <v>шт.</v>
      </c>
      <c r="E421" s="42">
        <f>Source!I451</f>
        <v>132</v>
      </c>
      <c r="F421" s="43">
        <f>Source!AL451</f>
        <v>65772</v>
      </c>
      <c r="G421" s="44" t="str">
        <f>Source!DD451</f>
        <v/>
      </c>
      <c r="H421" s="42">
        <f>Source!AW451</f>
        <v>1</v>
      </c>
      <c r="I421" s="45">
        <f>ROUND((ROUND((Source!AC451*Source!AW451*Source!I451),2)),2)</f>
        <v>8681904</v>
      </c>
      <c r="J421" s="42">
        <f>IF(Source!BC451&lt;&gt; 0, Source!BC451, 1)</f>
        <v>1</v>
      </c>
      <c r="K421" s="45">
        <f>Source!P451</f>
        <v>8681904</v>
      </c>
      <c r="L421" s="119"/>
      <c r="BF421">
        <f>ROUND((Source!DN451/100)*ROUND((ROUND((Source!AF451*Source!AV451*Source!I451),2)),2), 2)</f>
        <v>0</v>
      </c>
      <c r="BG421">
        <f>Source!X451</f>
        <v>0</v>
      </c>
      <c r="BH421">
        <f>ROUND((Source!DO451/100)*ROUND((ROUND((Source!AF451*Source!AV451*Source!I451),2)),2), 2)</f>
        <v>0</v>
      </c>
      <c r="BI421">
        <f>Source!Y451</f>
        <v>0</v>
      </c>
      <c r="BJ421">
        <f>ROUND((175/100)*ROUND((ROUND((Source!AE451*Source!AV451*Source!I451),2)),2), 2)</f>
        <v>0</v>
      </c>
      <c r="BK421">
        <f>ROUND((157/100)*ROUND(ROUND((ROUND((Source!AE451*Source!AV451*Source!I451),2)*Source!BS451),2), 2), 2)</f>
        <v>0</v>
      </c>
    </row>
    <row r="422" spans="1:68" ht="15" x14ac:dyDescent="0.25">
      <c r="A422" s="46"/>
      <c r="B422" s="46"/>
      <c r="C422" s="47" t="s">
        <v>281</v>
      </c>
      <c r="D422" s="46"/>
      <c r="E422" s="46"/>
      <c r="F422" s="46"/>
      <c r="G422" s="46"/>
      <c r="H422" s="295">
        <f>I421</f>
        <v>8681904</v>
      </c>
      <c r="I422" s="295"/>
      <c r="J422" s="295">
        <f>K421</f>
        <v>8681904</v>
      </c>
      <c r="K422" s="295"/>
      <c r="L422" s="120"/>
      <c r="BD422" s="37">
        <f>I421</f>
        <v>8681904</v>
      </c>
      <c r="BE422" s="37">
        <f>K421</f>
        <v>8681904</v>
      </c>
      <c r="BM422">
        <f>IF(Source!BI451&lt;=1,I421-0, 0)</f>
        <v>8681904</v>
      </c>
      <c r="BN422">
        <f>IF(Source!BI451=2,I421-0, 0)</f>
        <v>0</v>
      </c>
      <c r="BO422">
        <f>IF(Source!BI451=3,I421-0, 0)</f>
        <v>0</v>
      </c>
      <c r="BP422">
        <f>IF(Source!BI451=4,I421,0)</f>
        <v>0</v>
      </c>
    </row>
    <row r="424" spans="1:68" ht="42.75" x14ac:dyDescent="0.2">
      <c r="A424" s="39" t="str">
        <f>Source!E452</f>
        <v>34</v>
      </c>
      <c r="B424" s="40" t="str">
        <f>Source!F452</f>
        <v>Цена поставщика</v>
      </c>
      <c r="C424" s="40" t="s">
        <v>190</v>
      </c>
      <c r="D424" s="41" t="str">
        <f>Source!H452</f>
        <v>шт.</v>
      </c>
      <c r="E424" s="42">
        <f>Source!I452</f>
        <v>18</v>
      </c>
      <c r="F424" s="43">
        <f>Source!AL452</f>
        <v>52693.2</v>
      </c>
      <c r="G424" s="44" t="str">
        <f>Source!DD452</f>
        <v/>
      </c>
      <c r="H424" s="42">
        <f>Source!AW452</f>
        <v>1</v>
      </c>
      <c r="I424" s="45">
        <f>ROUND((ROUND((Source!AC452*Source!AW452*Source!I452),2)),2)</f>
        <v>948477.6</v>
      </c>
      <c r="J424" s="42">
        <f>IF(Source!BC452&lt;&gt; 0, Source!BC452, 1)</f>
        <v>1</v>
      </c>
      <c r="K424" s="45">
        <f>Source!P452</f>
        <v>948477.6</v>
      </c>
      <c r="L424" s="119"/>
      <c r="BF424">
        <f>ROUND((Source!DN452/100)*ROUND((ROUND((Source!AF452*Source!AV452*Source!I452),2)),2), 2)</f>
        <v>0</v>
      </c>
      <c r="BG424">
        <f>Source!X452</f>
        <v>0</v>
      </c>
      <c r="BH424">
        <f>ROUND((Source!DO452/100)*ROUND((ROUND((Source!AF452*Source!AV452*Source!I452),2)),2), 2)</f>
        <v>0</v>
      </c>
      <c r="BI424">
        <f>Source!Y452</f>
        <v>0</v>
      </c>
      <c r="BJ424">
        <f>ROUND((175/100)*ROUND((ROUND((Source!AE452*Source!AV452*Source!I452),2)),2), 2)</f>
        <v>0</v>
      </c>
      <c r="BK424">
        <f>ROUND((157/100)*ROUND(ROUND((ROUND((Source!AE452*Source!AV452*Source!I452),2)*Source!BS452),2), 2), 2)</f>
        <v>0</v>
      </c>
    </row>
    <row r="425" spans="1:68" ht="15" x14ac:dyDescent="0.25">
      <c r="A425" s="46"/>
      <c r="B425" s="46"/>
      <c r="C425" s="47" t="s">
        <v>281</v>
      </c>
      <c r="D425" s="46"/>
      <c r="E425" s="46"/>
      <c r="F425" s="46"/>
      <c r="G425" s="46"/>
      <c r="H425" s="295">
        <f>I424</f>
        <v>948477.6</v>
      </c>
      <c r="I425" s="295"/>
      <c r="J425" s="295">
        <f>K424</f>
        <v>948477.6</v>
      </c>
      <c r="K425" s="295"/>
      <c r="L425" s="120"/>
      <c r="BD425" s="37">
        <f>I424</f>
        <v>948477.6</v>
      </c>
      <c r="BE425" s="37">
        <f>K424</f>
        <v>948477.6</v>
      </c>
      <c r="BM425">
        <f>IF(Source!BI452&lt;=1,I424-0, 0)</f>
        <v>948477.6</v>
      </c>
      <c r="BN425">
        <f>IF(Source!BI452=2,I424-0, 0)</f>
        <v>0</v>
      </c>
      <c r="BO425">
        <f>IF(Source!BI452=3,I424-0, 0)</f>
        <v>0</v>
      </c>
      <c r="BP425">
        <f>IF(Source!BI452=4,I424,0)</f>
        <v>0</v>
      </c>
    </row>
    <row r="427" spans="1:68" ht="42.75" x14ac:dyDescent="0.2">
      <c r="A427" s="39" t="str">
        <f>Source!E453</f>
        <v>35</v>
      </c>
      <c r="B427" s="40" t="str">
        <f>Source!F453</f>
        <v>Цена поставщика</v>
      </c>
      <c r="C427" s="40" t="s">
        <v>192</v>
      </c>
      <c r="D427" s="41" t="str">
        <f>Source!H453</f>
        <v>шт.</v>
      </c>
      <c r="E427" s="42">
        <f>Source!I453</f>
        <v>15</v>
      </c>
      <c r="F427" s="43">
        <f>Source!AL453</f>
        <v>30240</v>
      </c>
      <c r="G427" s="44" t="str">
        <f>Source!DD453</f>
        <v/>
      </c>
      <c r="H427" s="42">
        <f>Source!AW453</f>
        <v>1</v>
      </c>
      <c r="I427" s="45">
        <f>ROUND((ROUND((Source!AC453*Source!AW453*Source!I453),2)),2)</f>
        <v>453600</v>
      </c>
      <c r="J427" s="42">
        <f>IF(Source!BC453&lt;&gt; 0, Source!BC453, 1)</f>
        <v>1</v>
      </c>
      <c r="K427" s="45">
        <f>Source!P453</f>
        <v>453600</v>
      </c>
      <c r="L427" s="119"/>
      <c r="BF427">
        <f>ROUND((Source!DN453/100)*ROUND((ROUND((Source!AF453*Source!AV453*Source!I453),2)),2), 2)</f>
        <v>0</v>
      </c>
      <c r="BG427">
        <f>Source!X453</f>
        <v>0</v>
      </c>
      <c r="BH427">
        <f>ROUND((Source!DO453/100)*ROUND((ROUND((Source!AF453*Source!AV453*Source!I453),2)),2), 2)</f>
        <v>0</v>
      </c>
      <c r="BI427">
        <f>Source!Y453</f>
        <v>0</v>
      </c>
      <c r="BJ427">
        <f>ROUND((175/100)*ROUND((ROUND((Source!AE453*Source!AV453*Source!I453),2)),2), 2)</f>
        <v>0</v>
      </c>
      <c r="BK427">
        <f>ROUND((157/100)*ROUND(ROUND((ROUND((Source!AE453*Source!AV453*Source!I453),2)*Source!BS453),2), 2), 2)</f>
        <v>0</v>
      </c>
    </row>
    <row r="428" spans="1:68" ht="15" x14ac:dyDescent="0.25">
      <c r="A428" s="46"/>
      <c r="B428" s="46"/>
      <c r="C428" s="47" t="s">
        <v>281</v>
      </c>
      <c r="D428" s="46"/>
      <c r="E428" s="46"/>
      <c r="F428" s="46"/>
      <c r="G428" s="46"/>
      <c r="H428" s="295">
        <f>I427</f>
        <v>453600</v>
      </c>
      <c r="I428" s="295"/>
      <c r="J428" s="295">
        <f>K427</f>
        <v>453600</v>
      </c>
      <c r="K428" s="295"/>
      <c r="L428" s="120"/>
      <c r="BD428" s="37">
        <f>I427</f>
        <v>453600</v>
      </c>
      <c r="BE428" s="37">
        <f>K427</f>
        <v>453600</v>
      </c>
      <c r="BM428">
        <f>IF(Source!BI453&lt;=1,I427-0, 0)</f>
        <v>453600</v>
      </c>
      <c r="BN428">
        <f>IF(Source!BI453=2,I427-0, 0)</f>
        <v>0</v>
      </c>
      <c r="BO428">
        <f>IF(Source!BI453=3,I427-0, 0)</f>
        <v>0</v>
      </c>
      <c r="BP428">
        <f>IF(Source!BI453=4,I427,0)</f>
        <v>0</v>
      </c>
    </row>
    <row r="430" spans="1:68" ht="42.75" x14ac:dyDescent="0.2">
      <c r="A430" s="39" t="str">
        <f>Source!E454</f>
        <v>36</v>
      </c>
      <c r="B430" s="40" t="str">
        <f>Source!F454</f>
        <v>Цена поставщика</v>
      </c>
      <c r="C430" s="40" t="s">
        <v>194</v>
      </c>
      <c r="D430" s="41" t="str">
        <f>Source!H454</f>
        <v>шт.</v>
      </c>
      <c r="E430" s="42">
        <f>Source!I454</f>
        <v>4</v>
      </c>
      <c r="F430" s="43">
        <f>Source!AL454</f>
        <v>25660</v>
      </c>
      <c r="G430" s="44" t="str">
        <f>Source!DD454</f>
        <v/>
      </c>
      <c r="H430" s="42">
        <f>Source!AW454</f>
        <v>1</v>
      </c>
      <c r="I430" s="45">
        <f>ROUND((ROUND((Source!AC454*Source!AW454*Source!I454),2)),2)</f>
        <v>102640</v>
      </c>
      <c r="J430" s="42">
        <f>IF(Source!BC454&lt;&gt; 0, Source!BC454, 1)</f>
        <v>1</v>
      </c>
      <c r="K430" s="45">
        <f>Source!P454</f>
        <v>102640</v>
      </c>
      <c r="L430" s="119"/>
      <c r="BF430">
        <f>ROUND((Source!DN454/100)*ROUND((ROUND((Source!AF454*Source!AV454*Source!I454),2)),2), 2)</f>
        <v>0</v>
      </c>
      <c r="BG430">
        <f>Source!X454</f>
        <v>0</v>
      </c>
      <c r="BH430">
        <f>ROUND((Source!DO454/100)*ROUND((ROUND((Source!AF454*Source!AV454*Source!I454),2)),2), 2)</f>
        <v>0</v>
      </c>
      <c r="BI430">
        <f>Source!Y454</f>
        <v>0</v>
      </c>
      <c r="BJ430">
        <f>ROUND((175/100)*ROUND((ROUND((Source!AE454*Source!AV454*Source!I454),2)),2), 2)</f>
        <v>0</v>
      </c>
      <c r="BK430">
        <f>ROUND((157/100)*ROUND(ROUND((ROUND((Source!AE454*Source!AV454*Source!I454),2)*Source!BS454),2), 2), 2)</f>
        <v>0</v>
      </c>
    </row>
    <row r="431" spans="1:68" ht="15" x14ac:dyDescent="0.25">
      <c r="A431" s="46"/>
      <c r="B431" s="46"/>
      <c r="C431" s="47" t="s">
        <v>281</v>
      </c>
      <c r="D431" s="46"/>
      <c r="E431" s="46"/>
      <c r="F431" s="46"/>
      <c r="G431" s="46"/>
      <c r="H431" s="295">
        <f>I430</f>
        <v>102640</v>
      </c>
      <c r="I431" s="295"/>
      <c r="J431" s="295">
        <f>K430</f>
        <v>102640</v>
      </c>
      <c r="K431" s="295"/>
      <c r="L431" s="120"/>
      <c r="BD431" s="37">
        <f>I430</f>
        <v>102640</v>
      </c>
      <c r="BE431" s="37">
        <f>K430</f>
        <v>102640</v>
      </c>
      <c r="BM431">
        <f>IF(Source!BI454&lt;=1,I430-0, 0)</f>
        <v>102640</v>
      </c>
      <c r="BN431">
        <f>IF(Source!BI454=2,I430-0, 0)</f>
        <v>0</v>
      </c>
      <c r="BO431">
        <f>IF(Source!BI454=3,I430-0, 0)</f>
        <v>0</v>
      </c>
      <c r="BP431">
        <f>IF(Source!BI454=4,I430,0)</f>
        <v>0</v>
      </c>
    </row>
    <row r="434" spans="1:288" ht="15" x14ac:dyDescent="0.25">
      <c r="A434" s="307" t="str">
        <f>CONCATENATE("Итого по разделу: ",IF(Source!G456&lt;&gt;"Новый раздел", Source!G456, ""))</f>
        <v>Итого по разделу: Стоимость деревьев для восстановления отпада</v>
      </c>
      <c r="B434" s="307"/>
      <c r="C434" s="307"/>
      <c r="D434" s="307"/>
      <c r="E434" s="307"/>
      <c r="F434" s="307"/>
      <c r="G434" s="307"/>
      <c r="H434" s="305">
        <f>SUM(BD411:BD433)</f>
        <v>14399761.6</v>
      </c>
      <c r="I434" s="306"/>
      <c r="J434" s="305">
        <f>SUM(BE411:BE433)</f>
        <v>14399761.6</v>
      </c>
      <c r="K434" s="306"/>
      <c r="L434" s="49"/>
    </row>
    <row r="435" spans="1:288" hidden="1" x14ac:dyDescent="0.2"/>
    <row r="436" spans="1:288" hidden="1" x14ac:dyDescent="0.2"/>
    <row r="438" spans="1:288" ht="79.5" customHeight="1" x14ac:dyDescent="0.25">
      <c r="A438" s="311" t="s">
        <v>484</v>
      </c>
      <c r="B438" s="311"/>
      <c r="C438" s="311"/>
      <c r="D438" s="311"/>
      <c r="E438" s="311"/>
      <c r="F438" s="311"/>
      <c r="G438" s="311"/>
      <c r="H438" s="283">
        <f>SUM(BD383:BD437)</f>
        <v>304047572</v>
      </c>
      <c r="I438" s="284"/>
      <c r="J438" s="283">
        <f>SUM(BE383:BE437)</f>
        <v>304047572</v>
      </c>
      <c r="K438" s="284"/>
      <c r="L438" s="84"/>
      <c r="CA438" s="50" t="str">
        <f>CONCATENATE("Итого по локальной смете: ",IF(Source!G486&lt;&gt;"Новая локальная смета", Source!G486, ""))</f>
        <v>Итого по локальной смете: 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</row>
    <row r="439" spans="1:288" ht="20.25" customHeight="1" x14ac:dyDescent="0.25">
      <c r="A439" s="81" t="s">
        <v>204</v>
      </c>
      <c r="B439" s="81"/>
      <c r="C439" s="81"/>
      <c r="D439" s="81"/>
      <c r="E439" s="81"/>
      <c r="F439" s="81"/>
      <c r="G439" s="81"/>
      <c r="H439" s="81"/>
      <c r="I439" s="81"/>
      <c r="J439" s="283">
        <f>ROUNDUP(J438/1.2*0.2,2)</f>
        <v>50674595.339999996</v>
      </c>
      <c r="K439" s="284"/>
      <c r="L439" s="84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8"/>
      <c r="AV439" s="98"/>
      <c r="AW439" s="98"/>
      <c r="AX439" s="98"/>
      <c r="AY439" s="98"/>
      <c r="AZ439" s="98"/>
      <c r="BA439" s="98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85"/>
      <c r="CP439" s="100"/>
      <c r="CQ439" s="101"/>
      <c r="CR439" s="85"/>
      <c r="CS439" s="85"/>
      <c r="CT439" s="85"/>
      <c r="CU439" s="85"/>
      <c r="CV439" s="85"/>
      <c r="CW439" s="85"/>
      <c r="CX439" s="85"/>
      <c r="CY439" s="85"/>
      <c r="CZ439" s="85"/>
      <c r="DA439" s="85"/>
      <c r="DB439" s="85"/>
      <c r="DC439" s="85"/>
      <c r="DD439" s="85"/>
      <c r="DE439" s="85"/>
      <c r="DF439" s="85"/>
      <c r="DG439" s="85"/>
      <c r="DH439" s="85"/>
      <c r="DI439" s="85"/>
      <c r="DJ439" s="85"/>
      <c r="DK439" s="85"/>
      <c r="DL439" s="85"/>
      <c r="DM439" s="85"/>
      <c r="DN439" s="85"/>
      <c r="DO439" s="85"/>
      <c r="DP439" s="85"/>
      <c r="DQ439" s="85"/>
      <c r="DR439" s="85"/>
      <c r="DS439" s="85"/>
      <c r="DT439" s="85"/>
      <c r="DU439" s="85"/>
      <c r="DV439" s="85"/>
      <c r="DW439" s="85"/>
      <c r="DX439" s="85"/>
      <c r="DY439" s="85"/>
      <c r="DZ439" s="85"/>
      <c r="EA439" s="85"/>
      <c r="EB439" s="85"/>
      <c r="EC439" s="85"/>
      <c r="ED439" s="85"/>
      <c r="EE439" s="85"/>
      <c r="EF439" s="85"/>
      <c r="EG439" s="85"/>
      <c r="EH439" s="85"/>
      <c r="EI439" s="85"/>
      <c r="EJ439" s="85"/>
      <c r="EK439" s="85"/>
      <c r="EL439" s="85"/>
      <c r="EM439" s="85"/>
      <c r="EN439" s="85"/>
      <c r="EO439" s="85"/>
      <c r="EP439" s="85"/>
      <c r="EQ439" s="85"/>
      <c r="ER439" s="85"/>
      <c r="ES439" s="85"/>
      <c r="ET439" s="85"/>
      <c r="EU439" s="85"/>
      <c r="EV439" s="85"/>
      <c r="EW439" s="85"/>
      <c r="EX439" s="85"/>
      <c r="EY439" s="85"/>
      <c r="EZ439" s="85"/>
      <c r="FA439" s="85"/>
      <c r="FB439" s="85"/>
      <c r="FC439" s="85"/>
      <c r="FD439" s="85"/>
      <c r="FE439" s="85"/>
      <c r="FF439" s="85"/>
      <c r="FG439" s="85"/>
      <c r="FH439" s="85"/>
      <c r="FI439" s="85"/>
      <c r="FJ439" s="85"/>
      <c r="FK439" s="85"/>
      <c r="FL439" s="85"/>
      <c r="FM439" s="85"/>
      <c r="FN439" s="85"/>
      <c r="FO439" s="85"/>
      <c r="FP439" s="85"/>
      <c r="FQ439" s="85"/>
      <c r="FR439" s="85"/>
      <c r="FS439" s="85"/>
      <c r="FT439" s="85"/>
      <c r="FU439" s="85"/>
      <c r="FV439" s="85"/>
      <c r="FW439" s="85"/>
      <c r="FX439" s="85"/>
      <c r="FY439" s="85"/>
      <c r="FZ439" s="85"/>
      <c r="GA439" s="85"/>
      <c r="GB439" s="85"/>
      <c r="GC439" s="85"/>
      <c r="GD439" s="85"/>
      <c r="GE439" s="85"/>
      <c r="GF439" s="85"/>
      <c r="GG439" s="85"/>
      <c r="GH439" s="85"/>
      <c r="GI439" s="85"/>
      <c r="GJ439" s="85"/>
      <c r="GK439" s="85"/>
      <c r="GL439" s="85"/>
      <c r="GM439" s="85"/>
      <c r="GN439" s="85"/>
      <c r="GO439" s="85"/>
      <c r="GP439" s="85"/>
      <c r="GQ439" s="85"/>
      <c r="GR439" s="85"/>
      <c r="GS439" s="85"/>
      <c r="GT439" s="85"/>
      <c r="GU439" s="85"/>
      <c r="GV439" s="85"/>
      <c r="GW439" s="85"/>
      <c r="GX439" s="85"/>
      <c r="GY439" s="85"/>
      <c r="GZ439" s="85"/>
      <c r="HA439" s="85"/>
      <c r="HB439" s="85"/>
      <c r="HC439" s="85"/>
      <c r="HD439" s="85"/>
      <c r="HE439" s="85"/>
      <c r="HF439" s="85"/>
      <c r="HG439" s="85"/>
      <c r="HH439" s="85"/>
      <c r="HI439" s="85"/>
      <c r="HJ439" s="85"/>
      <c r="HK439" s="85"/>
      <c r="HL439" s="85"/>
      <c r="HM439" s="85"/>
      <c r="HN439" s="85"/>
      <c r="HO439" s="85"/>
      <c r="HP439" s="85"/>
      <c r="HQ439" s="85"/>
      <c r="HR439" s="85"/>
      <c r="HS439" s="85"/>
      <c r="HT439" s="85"/>
      <c r="HU439" s="85"/>
      <c r="HV439" s="85"/>
      <c r="HW439" s="85"/>
      <c r="HX439" s="85"/>
      <c r="HY439" s="85"/>
      <c r="HZ439" s="85"/>
      <c r="IA439" s="85"/>
      <c r="IB439" s="85"/>
      <c r="IC439" s="85"/>
      <c r="ID439" s="85"/>
      <c r="IE439" s="85"/>
      <c r="IF439" s="85"/>
      <c r="IG439" s="85"/>
      <c r="IH439" s="85"/>
      <c r="II439" s="85"/>
      <c r="IJ439" s="85"/>
      <c r="IK439" s="85"/>
      <c r="IL439" s="85"/>
      <c r="IM439" s="85"/>
      <c r="IN439" s="85"/>
      <c r="IO439" s="85"/>
      <c r="IP439" s="85"/>
      <c r="IQ439" s="85"/>
      <c r="IR439" s="85"/>
      <c r="IS439" s="85"/>
      <c r="IT439" s="85"/>
      <c r="IU439" s="85"/>
      <c r="IV439" s="85"/>
      <c r="IW439" s="85"/>
      <c r="IX439" s="85"/>
      <c r="IY439" s="85"/>
      <c r="IZ439" s="85"/>
      <c r="JA439" s="85"/>
      <c r="JB439" s="85"/>
      <c r="JC439" s="85"/>
      <c r="JD439" s="85"/>
      <c r="JE439" s="85"/>
      <c r="JF439" s="85"/>
      <c r="JG439" s="85"/>
      <c r="JH439" s="85"/>
      <c r="JI439" s="85"/>
      <c r="JJ439" s="85"/>
      <c r="JK439" s="85"/>
      <c r="JL439" s="85"/>
      <c r="JM439" s="85"/>
      <c r="JN439" s="85"/>
      <c r="JO439" s="85"/>
      <c r="JP439" s="85"/>
      <c r="JQ439" s="85"/>
      <c r="JR439" s="85"/>
      <c r="JS439" s="85"/>
      <c r="JT439" s="85"/>
      <c r="JU439" s="85"/>
      <c r="JV439" s="85"/>
      <c r="JW439" s="85"/>
      <c r="JX439" s="85"/>
      <c r="JY439" s="85"/>
      <c r="JZ439" s="85"/>
      <c r="KA439" s="85"/>
      <c r="KB439" s="85"/>
    </row>
    <row r="440" spans="1:288" x14ac:dyDescent="0.2"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  <c r="AH440" s="105"/>
      <c r="AI440" s="105"/>
      <c r="AJ440" s="105"/>
      <c r="AK440" s="105"/>
      <c r="AL440" s="105"/>
      <c r="AM440" s="105"/>
      <c r="AN440" s="105"/>
      <c r="AO440" s="105"/>
      <c r="AP440" s="105"/>
      <c r="AQ440" s="105"/>
      <c r="AR440" s="105"/>
      <c r="AS440" s="105"/>
      <c r="AT440" s="105"/>
      <c r="AU440" s="105"/>
      <c r="AV440" s="105"/>
      <c r="AW440" s="105"/>
      <c r="AX440" s="105"/>
      <c r="AY440" s="105"/>
      <c r="AZ440" s="105"/>
      <c r="BA440" s="105"/>
    </row>
    <row r="441" spans="1:288" x14ac:dyDescent="0.2"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  <c r="AH441" s="105"/>
      <c r="AI441" s="105"/>
      <c r="AJ441" s="105"/>
      <c r="AK441" s="105"/>
      <c r="AL441" s="105"/>
      <c r="AM441" s="105"/>
      <c r="AN441" s="105"/>
      <c r="AO441" s="105"/>
      <c r="AP441" s="105"/>
      <c r="AQ441" s="105"/>
      <c r="AR441" s="105"/>
      <c r="AS441" s="105"/>
      <c r="AT441" s="105"/>
      <c r="AU441" s="105"/>
      <c r="AV441" s="105"/>
      <c r="AW441" s="105"/>
      <c r="AX441" s="105"/>
      <c r="AY441" s="105"/>
      <c r="AZ441" s="105"/>
      <c r="BA441" s="105"/>
      <c r="BB441" s="111"/>
      <c r="BC441" s="111"/>
      <c r="BD441" s="111"/>
      <c r="BE441" s="111"/>
      <c r="BF441" s="111"/>
      <c r="BG441" s="111"/>
      <c r="BH441" s="111"/>
      <c r="BI441" s="111"/>
      <c r="BJ441" s="111"/>
      <c r="BK441" s="111"/>
      <c r="BL441" s="111"/>
      <c r="BM441" s="111"/>
      <c r="BN441" s="111"/>
      <c r="BO441" s="111"/>
      <c r="BP441" s="111"/>
      <c r="BQ441" s="111"/>
      <c r="BR441" s="111"/>
      <c r="BS441" s="111"/>
      <c r="BT441" s="111"/>
      <c r="BU441" s="111"/>
      <c r="BV441" s="111"/>
      <c r="BW441" s="111"/>
      <c r="BX441" s="111"/>
      <c r="BY441" s="111"/>
      <c r="BZ441" s="111"/>
      <c r="CA441" s="111"/>
      <c r="CB441" s="111"/>
      <c r="CC441" s="111"/>
      <c r="CD441" s="111"/>
      <c r="CE441" s="111"/>
      <c r="CF441" s="111"/>
      <c r="CG441" s="111"/>
      <c r="CH441" s="111"/>
      <c r="CI441" s="111"/>
      <c r="CJ441" s="111"/>
      <c r="CK441" s="111"/>
      <c r="CL441" s="111"/>
      <c r="CM441" s="111"/>
      <c r="CN441" s="111"/>
    </row>
    <row r="442" spans="1:288" ht="15.75" x14ac:dyDescent="0.25">
      <c r="A442" s="81" t="s">
        <v>306</v>
      </c>
      <c r="J442" s="283">
        <f>J284+J356+J438</f>
        <v>404526737.90999997</v>
      </c>
      <c r="K442" s="284"/>
      <c r="L442" s="82">
        <f>J284+J356+J438</f>
        <v>404526737.90999997</v>
      </c>
      <c r="M442" s="122">
        <f>J448+J452</f>
        <v>404526737.90999997</v>
      </c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3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99"/>
      <c r="CI442" s="99"/>
      <c r="CJ442" s="99"/>
      <c r="CK442" s="99"/>
      <c r="CL442" s="99"/>
      <c r="CM442" s="99"/>
      <c r="CN442" s="99"/>
      <c r="CO442" s="85"/>
      <c r="CP442" s="85"/>
      <c r="CQ442" s="85"/>
      <c r="CR442" s="85"/>
      <c r="CS442" s="85"/>
      <c r="CT442" s="85"/>
      <c r="CU442" s="85"/>
      <c r="CV442" s="85"/>
      <c r="CW442" s="85"/>
      <c r="CX442" s="85"/>
      <c r="CY442" s="85"/>
      <c r="CZ442" s="85"/>
      <c r="DA442" s="85"/>
      <c r="DB442" s="85"/>
      <c r="DC442" s="85"/>
      <c r="DD442" s="85"/>
      <c r="DE442" s="85"/>
      <c r="DF442" s="85"/>
      <c r="DG442" s="85"/>
      <c r="DH442" s="85"/>
      <c r="DI442" s="85"/>
      <c r="DJ442" s="85"/>
      <c r="DK442" s="85"/>
      <c r="DL442" s="85"/>
      <c r="DM442" s="85"/>
      <c r="DN442" s="85"/>
      <c r="DO442" s="85"/>
      <c r="DP442" s="85"/>
      <c r="DQ442" s="85"/>
      <c r="DR442" s="85"/>
      <c r="DS442" s="85"/>
      <c r="DT442" s="85"/>
      <c r="DU442" s="85"/>
      <c r="DV442" s="85"/>
      <c r="DW442" s="85"/>
      <c r="DX442" s="85"/>
      <c r="DY442" s="85"/>
      <c r="DZ442" s="85"/>
      <c r="EA442" s="85"/>
      <c r="EB442" s="85"/>
      <c r="EC442" s="85"/>
      <c r="ED442" s="85"/>
      <c r="EE442" s="85"/>
      <c r="EF442" s="85"/>
      <c r="EG442" s="85"/>
      <c r="EH442" s="85"/>
      <c r="EI442" s="85"/>
      <c r="EJ442" s="85"/>
      <c r="EK442" s="85"/>
      <c r="EL442" s="85"/>
      <c r="EM442" s="85"/>
      <c r="EN442" s="85"/>
      <c r="EO442" s="85"/>
      <c r="EP442" s="85"/>
      <c r="EQ442" s="85"/>
      <c r="ER442" s="85"/>
      <c r="ES442" s="85"/>
      <c r="ET442" s="85"/>
      <c r="EU442" s="85"/>
      <c r="EV442" s="85"/>
      <c r="EW442" s="85"/>
      <c r="EX442" s="85"/>
      <c r="EY442" s="85"/>
      <c r="EZ442" s="85"/>
      <c r="FA442" s="85"/>
      <c r="FB442" s="85"/>
      <c r="FC442" s="85"/>
      <c r="FD442" s="85"/>
      <c r="FE442" s="85"/>
      <c r="FF442" s="85"/>
      <c r="FG442" s="85"/>
      <c r="FH442" s="85"/>
      <c r="FI442" s="85"/>
      <c r="FJ442" s="85"/>
      <c r="FK442" s="85"/>
      <c r="FL442" s="85"/>
      <c r="FM442" s="85"/>
      <c r="FN442" s="85"/>
      <c r="FO442" s="85"/>
      <c r="FP442" s="85"/>
      <c r="FQ442" s="85"/>
      <c r="FR442" s="85"/>
      <c r="FS442" s="85"/>
      <c r="FT442" s="85"/>
      <c r="FU442" s="85"/>
      <c r="FV442" s="85"/>
      <c r="FW442" s="85"/>
      <c r="FX442" s="85"/>
      <c r="FY442" s="85"/>
      <c r="FZ442" s="85"/>
      <c r="GA442" s="85"/>
      <c r="GB442" s="85"/>
      <c r="GC442" s="85"/>
      <c r="GD442" s="85"/>
      <c r="GE442" s="85"/>
      <c r="GF442" s="85"/>
      <c r="GG442" s="85"/>
      <c r="GH442" s="85"/>
      <c r="GI442" s="85"/>
      <c r="GJ442" s="85"/>
      <c r="GK442" s="85"/>
      <c r="GL442" s="85"/>
      <c r="GM442" s="85"/>
      <c r="GN442" s="85"/>
      <c r="GO442" s="85"/>
      <c r="GP442" s="85"/>
      <c r="GQ442" s="85"/>
      <c r="GR442" s="85"/>
      <c r="GS442" s="85"/>
      <c r="GT442" s="85"/>
      <c r="GU442" s="85"/>
      <c r="GV442" s="85"/>
      <c r="GW442" s="85"/>
      <c r="GX442" s="85"/>
      <c r="GY442" s="85"/>
      <c r="GZ442" s="85"/>
      <c r="HA442" s="85"/>
      <c r="HB442" s="85"/>
      <c r="HC442" s="85"/>
      <c r="HD442" s="85"/>
      <c r="HE442" s="85"/>
      <c r="HF442" s="85"/>
      <c r="HG442" s="85"/>
      <c r="HH442" s="85"/>
      <c r="HI442" s="85"/>
      <c r="HJ442" s="85"/>
      <c r="HK442" s="85"/>
      <c r="HL442" s="85"/>
      <c r="HM442" s="85"/>
      <c r="HN442" s="85"/>
      <c r="HO442" s="85"/>
      <c r="HP442" s="85"/>
      <c r="HQ442" s="85"/>
      <c r="HR442" s="85"/>
      <c r="HS442" s="85"/>
      <c r="HT442" s="85"/>
      <c r="HU442" s="85"/>
      <c r="HV442" s="85"/>
      <c r="HW442" s="85"/>
      <c r="HX442" s="85"/>
      <c r="HY442" s="85"/>
      <c r="HZ442" s="85"/>
      <c r="IA442" s="85"/>
      <c r="IB442" s="85"/>
      <c r="IC442" s="85"/>
      <c r="ID442" s="85"/>
      <c r="IE442" s="85"/>
      <c r="IF442" s="85"/>
      <c r="IG442" s="85"/>
      <c r="IH442" s="85"/>
      <c r="II442" s="85"/>
      <c r="IJ442" s="85"/>
      <c r="IK442" s="85"/>
      <c r="IL442" s="85"/>
      <c r="IM442" s="85"/>
      <c r="IN442" s="85"/>
      <c r="IO442" s="85"/>
      <c r="IP442" s="85"/>
      <c r="IQ442" s="85"/>
      <c r="IR442" s="85"/>
      <c r="IS442" s="85"/>
      <c r="IT442" s="85"/>
      <c r="IU442" s="85"/>
      <c r="IV442" s="85"/>
      <c r="IW442" s="85"/>
      <c r="IX442" s="85"/>
      <c r="IY442" s="85"/>
      <c r="IZ442" s="85"/>
      <c r="JA442" s="85"/>
      <c r="JB442" s="85"/>
      <c r="JC442" s="85"/>
      <c r="JD442" s="85"/>
      <c r="JE442" s="85"/>
      <c r="JF442" s="85"/>
      <c r="JG442" s="85"/>
      <c r="JH442" s="85"/>
      <c r="JI442" s="85"/>
      <c r="JJ442" s="85"/>
      <c r="JK442" s="85"/>
      <c r="JL442" s="85"/>
      <c r="JM442" s="85"/>
      <c r="JN442" s="85"/>
      <c r="JO442" s="85"/>
      <c r="JP442" s="85"/>
      <c r="JQ442" s="85"/>
      <c r="JR442" s="85"/>
      <c r="JS442" s="85"/>
      <c r="JT442" s="85"/>
      <c r="JU442" s="85"/>
      <c r="JV442" s="85"/>
      <c r="JW442" s="85"/>
      <c r="JX442" s="85"/>
      <c r="JY442" s="85"/>
      <c r="JZ442" s="85"/>
      <c r="KA442" s="85"/>
      <c r="KB442" s="85"/>
    </row>
    <row r="443" spans="1:288" ht="20.25" customHeight="1" x14ac:dyDescent="0.25">
      <c r="A443" s="81" t="s">
        <v>204</v>
      </c>
      <c r="B443" s="81"/>
      <c r="C443" s="81"/>
      <c r="D443" s="81"/>
      <c r="E443" s="81"/>
      <c r="F443" s="81"/>
      <c r="G443" s="81"/>
      <c r="H443" s="81"/>
      <c r="I443" s="81"/>
      <c r="J443" s="283">
        <f>ROUND(J442/1.2*0.2,2)</f>
        <v>67421122.989999995</v>
      </c>
      <c r="K443" s="284"/>
      <c r="L443" s="82">
        <f>J283+J355+J439</f>
        <v>67421122.989999995</v>
      </c>
      <c r="M443" s="122">
        <f>J449+J453</f>
        <v>67421122.99000001</v>
      </c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  <c r="AD443" s="104"/>
      <c r="AE443" s="104"/>
      <c r="AF443" s="104"/>
      <c r="AG443" s="104"/>
      <c r="AH443" s="104"/>
      <c r="AI443" s="104"/>
      <c r="AJ443" s="104"/>
      <c r="AK443" s="104"/>
      <c r="AL443" s="104"/>
      <c r="AM443" s="104"/>
      <c r="AN443" s="104"/>
      <c r="AO443" s="104"/>
      <c r="AP443" s="104"/>
      <c r="AQ443" s="104"/>
      <c r="AR443" s="104"/>
      <c r="AS443" s="104"/>
      <c r="AT443" s="104"/>
      <c r="AU443" s="104"/>
      <c r="AV443" s="104"/>
      <c r="AW443" s="104"/>
      <c r="AX443" s="104"/>
      <c r="AY443" s="104"/>
      <c r="AZ443" s="104"/>
      <c r="BA443" s="104"/>
      <c r="BB443" s="103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85"/>
      <c r="CP443" s="100"/>
      <c r="CQ443" s="101"/>
      <c r="CR443" s="85"/>
      <c r="CS443" s="85"/>
      <c r="CT443" s="85"/>
      <c r="CU443" s="85"/>
      <c r="CV443" s="85"/>
      <c r="CW443" s="85"/>
      <c r="CX443" s="85"/>
      <c r="CY443" s="85"/>
      <c r="CZ443" s="85"/>
      <c r="DA443" s="85"/>
      <c r="DB443" s="85"/>
      <c r="DC443" s="85"/>
      <c r="DD443" s="85"/>
      <c r="DE443" s="85"/>
      <c r="DF443" s="85"/>
      <c r="DG443" s="85"/>
      <c r="DH443" s="85"/>
      <c r="DI443" s="85"/>
      <c r="DJ443" s="85"/>
      <c r="DK443" s="85"/>
      <c r="DL443" s="85"/>
      <c r="DM443" s="85"/>
      <c r="DN443" s="85"/>
      <c r="DO443" s="85"/>
      <c r="DP443" s="85"/>
      <c r="DQ443" s="85"/>
      <c r="DR443" s="85"/>
      <c r="DS443" s="85"/>
      <c r="DT443" s="85"/>
      <c r="DU443" s="85"/>
      <c r="DV443" s="85"/>
      <c r="DW443" s="85"/>
      <c r="DX443" s="85"/>
      <c r="DY443" s="85"/>
      <c r="DZ443" s="85"/>
      <c r="EA443" s="85"/>
      <c r="EB443" s="85"/>
      <c r="EC443" s="85"/>
      <c r="ED443" s="85"/>
      <c r="EE443" s="85"/>
      <c r="EF443" s="85"/>
      <c r="EG443" s="85"/>
      <c r="EH443" s="85"/>
      <c r="EI443" s="85"/>
      <c r="EJ443" s="85"/>
      <c r="EK443" s="85"/>
      <c r="EL443" s="85"/>
      <c r="EM443" s="85"/>
      <c r="EN443" s="85"/>
      <c r="EO443" s="85"/>
      <c r="EP443" s="85"/>
      <c r="EQ443" s="85"/>
      <c r="ER443" s="85"/>
      <c r="ES443" s="85"/>
      <c r="ET443" s="85"/>
      <c r="EU443" s="85"/>
      <c r="EV443" s="85"/>
      <c r="EW443" s="85"/>
      <c r="EX443" s="85"/>
      <c r="EY443" s="85"/>
      <c r="EZ443" s="85"/>
      <c r="FA443" s="85"/>
      <c r="FB443" s="85"/>
      <c r="FC443" s="85"/>
      <c r="FD443" s="85"/>
      <c r="FE443" s="85"/>
      <c r="FF443" s="85"/>
      <c r="FG443" s="85"/>
      <c r="FH443" s="85"/>
      <c r="FI443" s="85"/>
      <c r="FJ443" s="85"/>
      <c r="FK443" s="85"/>
      <c r="FL443" s="85"/>
      <c r="FM443" s="85"/>
      <c r="FN443" s="85"/>
      <c r="FO443" s="85"/>
      <c r="FP443" s="85"/>
      <c r="FQ443" s="85"/>
      <c r="FR443" s="85"/>
      <c r="FS443" s="85"/>
      <c r="FT443" s="85"/>
      <c r="FU443" s="85"/>
      <c r="FV443" s="85"/>
      <c r="FW443" s="85"/>
      <c r="FX443" s="85"/>
      <c r="FY443" s="85"/>
      <c r="FZ443" s="85"/>
      <c r="GA443" s="85"/>
      <c r="GB443" s="85"/>
      <c r="GC443" s="85"/>
      <c r="GD443" s="85"/>
      <c r="GE443" s="85"/>
      <c r="GF443" s="85"/>
      <c r="GG443" s="85"/>
      <c r="GH443" s="85"/>
      <c r="GI443" s="85"/>
      <c r="GJ443" s="85"/>
      <c r="GK443" s="85"/>
      <c r="GL443" s="85"/>
      <c r="GM443" s="85"/>
      <c r="GN443" s="85"/>
      <c r="GO443" s="85"/>
      <c r="GP443" s="85"/>
      <c r="GQ443" s="85"/>
      <c r="GR443" s="85"/>
      <c r="GS443" s="85"/>
      <c r="GT443" s="85"/>
      <c r="GU443" s="85"/>
      <c r="GV443" s="85"/>
      <c r="GW443" s="85"/>
      <c r="GX443" s="85"/>
      <c r="GY443" s="85"/>
      <c r="GZ443" s="85"/>
      <c r="HA443" s="85"/>
      <c r="HB443" s="85"/>
      <c r="HC443" s="85"/>
      <c r="HD443" s="85"/>
      <c r="HE443" s="85"/>
      <c r="HF443" s="85"/>
      <c r="HG443" s="85"/>
      <c r="HH443" s="85"/>
      <c r="HI443" s="85"/>
      <c r="HJ443" s="85"/>
      <c r="HK443" s="85"/>
      <c r="HL443" s="85"/>
      <c r="HM443" s="85"/>
      <c r="HN443" s="85"/>
      <c r="HO443" s="85"/>
      <c r="HP443" s="85"/>
      <c r="HQ443" s="85"/>
      <c r="HR443" s="85"/>
      <c r="HS443" s="85"/>
      <c r="HT443" s="85"/>
      <c r="HU443" s="85"/>
      <c r="HV443" s="85"/>
      <c r="HW443" s="85"/>
      <c r="HX443" s="85"/>
      <c r="HY443" s="85"/>
      <c r="HZ443" s="85"/>
      <c r="IA443" s="85"/>
      <c r="IB443" s="85"/>
      <c r="IC443" s="85"/>
      <c r="ID443" s="85"/>
      <c r="IE443" s="85"/>
      <c r="IF443" s="85"/>
      <c r="IG443" s="85"/>
      <c r="IH443" s="85"/>
      <c r="II443" s="85"/>
      <c r="IJ443" s="85"/>
      <c r="IK443" s="85"/>
      <c r="IL443" s="85"/>
      <c r="IM443" s="85"/>
      <c r="IN443" s="85"/>
      <c r="IO443" s="85"/>
      <c r="IP443" s="85"/>
      <c r="IQ443" s="85"/>
      <c r="IR443" s="85"/>
      <c r="IS443" s="85"/>
      <c r="IT443" s="85"/>
      <c r="IU443" s="85"/>
      <c r="IV443" s="85"/>
      <c r="IW443" s="85"/>
      <c r="IX443" s="85"/>
      <c r="IY443" s="85"/>
      <c r="IZ443" s="85"/>
      <c r="JA443" s="85"/>
      <c r="JB443" s="85"/>
      <c r="JC443" s="85"/>
      <c r="JD443" s="85"/>
      <c r="JE443" s="85"/>
      <c r="JF443" s="85"/>
      <c r="JG443" s="85"/>
      <c r="JH443" s="85"/>
      <c r="JI443" s="85"/>
      <c r="JJ443" s="85"/>
      <c r="JK443" s="85"/>
      <c r="JL443" s="85"/>
      <c r="JM443" s="85"/>
      <c r="JN443" s="85"/>
      <c r="JO443" s="85"/>
      <c r="JP443" s="85"/>
      <c r="JQ443" s="85"/>
      <c r="JR443" s="85"/>
      <c r="JS443" s="85"/>
      <c r="JT443" s="85"/>
      <c r="JU443" s="85"/>
      <c r="JV443" s="85"/>
      <c r="JW443" s="85"/>
      <c r="JX443" s="85"/>
      <c r="JY443" s="85"/>
      <c r="JZ443" s="85"/>
      <c r="KA443" s="85"/>
      <c r="KB443" s="85"/>
    </row>
    <row r="444" spans="1:288" x14ac:dyDescent="0.2"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  <c r="AH444" s="105"/>
      <c r="AI444" s="105"/>
      <c r="AJ444" s="105"/>
      <c r="AK444" s="105"/>
      <c r="AL444" s="105"/>
      <c r="AM444" s="105"/>
      <c r="AN444" s="105"/>
      <c r="AO444" s="105"/>
      <c r="AP444" s="105"/>
      <c r="AQ444" s="105"/>
      <c r="AR444" s="105"/>
      <c r="AS444" s="105"/>
      <c r="AT444" s="105"/>
      <c r="AU444" s="105"/>
      <c r="AV444" s="105"/>
      <c r="AW444" s="105"/>
      <c r="AX444" s="105"/>
      <c r="AY444" s="105"/>
      <c r="AZ444" s="105"/>
      <c r="BA444" s="105"/>
    </row>
    <row r="445" spans="1:288" x14ac:dyDescent="0.2"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  <c r="AK445" s="105"/>
      <c r="AL445" s="105"/>
      <c r="AM445" s="105"/>
      <c r="AN445" s="105"/>
      <c r="AO445" s="105"/>
      <c r="AP445" s="105"/>
      <c r="AQ445" s="105"/>
      <c r="AR445" s="105"/>
      <c r="AS445" s="105"/>
      <c r="AT445" s="105"/>
      <c r="AU445" s="105"/>
      <c r="AV445" s="105"/>
      <c r="AW445" s="105"/>
      <c r="AX445" s="105"/>
      <c r="AY445" s="105"/>
      <c r="AZ445" s="105"/>
      <c r="BA445" s="105"/>
    </row>
    <row r="446" spans="1:288" s="87" customFormat="1" ht="15" x14ac:dyDescent="0.2">
      <c r="A446" s="86" t="s">
        <v>303</v>
      </c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  <c r="AE446" s="106"/>
      <c r="AF446" s="106"/>
      <c r="AG446" s="106"/>
      <c r="AH446" s="106"/>
      <c r="AI446" s="106"/>
      <c r="AJ446" s="106"/>
      <c r="AK446" s="106"/>
      <c r="AL446" s="106"/>
      <c r="AM446" s="106"/>
      <c r="AN446" s="106"/>
      <c r="AO446" s="106"/>
      <c r="AP446" s="106"/>
      <c r="AQ446" s="106"/>
      <c r="AR446" s="106"/>
      <c r="AS446" s="106"/>
      <c r="AT446" s="106"/>
      <c r="AU446" s="106"/>
      <c r="AV446" s="106"/>
      <c r="AW446" s="106"/>
      <c r="AX446" s="106"/>
      <c r="AY446" s="106"/>
      <c r="AZ446" s="106"/>
      <c r="BA446" s="106"/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  <c r="BQ446" s="107"/>
      <c r="BR446" s="107"/>
      <c r="BS446" s="107"/>
      <c r="BT446" s="107"/>
      <c r="BU446" s="107"/>
      <c r="BV446" s="107"/>
      <c r="BW446" s="107"/>
      <c r="BX446" s="107"/>
      <c r="BY446" s="107"/>
      <c r="BZ446" s="107"/>
      <c r="CA446" s="107"/>
      <c r="CB446" s="107"/>
      <c r="CC446" s="107"/>
      <c r="CD446" s="107"/>
      <c r="CE446" s="107"/>
      <c r="CF446" s="107"/>
      <c r="CG446" s="107"/>
      <c r="CH446" s="107"/>
      <c r="CI446" s="107"/>
      <c r="CJ446" s="107"/>
      <c r="CK446" s="107"/>
      <c r="CL446" s="107"/>
      <c r="CM446" s="107"/>
      <c r="CN446" s="107"/>
    </row>
    <row r="447" spans="1:288" s="108" customFormat="1" x14ac:dyDescent="0.2"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105"/>
      <c r="AL447" s="105"/>
      <c r="AM447" s="105"/>
      <c r="AN447" s="105"/>
      <c r="AO447" s="105"/>
      <c r="AP447" s="105"/>
      <c r="AQ447" s="105"/>
      <c r="AR447" s="105"/>
      <c r="AS447" s="105"/>
      <c r="AT447" s="105"/>
      <c r="AU447" s="105"/>
      <c r="AV447" s="105"/>
      <c r="AW447" s="105"/>
      <c r="AX447" s="105"/>
      <c r="AY447" s="105"/>
      <c r="AZ447" s="105"/>
      <c r="BA447" s="105"/>
      <c r="BB447" s="109"/>
      <c r="BC447" s="109"/>
      <c r="BD447" s="109"/>
      <c r="BE447" s="109"/>
      <c r="BF447" s="109"/>
      <c r="BG447" s="109"/>
      <c r="BH447" s="109"/>
      <c r="BI447" s="109"/>
      <c r="BJ447" s="109"/>
      <c r="BK447" s="109"/>
      <c r="BL447" s="109"/>
      <c r="BM447" s="109"/>
      <c r="BN447" s="109"/>
      <c r="BO447" s="109"/>
      <c r="BP447" s="109"/>
      <c r="BQ447" s="109"/>
      <c r="BR447" s="109"/>
      <c r="BS447" s="109"/>
      <c r="BT447" s="109"/>
      <c r="BU447" s="109"/>
      <c r="BV447" s="109"/>
      <c r="BW447" s="109"/>
      <c r="BX447" s="109"/>
      <c r="BY447" s="109"/>
      <c r="BZ447" s="109"/>
      <c r="CA447" s="109"/>
      <c r="CB447" s="109"/>
      <c r="CC447" s="109"/>
      <c r="CD447" s="109"/>
      <c r="CE447" s="109"/>
      <c r="CF447" s="109"/>
      <c r="CG447" s="109"/>
      <c r="CH447" s="109"/>
      <c r="CI447" s="109"/>
      <c r="CJ447" s="109"/>
      <c r="CK447" s="109"/>
      <c r="CL447" s="109"/>
      <c r="CM447" s="109"/>
      <c r="CN447" s="109"/>
    </row>
    <row r="448" spans="1:288" ht="15.75" x14ac:dyDescent="0.25">
      <c r="A448" s="81" t="s">
        <v>307</v>
      </c>
      <c r="J448" s="283">
        <f>J290+J356+J407</f>
        <v>378577031.48999995</v>
      </c>
      <c r="K448" s="284"/>
      <c r="L448" s="84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  <c r="AQ448" s="98"/>
      <c r="AR448" s="98"/>
      <c r="AS448" s="98"/>
      <c r="AT448" s="98"/>
      <c r="AU448" s="98"/>
      <c r="AV448" s="98"/>
      <c r="AW448" s="98"/>
      <c r="AX448" s="98"/>
      <c r="AY448" s="98"/>
      <c r="AZ448" s="98"/>
      <c r="BA448" s="98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99"/>
      <c r="CI448" s="99"/>
      <c r="CJ448" s="99"/>
      <c r="CK448" s="99"/>
      <c r="CL448" s="99"/>
      <c r="CM448" s="99"/>
      <c r="CN448" s="99"/>
      <c r="CO448" s="85"/>
      <c r="CP448" s="85"/>
      <c r="CQ448" s="85"/>
      <c r="CR448" s="85"/>
      <c r="CS448" s="85"/>
      <c r="CT448" s="85"/>
      <c r="CU448" s="85"/>
      <c r="CV448" s="85"/>
      <c r="CW448" s="85"/>
      <c r="CX448" s="85"/>
      <c r="CY448" s="85"/>
      <c r="CZ448" s="85"/>
      <c r="DA448" s="85"/>
      <c r="DB448" s="85"/>
      <c r="DC448" s="85"/>
      <c r="DD448" s="85"/>
      <c r="DE448" s="85"/>
      <c r="DF448" s="85"/>
      <c r="DG448" s="85"/>
      <c r="DH448" s="85"/>
      <c r="DI448" s="85"/>
      <c r="DJ448" s="85"/>
      <c r="DK448" s="85"/>
      <c r="DL448" s="85"/>
      <c r="DM448" s="85"/>
      <c r="DN448" s="85"/>
      <c r="DO448" s="85"/>
      <c r="DP448" s="85"/>
      <c r="DQ448" s="85"/>
      <c r="DR448" s="85"/>
      <c r="DS448" s="85"/>
      <c r="DT448" s="85"/>
      <c r="DU448" s="85"/>
      <c r="DV448" s="85"/>
      <c r="DW448" s="85"/>
      <c r="DX448" s="85"/>
      <c r="DY448" s="85"/>
      <c r="DZ448" s="85"/>
      <c r="EA448" s="85"/>
      <c r="EB448" s="85"/>
      <c r="EC448" s="85"/>
      <c r="ED448" s="85"/>
      <c r="EE448" s="85"/>
      <c r="EF448" s="85"/>
      <c r="EG448" s="85"/>
      <c r="EH448" s="85"/>
      <c r="EI448" s="85"/>
      <c r="EJ448" s="85"/>
      <c r="EK448" s="85"/>
      <c r="EL448" s="85"/>
      <c r="EM448" s="85"/>
      <c r="EN448" s="85"/>
      <c r="EO448" s="85"/>
      <c r="EP448" s="85"/>
      <c r="EQ448" s="85"/>
      <c r="ER448" s="85"/>
      <c r="ES448" s="85"/>
      <c r="ET448" s="85"/>
      <c r="EU448" s="85"/>
      <c r="EV448" s="85"/>
      <c r="EW448" s="85"/>
      <c r="EX448" s="85"/>
      <c r="EY448" s="85"/>
      <c r="EZ448" s="85"/>
      <c r="FA448" s="85"/>
      <c r="FB448" s="85"/>
      <c r="FC448" s="85"/>
      <c r="FD448" s="85"/>
      <c r="FE448" s="85"/>
      <c r="FF448" s="85"/>
      <c r="FG448" s="85"/>
      <c r="FH448" s="85"/>
      <c r="FI448" s="85"/>
      <c r="FJ448" s="85"/>
      <c r="FK448" s="85"/>
      <c r="FL448" s="85"/>
      <c r="FM448" s="85"/>
      <c r="FN448" s="85"/>
      <c r="FO448" s="85"/>
      <c r="FP448" s="85"/>
      <c r="FQ448" s="85"/>
      <c r="FR448" s="85"/>
      <c r="FS448" s="85"/>
      <c r="FT448" s="85"/>
      <c r="FU448" s="85"/>
      <c r="FV448" s="85"/>
      <c r="FW448" s="85"/>
      <c r="FX448" s="85"/>
      <c r="FY448" s="85"/>
      <c r="FZ448" s="85"/>
      <c r="GA448" s="85"/>
      <c r="GB448" s="85"/>
      <c r="GC448" s="85"/>
      <c r="GD448" s="85"/>
      <c r="GE448" s="85"/>
      <c r="GF448" s="85"/>
      <c r="GG448" s="85"/>
      <c r="GH448" s="85"/>
      <c r="GI448" s="85"/>
      <c r="GJ448" s="85"/>
      <c r="GK448" s="85"/>
      <c r="GL448" s="85"/>
      <c r="GM448" s="85"/>
      <c r="GN448" s="85"/>
      <c r="GO448" s="85"/>
      <c r="GP448" s="85"/>
      <c r="GQ448" s="85"/>
      <c r="GR448" s="85"/>
      <c r="GS448" s="85"/>
      <c r="GT448" s="85"/>
      <c r="GU448" s="85"/>
      <c r="GV448" s="85"/>
      <c r="GW448" s="85"/>
      <c r="GX448" s="85"/>
      <c r="GY448" s="85"/>
      <c r="GZ448" s="85"/>
      <c r="HA448" s="85"/>
      <c r="HB448" s="85"/>
      <c r="HC448" s="85"/>
      <c r="HD448" s="85"/>
      <c r="HE448" s="85"/>
      <c r="HF448" s="85"/>
      <c r="HG448" s="85"/>
      <c r="HH448" s="85"/>
      <c r="HI448" s="85"/>
      <c r="HJ448" s="85"/>
      <c r="HK448" s="85"/>
      <c r="HL448" s="85"/>
      <c r="HM448" s="85"/>
      <c r="HN448" s="85"/>
      <c r="HO448" s="85"/>
      <c r="HP448" s="85"/>
      <c r="HQ448" s="85"/>
      <c r="HR448" s="85"/>
      <c r="HS448" s="85"/>
      <c r="HT448" s="85"/>
      <c r="HU448" s="85"/>
      <c r="HV448" s="85"/>
      <c r="HW448" s="85"/>
      <c r="HX448" s="85"/>
      <c r="HY448" s="85"/>
      <c r="HZ448" s="85"/>
      <c r="IA448" s="85"/>
      <c r="IB448" s="85"/>
      <c r="IC448" s="85"/>
      <c r="ID448" s="85"/>
      <c r="IE448" s="85"/>
      <c r="IF448" s="85"/>
      <c r="IG448" s="85"/>
      <c r="IH448" s="85"/>
      <c r="II448" s="85"/>
      <c r="IJ448" s="85"/>
      <c r="IK448" s="85"/>
      <c r="IL448" s="85"/>
      <c r="IM448" s="85"/>
      <c r="IN448" s="85"/>
      <c r="IO448" s="85"/>
      <c r="IP448" s="85"/>
      <c r="IQ448" s="85"/>
      <c r="IR448" s="85"/>
      <c r="IS448" s="85"/>
      <c r="IT448" s="85"/>
      <c r="IU448" s="85"/>
      <c r="IV448" s="85"/>
      <c r="IW448" s="85"/>
      <c r="IX448" s="85"/>
      <c r="IY448" s="85"/>
      <c r="IZ448" s="85"/>
      <c r="JA448" s="85"/>
      <c r="JB448" s="85"/>
      <c r="JC448" s="85"/>
      <c r="JD448" s="85"/>
      <c r="JE448" s="85"/>
      <c r="JF448" s="85"/>
      <c r="JG448" s="85"/>
      <c r="JH448" s="85"/>
      <c r="JI448" s="85"/>
      <c r="JJ448" s="85"/>
      <c r="JK448" s="85"/>
      <c r="JL448" s="85"/>
      <c r="JM448" s="85"/>
      <c r="JN448" s="85"/>
      <c r="JO448" s="85"/>
      <c r="JP448" s="85"/>
      <c r="JQ448" s="85"/>
      <c r="JR448" s="85"/>
      <c r="JS448" s="85"/>
      <c r="JT448" s="85"/>
      <c r="JU448" s="85"/>
      <c r="JV448" s="85"/>
      <c r="JW448" s="85"/>
      <c r="JX448" s="85"/>
      <c r="JY448" s="85"/>
      <c r="JZ448" s="85"/>
      <c r="KA448" s="85"/>
      <c r="KB448" s="85"/>
    </row>
    <row r="449" spans="1:289" ht="20.25" customHeight="1" x14ac:dyDescent="0.25">
      <c r="A449" s="81" t="s">
        <v>204</v>
      </c>
      <c r="B449" s="81"/>
      <c r="C449" s="81"/>
      <c r="D449" s="81"/>
      <c r="E449" s="81"/>
      <c r="F449" s="81"/>
      <c r="G449" s="81"/>
      <c r="H449" s="81"/>
      <c r="I449" s="81"/>
      <c r="J449" s="283">
        <f>ROUND(J448/1.2*0.2,2)</f>
        <v>63096171.920000002</v>
      </c>
      <c r="K449" s="284"/>
      <c r="L449" s="123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110"/>
      <c r="AS449" s="110"/>
      <c r="AT449" s="110"/>
      <c r="AU449" s="110"/>
      <c r="AV449" s="110"/>
      <c r="AW449" s="110"/>
      <c r="AX449" s="110"/>
      <c r="AY449" s="110"/>
      <c r="AZ449" s="110"/>
      <c r="BA449" s="110"/>
      <c r="BB449" s="104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85"/>
      <c r="CP449" s="100"/>
      <c r="CQ449" s="101"/>
      <c r="CR449" s="85"/>
      <c r="CS449" s="85"/>
      <c r="CT449" s="85"/>
      <c r="CU449" s="85"/>
      <c r="CV449" s="85"/>
      <c r="CW449" s="85"/>
      <c r="CX449" s="85"/>
      <c r="CY449" s="85"/>
      <c r="CZ449" s="85"/>
      <c r="DA449" s="85"/>
      <c r="DB449" s="85"/>
      <c r="DC449" s="85"/>
      <c r="DD449" s="85"/>
      <c r="DE449" s="85"/>
      <c r="DF449" s="85"/>
      <c r="DG449" s="85"/>
      <c r="DH449" s="85"/>
      <c r="DI449" s="85"/>
      <c r="DJ449" s="85"/>
      <c r="DK449" s="85"/>
      <c r="DL449" s="85"/>
      <c r="DM449" s="85"/>
      <c r="DN449" s="85"/>
      <c r="DO449" s="85"/>
      <c r="DP449" s="85"/>
      <c r="DQ449" s="85"/>
      <c r="DR449" s="85"/>
      <c r="DS449" s="85"/>
      <c r="DT449" s="85"/>
      <c r="DU449" s="85"/>
      <c r="DV449" s="85"/>
      <c r="DW449" s="85"/>
      <c r="DX449" s="85"/>
      <c r="DY449" s="85"/>
      <c r="DZ449" s="85"/>
      <c r="EA449" s="85"/>
      <c r="EB449" s="85"/>
      <c r="EC449" s="85"/>
      <c r="ED449" s="85"/>
      <c r="EE449" s="85"/>
      <c r="EF449" s="85"/>
      <c r="EG449" s="85"/>
      <c r="EH449" s="85"/>
      <c r="EI449" s="85"/>
      <c r="EJ449" s="85"/>
      <c r="EK449" s="85"/>
      <c r="EL449" s="85"/>
      <c r="EM449" s="85"/>
      <c r="EN449" s="85"/>
      <c r="EO449" s="85"/>
      <c r="EP449" s="85"/>
      <c r="EQ449" s="85"/>
      <c r="ER449" s="85"/>
      <c r="ES449" s="85"/>
      <c r="ET449" s="85"/>
      <c r="EU449" s="85"/>
      <c r="EV449" s="85"/>
      <c r="EW449" s="85"/>
      <c r="EX449" s="85"/>
      <c r="EY449" s="85"/>
      <c r="EZ449" s="85"/>
      <c r="FA449" s="85"/>
      <c r="FB449" s="85"/>
      <c r="FC449" s="85"/>
      <c r="FD449" s="85"/>
      <c r="FE449" s="85"/>
      <c r="FF449" s="85"/>
      <c r="FG449" s="85"/>
      <c r="FH449" s="85"/>
      <c r="FI449" s="85"/>
      <c r="FJ449" s="85"/>
      <c r="FK449" s="85"/>
      <c r="FL449" s="85"/>
      <c r="FM449" s="85"/>
      <c r="FN449" s="85"/>
      <c r="FO449" s="85"/>
      <c r="FP449" s="85"/>
      <c r="FQ449" s="85"/>
      <c r="FR449" s="85"/>
      <c r="FS449" s="85"/>
      <c r="FT449" s="85"/>
      <c r="FU449" s="85"/>
      <c r="FV449" s="85"/>
      <c r="FW449" s="85"/>
      <c r="FX449" s="85"/>
      <c r="FY449" s="85"/>
      <c r="FZ449" s="85"/>
      <c r="GA449" s="85"/>
      <c r="GB449" s="85"/>
      <c r="GC449" s="85"/>
      <c r="GD449" s="85"/>
      <c r="GE449" s="85"/>
      <c r="GF449" s="85"/>
      <c r="GG449" s="85"/>
      <c r="GH449" s="85"/>
      <c r="GI449" s="85"/>
      <c r="GJ449" s="85"/>
      <c r="GK449" s="85"/>
      <c r="GL449" s="85"/>
      <c r="GM449" s="85"/>
      <c r="GN449" s="85"/>
      <c r="GO449" s="85"/>
      <c r="GP449" s="85"/>
      <c r="GQ449" s="85"/>
      <c r="GR449" s="85"/>
      <c r="GS449" s="85"/>
      <c r="GT449" s="85"/>
      <c r="GU449" s="85"/>
      <c r="GV449" s="85"/>
      <c r="GW449" s="85"/>
      <c r="GX449" s="85"/>
      <c r="GY449" s="85"/>
      <c r="GZ449" s="85"/>
      <c r="HA449" s="85"/>
      <c r="HB449" s="85"/>
      <c r="HC449" s="85"/>
      <c r="HD449" s="85"/>
      <c r="HE449" s="85"/>
      <c r="HF449" s="85"/>
      <c r="HG449" s="85"/>
      <c r="HH449" s="85"/>
      <c r="HI449" s="85"/>
      <c r="HJ449" s="85"/>
      <c r="HK449" s="85"/>
      <c r="HL449" s="85"/>
      <c r="HM449" s="85"/>
      <c r="HN449" s="85"/>
      <c r="HO449" s="85"/>
      <c r="HP449" s="85"/>
      <c r="HQ449" s="85"/>
      <c r="HR449" s="85"/>
      <c r="HS449" s="85"/>
      <c r="HT449" s="85"/>
      <c r="HU449" s="85"/>
      <c r="HV449" s="85"/>
      <c r="HW449" s="85"/>
      <c r="HX449" s="85"/>
      <c r="HY449" s="85"/>
      <c r="HZ449" s="85"/>
      <c r="IA449" s="85"/>
      <c r="IB449" s="85"/>
      <c r="IC449" s="85"/>
      <c r="ID449" s="85"/>
      <c r="IE449" s="85"/>
      <c r="IF449" s="85"/>
      <c r="IG449" s="85"/>
      <c r="IH449" s="85"/>
      <c r="II449" s="85"/>
      <c r="IJ449" s="85"/>
      <c r="IK449" s="85"/>
      <c r="IL449" s="85"/>
      <c r="IM449" s="85"/>
      <c r="IN449" s="85"/>
      <c r="IO449" s="85"/>
      <c r="IP449" s="85"/>
      <c r="IQ449" s="85"/>
      <c r="IR449" s="85"/>
      <c r="IS449" s="85"/>
      <c r="IT449" s="85"/>
      <c r="IU449" s="85"/>
      <c r="IV449" s="85"/>
      <c r="IW449" s="85"/>
      <c r="IX449" s="85"/>
      <c r="IY449" s="85"/>
      <c r="IZ449" s="85"/>
      <c r="JA449" s="85"/>
      <c r="JB449" s="85"/>
      <c r="JC449" s="85"/>
      <c r="JD449" s="85"/>
      <c r="JE449" s="85"/>
      <c r="JF449" s="85"/>
      <c r="JG449" s="85"/>
      <c r="JH449" s="85"/>
      <c r="JI449" s="85"/>
      <c r="JJ449" s="85"/>
      <c r="JK449" s="85"/>
      <c r="JL449" s="85"/>
      <c r="JM449" s="85"/>
      <c r="JN449" s="85"/>
      <c r="JO449" s="85"/>
      <c r="JP449" s="85"/>
      <c r="JQ449" s="85"/>
      <c r="JR449" s="85"/>
      <c r="JS449" s="85"/>
      <c r="JT449" s="85"/>
      <c r="JU449" s="85"/>
      <c r="JV449" s="85"/>
      <c r="JW449" s="85"/>
      <c r="JX449" s="85"/>
      <c r="JY449" s="85"/>
      <c r="JZ449" s="85"/>
      <c r="KA449" s="85"/>
      <c r="KB449" s="85"/>
    </row>
    <row r="450" spans="1:289" x14ac:dyDescent="0.2"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  <c r="AF450" s="105"/>
      <c r="AG450" s="105"/>
      <c r="AH450" s="105"/>
      <c r="AI450" s="105"/>
      <c r="AJ450" s="105"/>
      <c r="AK450" s="105"/>
      <c r="AL450" s="105"/>
      <c r="AM450" s="105"/>
      <c r="AN450" s="105"/>
      <c r="AO450" s="105"/>
      <c r="AP450" s="105"/>
      <c r="AQ450" s="105"/>
      <c r="AR450" s="105"/>
      <c r="AS450" s="105"/>
      <c r="AT450" s="105"/>
      <c r="AU450" s="105"/>
      <c r="AV450" s="105"/>
      <c r="AW450" s="105"/>
      <c r="AX450" s="105"/>
      <c r="AY450" s="105"/>
      <c r="AZ450" s="105"/>
      <c r="BA450" s="105"/>
    </row>
    <row r="451" spans="1:289" x14ac:dyDescent="0.2"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  <c r="AH451" s="105"/>
      <c r="AI451" s="105"/>
      <c r="AJ451" s="105"/>
      <c r="AK451" s="105"/>
      <c r="AL451" s="105"/>
      <c r="AM451" s="105"/>
      <c r="AN451" s="105"/>
      <c r="AO451" s="105"/>
      <c r="AP451" s="105"/>
      <c r="AQ451" s="105"/>
      <c r="AR451" s="105"/>
      <c r="AS451" s="105"/>
      <c r="AT451" s="105"/>
      <c r="AU451" s="105"/>
      <c r="AV451" s="105"/>
      <c r="AW451" s="105"/>
      <c r="AX451" s="105"/>
      <c r="AY451" s="105"/>
      <c r="AZ451" s="105"/>
      <c r="BA451" s="105"/>
      <c r="BB451" s="111"/>
      <c r="BC451" s="111"/>
      <c r="BD451" s="111"/>
      <c r="BE451" s="111"/>
      <c r="BF451" s="111"/>
      <c r="BG451" s="111"/>
      <c r="BH451" s="111"/>
      <c r="BI451" s="111"/>
      <c r="BJ451" s="111"/>
      <c r="BK451" s="111"/>
      <c r="BL451" s="111"/>
      <c r="BM451" s="111"/>
      <c r="BN451" s="111"/>
      <c r="BO451" s="111"/>
      <c r="BP451" s="111"/>
      <c r="BQ451" s="111"/>
      <c r="BR451" s="111"/>
      <c r="BS451" s="111"/>
      <c r="BT451" s="111"/>
      <c r="BU451" s="111"/>
      <c r="BV451" s="111"/>
      <c r="BW451" s="111"/>
      <c r="BX451" s="111"/>
      <c r="BY451" s="111"/>
      <c r="BZ451" s="111"/>
      <c r="CA451" s="111"/>
      <c r="CB451" s="111"/>
      <c r="CC451" s="111"/>
      <c r="CD451" s="111"/>
      <c r="CE451" s="111"/>
      <c r="CF451" s="111"/>
      <c r="CG451" s="111"/>
      <c r="CH451" s="111"/>
      <c r="CI451" s="111"/>
      <c r="CJ451" s="111"/>
      <c r="CK451" s="111"/>
      <c r="CL451" s="111"/>
      <c r="CM451" s="111"/>
      <c r="CN451" s="111"/>
    </row>
    <row r="452" spans="1:289" ht="15.75" x14ac:dyDescent="0.25">
      <c r="A452" s="81" t="s">
        <v>305</v>
      </c>
      <c r="J452" s="283">
        <f>J295+J434</f>
        <v>25949706.420000002</v>
      </c>
      <c r="K452" s="284"/>
      <c r="L452" s="84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  <c r="AQ452" s="98"/>
      <c r="AR452" s="98"/>
      <c r="AS452" s="98"/>
      <c r="AT452" s="98"/>
      <c r="AU452" s="98"/>
      <c r="AV452" s="98"/>
      <c r="AW452" s="98"/>
      <c r="AX452" s="98"/>
      <c r="AY452" s="98"/>
      <c r="AZ452" s="98"/>
      <c r="BA452" s="98"/>
      <c r="BB452" s="112"/>
      <c r="BC452" s="112"/>
      <c r="BD452" s="112"/>
      <c r="BE452" s="112"/>
      <c r="BF452" s="112"/>
      <c r="BG452" s="112"/>
      <c r="BH452" s="112"/>
      <c r="BI452" s="112"/>
      <c r="BJ452" s="112"/>
      <c r="BK452" s="112"/>
      <c r="BL452" s="112"/>
      <c r="BM452" s="112"/>
      <c r="BN452" s="112"/>
      <c r="BO452" s="112"/>
      <c r="BP452" s="112"/>
      <c r="BQ452" s="112"/>
      <c r="BR452" s="112"/>
      <c r="BS452" s="112"/>
      <c r="BT452" s="112"/>
      <c r="BU452" s="112"/>
      <c r="BV452" s="112"/>
      <c r="BW452" s="112"/>
      <c r="BX452" s="112"/>
      <c r="BY452" s="112"/>
      <c r="BZ452" s="112"/>
      <c r="CA452" s="112"/>
      <c r="CB452" s="112"/>
      <c r="CC452" s="112"/>
      <c r="CD452" s="112"/>
      <c r="CE452" s="112"/>
      <c r="CF452" s="112"/>
      <c r="CG452" s="112"/>
      <c r="CH452" s="112"/>
      <c r="CI452" s="112"/>
      <c r="CJ452" s="112"/>
      <c r="CK452" s="112"/>
      <c r="CL452" s="112"/>
      <c r="CM452" s="112"/>
      <c r="CN452" s="112"/>
      <c r="CO452" s="93"/>
      <c r="CP452" s="93"/>
      <c r="CQ452" s="93"/>
      <c r="CR452" s="93"/>
      <c r="CS452" s="93"/>
      <c r="CT452" s="93"/>
      <c r="CU452" s="93"/>
      <c r="CV452" s="93"/>
      <c r="CW452" s="93"/>
      <c r="CX452" s="93"/>
      <c r="CY452" s="93"/>
      <c r="CZ452" s="93"/>
      <c r="DA452" s="93"/>
      <c r="DB452" s="93"/>
      <c r="DC452" s="93"/>
      <c r="DD452" s="93"/>
      <c r="DE452" s="93"/>
      <c r="DF452" s="93"/>
      <c r="DG452" s="93"/>
      <c r="DH452" s="93"/>
      <c r="DI452" s="93"/>
      <c r="DJ452" s="93"/>
      <c r="DK452" s="93"/>
      <c r="DL452" s="93"/>
      <c r="DM452" s="93"/>
      <c r="DN452" s="93"/>
      <c r="DO452" s="93"/>
      <c r="DP452" s="93"/>
      <c r="DQ452" s="93"/>
      <c r="DR452" s="93"/>
      <c r="DS452" s="93"/>
      <c r="DT452" s="93"/>
      <c r="DU452" s="93"/>
      <c r="DV452" s="93"/>
      <c r="DW452" s="93"/>
      <c r="DX452" s="93"/>
      <c r="DY452" s="93"/>
      <c r="DZ452" s="93"/>
      <c r="EA452" s="93"/>
      <c r="EB452" s="93"/>
      <c r="EC452" s="93"/>
      <c r="ED452" s="93"/>
      <c r="EE452" s="93"/>
      <c r="EF452" s="93"/>
      <c r="EG452" s="93"/>
      <c r="EH452" s="93"/>
      <c r="EI452" s="93"/>
      <c r="EJ452" s="93"/>
      <c r="EK452" s="93"/>
      <c r="EL452" s="93"/>
      <c r="EM452" s="93"/>
      <c r="EN452" s="93"/>
      <c r="EO452" s="93"/>
      <c r="EP452" s="93"/>
      <c r="EQ452" s="93"/>
      <c r="ER452" s="93"/>
      <c r="ES452" s="93"/>
      <c r="ET452" s="93"/>
      <c r="EU452" s="93"/>
      <c r="EV452" s="93"/>
      <c r="EW452" s="93"/>
      <c r="EX452" s="93"/>
      <c r="EY452" s="93"/>
      <c r="EZ452" s="93"/>
      <c r="FA452" s="93"/>
      <c r="FB452" s="93"/>
      <c r="FC452" s="93"/>
      <c r="FD452" s="93"/>
      <c r="FE452" s="93"/>
      <c r="FF452" s="93"/>
      <c r="FG452" s="93"/>
      <c r="FH452" s="93"/>
      <c r="FI452" s="93"/>
      <c r="FJ452" s="93"/>
      <c r="FK452" s="93"/>
      <c r="FL452" s="93"/>
      <c r="FM452" s="93"/>
      <c r="FN452" s="93"/>
      <c r="FO452" s="93"/>
      <c r="FP452" s="93"/>
      <c r="FQ452" s="93"/>
      <c r="FR452" s="93"/>
      <c r="FS452" s="93"/>
      <c r="FT452" s="93"/>
      <c r="FU452" s="93"/>
      <c r="FV452" s="93"/>
      <c r="FW452" s="93"/>
      <c r="FX452" s="93"/>
      <c r="FY452" s="93"/>
      <c r="FZ452" s="93"/>
      <c r="GA452" s="93"/>
      <c r="GB452" s="93"/>
      <c r="GC452" s="93"/>
      <c r="GD452" s="93"/>
      <c r="GE452" s="93"/>
      <c r="GF452" s="93"/>
      <c r="GG452" s="93"/>
      <c r="GH452" s="93"/>
      <c r="GI452" s="93"/>
      <c r="GJ452" s="93"/>
      <c r="GK452" s="93"/>
      <c r="GL452" s="93"/>
      <c r="GM452" s="93"/>
      <c r="GN452" s="93"/>
      <c r="GO452" s="93"/>
      <c r="GP452" s="93"/>
      <c r="GQ452" s="93"/>
      <c r="GR452" s="93"/>
      <c r="GS452" s="93"/>
      <c r="GT452" s="93"/>
      <c r="GU452" s="93"/>
      <c r="GV452" s="93"/>
      <c r="GW452" s="93"/>
      <c r="GX452" s="93"/>
      <c r="GY452" s="93"/>
      <c r="GZ452" s="93"/>
      <c r="HA452" s="93"/>
      <c r="HB452" s="93"/>
      <c r="HC452" s="93"/>
      <c r="HD452" s="93"/>
      <c r="HE452" s="93"/>
      <c r="HF452" s="93"/>
      <c r="HG452" s="93"/>
      <c r="HH452" s="93"/>
      <c r="HI452" s="93"/>
      <c r="HJ452" s="93"/>
      <c r="HK452" s="93"/>
      <c r="HL452" s="93"/>
      <c r="HM452" s="93"/>
      <c r="HN452" s="93"/>
      <c r="HO452" s="93"/>
      <c r="HP452" s="93"/>
      <c r="HQ452" s="93"/>
      <c r="HR452" s="93"/>
      <c r="HS452" s="93"/>
      <c r="HT452" s="93"/>
      <c r="HU452" s="93"/>
      <c r="HV452" s="93"/>
      <c r="HW452" s="93"/>
      <c r="HX452" s="93"/>
      <c r="HY452" s="93"/>
      <c r="HZ452" s="93"/>
      <c r="IA452" s="93"/>
      <c r="IB452" s="93"/>
      <c r="IC452" s="93"/>
      <c r="ID452" s="93"/>
      <c r="IE452" s="93"/>
      <c r="IF452" s="93"/>
      <c r="IG452" s="93"/>
      <c r="IH452" s="93"/>
      <c r="II452" s="93"/>
      <c r="IJ452" s="93"/>
      <c r="IK452" s="93"/>
      <c r="IL452" s="93"/>
      <c r="IM452" s="93"/>
      <c r="IN452" s="93"/>
      <c r="IO452" s="93"/>
      <c r="IP452" s="93"/>
      <c r="IQ452" s="93"/>
      <c r="IR452" s="93"/>
      <c r="IS452" s="93"/>
      <c r="IT452" s="93"/>
      <c r="IU452" s="93"/>
      <c r="IV452" s="93"/>
      <c r="IW452" s="93"/>
      <c r="IX452" s="93"/>
      <c r="IY452" s="93"/>
      <c r="IZ452" s="93"/>
      <c r="JA452" s="93"/>
      <c r="JB452" s="93"/>
      <c r="JC452" s="93"/>
      <c r="JD452" s="93"/>
      <c r="JE452" s="93"/>
      <c r="JF452" s="93"/>
      <c r="JG452" s="93"/>
      <c r="JH452" s="93"/>
      <c r="JI452" s="93"/>
      <c r="JJ452" s="93"/>
      <c r="JK452" s="93"/>
      <c r="JL452" s="93"/>
      <c r="JM452" s="93"/>
      <c r="JN452" s="93"/>
      <c r="JO452" s="93"/>
      <c r="JP452" s="93"/>
      <c r="JQ452" s="93"/>
      <c r="JR452" s="93"/>
      <c r="JS452" s="93"/>
      <c r="JT452" s="93"/>
      <c r="JU452" s="93"/>
      <c r="JV452" s="93"/>
      <c r="JW452" s="93"/>
      <c r="JX452" s="93"/>
      <c r="JY452" s="93"/>
      <c r="JZ452" s="93"/>
      <c r="KA452" s="93"/>
      <c r="KB452" s="93"/>
    </row>
    <row r="453" spans="1:289" ht="20.25" customHeight="1" x14ac:dyDescent="0.25">
      <c r="A453" s="81" t="s">
        <v>204</v>
      </c>
      <c r="B453" s="81"/>
      <c r="C453" s="81"/>
      <c r="D453" s="81"/>
      <c r="E453" s="81"/>
      <c r="F453" s="81"/>
      <c r="G453" s="81"/>
      <c r="H453" s="81"/>
      <c r="I453" s="81"/>
      <c r="J453" s="283">
        <f>ROUND(J452/1.2*0.2,2)</f>
        <v>4324951.07</v>
      </c>
      <c r="K453" s="284"/>
      <c r="L453" s="84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0"/>
      <c r="AT453" s="110"/>
      <c r="AU453" s="110"/>
      <c r="AV453" s="110"/>
      <c r="AW453" s="110"/>
      <c r="AX453" s="110"/>
      <c r="AY453" s="110"/>
      <c r="AZ453" s="110"/>
      <c r="BA453" s="110"/>
      <c r="BB453" s="104"/>
      <c r="BC453" s="113"/>
      <c r="BD453" s="114"/>
      <c r="BE453" s="114"/>
      <c r="BF453" s="114"/>
      <c r="BG453" s="114"/>
      <c r="BH453" s="114"/>
      <c r="BI453" s="114"/>
      <c r="BJ453" s="114"/>
      <c r="BK453" s="114"/>
      <c r="BL453" s="114"/>
      <c r="BM453" s="114"/>
      <c r="BN453" s="114"/>
      <c r="BO453" s="114"/>
      <c r="BP453" s="114"/>
      <c r="BQ453" s="114"/>
      <c r="BR453" s="114"/>
      <c r="BS453" s="114"/>
      <c r="BT453" s="114"/>
      <c r="BU453" s="114"/>
      <c r="BV453" s="114"/>
      <c r="BW453" s="114"/>
      <c r="BX453" s="114"/>
      <c r="BY453" s="114"/>
      <c r="BZ453" s="114"/>
      <c r="CA453" s="114"/>
      <c r="CB453" s="114"/>
      <c r="CC453" s="114"/>
      <c r="CD453" s="114"/>
      <c r="CE453" s="114"/>
      <c r="CF453" s="114"/>
      <c r="CG453" s="114"/>
      <c r="CH453" s="114"/>
      <c r="CI453" s="114"/>
      <c r="CJ453" s="114"/>
      <c r="CK453" s="114"/>
      <c r="CL453" s="114"/>
      <c r="CM453" s="114"/>
      <c r="CN453" s="114"/>
      <c r="CO453" s="115"/>
      <c r="CP453" s="94"/>
      <c r="CQ453" s="94"/>
      <c r="CR453" s="94"/>
      <c r="CS453" s="94"/>
      <c r="CT453" s="94"/>
      <c r="CU453" s="94"/>
      <c r="CV453" s="94"/>
      <c r="CW453" s="94"/>
      <c r="CX453" s="94"/>
      <c r="CY453" s="94"/>
      <c r="CZ453" s="94"/>
      <c r="DA453" s="94"/>
      <c r="DB453" s="94"/>
      <c r="DC453" s="94"/>
      <c r="DD453" s="94"/>
      <c r="DE453" s="94"/>
      <c r="DF453" s="94"/>
      <c r="DG453" s="94"/>
      <c r="DH453" s="94"/>
      <c r="DI453" s="94"/>
      <c r="DJ453" s="94"/>
      <c r="DK453" s="94"/>
      <c r="DL453" s="94"/>
      <c r="DM453" s="94"/>
      <c r="DN453" s="94"/>
      <c r="DO453" s="94"/>
      <c r="DP453" s="94"/>
      <c r="DQ453" s="94"/>
      <c r="DR453" s="94"/>
      <c r="DS453" s="94"/>
      <c r="DT453" s="94"/>
      <c r="DU453" s="94"/>
      <c r="DV453" s="94"/>
      <c r="DW453" s="94"/>
      <c r="DX453" s="94"/>
      <c r="DY453" s="115"/>
      <c r="DZ453" s="94"/>
      <c r="EA453" s="94"/>
      <c r="EB453" s="94"/>
      <c r="EC453" s="94"/>
      <c r="ED453" s="94"/>
      <c r="EE453" s="94"/>
      <c r="EF453" s="94"/>
      <c r="EG453" s="94"/>
      <c r="EH453" s="94"/>
      <c r="EI453" s="94"/>
      <c r="EJ453" s="94"/>
      <c r="EK453" s="94"/>
      <c r="EL453" s="94"/>
      <c r="EM453" s="94"/>
      <c r="EN453" s="94"/>
      <c r="EO453" s="94"/>
      <c r="EP453" s="94"/>
      <c r="EQ453" s="94"/>
      <c r="ER453" s="94"/>
      <c r="ES453" s="94"/>
      <c r="ET453" s="94"/>
      <c r="EU453" s="94"/>
      <c r="EV453" s="94"/>
      <c r="EW453" s="94"/>
      <c r="EX453" s="94"/>
      <c r="EY453" s="94"/>
      <c r="EZ453" s="94"/>
      <c r="FA453" s="94"/>
      <c r="FB453" s="94"/>
      <c r="FC453" s="94"/>
      <c r="FD453" s="94"/>
      <c r="FE453" s="94"/>
      <c r="FF453" s="94"/>
      <c r="FG453" s="94"/>
      <c r="FH453" s="94"/>
      <c r="FI453" s="94"/>
      <c r="FJ453" s="94"/>
      <c r="FK453" s="94"/>
      <c r="FL453" s="94"/>
      <c r="FM453" s="82"/>
      <c r="FN453" s="94"/>
      <c r="FO453" s="94"/>
      <c r="FP453" s="94"/>
      <c r="FQ453" s="94"/>
      <c r="FR453" s="94"/>
      <c r="FS453" s="94"/>
      <c r="FT453" s="94"/>
      <c r="FU453" s="94"/>
      <c r="FV453" s="94"/>
      <c r="FW453" s="94"/>
      <c r="FX453" s="94"/>
      <c r="FY453" s="94"/>
      <c r="FZ453" s="94"/>
      <c r="GA453" s="94"/>
      <c r="GB453" s="94"/>
      <c r="GC453" s="94"/>
      <c r="GD453" s="94"/>
      <c r="GE453" s="94"/>
      <c r="GF453" s="94"/>
      <c r="GG453" s="94"/>
      <c r="GH453" s="94"/>
      <c r="GI453" s="94"/>
      <c r="GJ453" s="94"/>
      <c r="GK453" s="94"/>
      <c r="GL453" s="94"/>
      <c r="GM453" s="94"/>
      <c r="GN453" s="94"/>
      <c r="GO453" s="94"/>
      <c r="GP453" s="94"/>
      <c r="GQ453" s="94"/>
      <c r="GR453" s="94"/>
      <c r="GS453" s="94"/>
      <c r="GT453" s="94"/>
      <c r="GU453" s="94"/>
      <c r="GV453" s="94"/>
      <c r="GW453" s="94"/>
      <c r="GX453" s="94"/>
      <c r="GY453" s="94"/>
      <c r="GZ453" s="94"/>
      <c r="HA453" s="115"/>
      <c r="HB453" s="94"/>
      <c r="HC453" s="94"/>
      <c r="HD453" s="94"/>
      <c r="HE453" s="94"/>
      <c r="HF453" s="94"/>
      <c r="HG453" s="94"/>
      <c r="HH453" s="94"/>
      <c r="HI453" s="94"/>
      <c r="HJ453" s="94"/>
      <c r="HK453" s="94"/>
      <c r="HL453" s="94"/>
      <c r="HM453" s="94"/>
      <c r="HN453" s="94"/>
      <c r="HO453" s="94"/>
      <c r="HP453" s="94"/>
      <c r="HQ453" s="94"/>
      <c r="HR453" s="94"/>
      <c r="HS453" s="94"/>
      <c r="HT453" s="94"/>
      <c r="HU453" s="94"/>
      <c r="HV453" s="94"/>
      <c r="HW453" s="94"/>
      <c r="HX453" s="94"/>
      <c r="HY453" s="94"/>
      <c r="HZ453" s="94"/>
      <c r="IA453" s="94"/>
      <c r="IB453" s="94"/>
      <c r="IC453" s="94"/>
      <c r="ID453" s="94"/>
      <c r="IE453" s="94"/>
      <c r="IF453" s="94"/>
      <c r="IG453" s="94"/>
      <c r="IH453" s="94"/>
      <c r="II453" s="94"/>
      <c r="IJ453" s="94"/>
      <c r="IK453" s="94"/>
      <c r="IL453" s="115"/>
      <c r="IM453" s="94"/>
      <c r="IN453" s="94"/>
      <c r="IO453" s="94"/>
      <c r="IP453" s="94"/>
      <c r="IQ453" s="94"/>
      <c r="IR453" s="94"/>
      <c r="IS453" s="94"/>
      <c r="IT453" s="94"/>
      <c r="IU453" s="94"/>
      <c r="IV453" s="94"/>
      <c r="IW453" s="94"/>
      <c r="IX453" s="94"/>
      <c r="IY453" s="94"/>
      <c r="IZ453" s="94"/>
      <c r="JA453" s="94"/>
      <c r="JB453" s="94"/>
      <c r="JC453" s="94"/>
      <c r="JD453" s="94"/>
      <c r="JE453" s="94"/>
      <c r="JF453" s="94"/>
      <c r="JG453" s="94"/>
      <c r="JH453" s="94"/>
      <c r="JI453" s="94"/>
      <c r="JJ453" s="94"/>
      <c r="JK453" s="94"/>
      <c r="JL453" s="94"/>
      <c r="JM453" s="94"/>
      <c r="JN453" s="94"/>
      <c r="JO453" s="94"/>
      <c r="JP453" s="94"/>
      <c r="JQ453" s="94"/>
      <c r="JR453" s="94"/>
      <c r="JS453" s="94"/>
      <c r="JT453" s="94"/>
      <c r="JU453" s="94"/>
      <c r="JV453" s="94"/>
      <c r="JW453" s="94"/>
      <c r="JX453" s="94"/>
      <c r="JY453" s="94"/>
      <c r="JZ453" s="94"/>
      <c r="KA453" s="94"/>
      <c r="KB453" s="94"/>
      <c r="KC453" s="95"/>
    </row>
  </sheetData>
  <mergeCells count="194">
    <mergeCell ref="A434:G434"/>
    <mergeCell ref="J438:K438"/>
    <mergeCell ref="H438:I438"/>
    <mergeCell ref="A438:G438"/>
    <mergeCell ref="J453:K453"/>
    <mergeCell ref="J428:K428"/>
    <mergeCell ref="H428:I428"/>
    <mergeCell ref="J431:K431"/>
    <mergeCell ref="H431:I431"/>
    <mergeCell ref="J434:K434"/>
    <mergeCell ref="H434:I434"/>
    <mergeCell ref="J419:K419"/>
    <mergeCell ref="H419:I419"/>
    <mergeCell ref="J422:K422"/>
    <mergeCell ref="H422:I422"/>
    <mergeCell ref="J425:K425"/>
    <mergeCell ref="H425:I425"/>
    <mergeCell ref="A407:G407"/>
    <mergeCell ref="A411:K411"/>
    <mergeCell ref="J413:K413"/>
    <mergeCell ref="H413:I413"/>
    <mergeCell ref="J416:K416"/>
    <mergeCell ref="H416:I416"/>
    <mergeCell ref="J401:K401"/>
    <mergeCell ref="H401:I401"/>
    <mergeCell ref="J404:K404"/>
    <mergeCell ref="H404:I404"/>
    <mergeCell ref="J407:K407"/>
    <mergeCell ref="H407:I407"/>
    <mergeCell ref="J392:K392"/>
    <mergeCell ref="H392:I392"/>
    <mergeCell ref="J395:K395"/>
    <mergeCell ref="H395:I395"/>
    <mergeCell ref="J398:K398"/>
    <mergeCell ref="H398:I398"/>
    <mergeCell ref="A380:K380"/>
    <mergeCell ref="A384:K384"/>
    <mergeCell ref="J386:K386"/>
    <mergeCell ref="H386:I386"/>
    <mergeCell ref="J389:K389"/>
    <mergeCell ref="H389:I389"/>
    <mergeCell ref="A361:K361"/>
    <mergeCell ref="E372:H372"/>
    <mergeCell ref="E373:H373"/>
    <mergeCell ref="E374:H374"/>
    <mergeCell ref="E375:H375"/>
    <mergeCell ref="E376:H376"/>
    <mergeCell ref="E377:H377"/>
    <mergeCell ref="A363:K363"/>
    <mergeCell ref="A364:K364"/>
    <mergeCell ref="A366:K366"/>
    <mergeCell ref="E369:H369"/>
    <mergeCell ref="E370:H370"/>
    <mergeCell ref="E371:H371"/>
    <mergeCell ref="E322:H322"/>
    <mergeCell ref="J350:K350"/>
    <mergeCell ref="H350:I350"/>
    <mergeCell ref="A350:G350"/>
    <mergeCell ref="J354:K354"/>
    <mergeCell ref="H354:I354"/>
    <mergeCell ref="A354:G354"/>
    <mergeCell ref="J339:K339"/>
    <mergeCell ref="H339:I339"/>
    <mergeCell ref="A339:G339"/>
    <mergeCell ref="A343:K343"/>
    <mergeCell ref="J347:K347"/>
    <mergeCell ref="H347:I347"/>
    <mergeCell ref="C305:I305"/>
    <mergeCell ref="J305:K305"/>
    <mergeCell ref="C306:I306"/>
    <mergeCell ref="J306:K306"/>
    <mergeCell ref="J275:K275"/>
    <mergeCell ref="H275:I275"/>
    <mergeCell ref="J278:K278"/>
    <mergeCell ref="H278:I278"/>
    <mergeCell ref="A278:G278"/>
    <mergeCell ref="J282:K282"/>
    <mergeCell ref="H282:I282"/>
    <mergeCell ref="A282:G282"/>
    <mergeCell ref="H283:I283"/>
    <mergeCell ref="J283:K283"/>
    <mergeCell ref="H284:I284"/>
    <mergeCell ref="J284:K284"/>
    <mergeCell ref="J288:K288"/>
    <mergeCell ref="J289:K289"/>
    <mergeCell ref="J290:K290"/>
    <mergeCell ref="J293:K293"/>
    <mergeCell ref="J294:K294"/>
    <mergeCell ref="J295:K295"/>
    <mergeCell ref="J252:K252"/>
    <mergeCell ref="H252:I252"/>
    <mergeCell ref="A252:G252"/>
    <mergeCell ref="A256:K256"/>
    <mergeCell ref="J267:K267"/>
    <mergeCell ref="H267:I267"/>
    <mergeCell ref="J229:K229"/>
    <mergeCell ref="H229:I229"/>
    <mergeCell ref="J237:K237"/>
    <mergeCell ref="H237:I237"/>
    <mergeCell ref="J249:K249"/>
    <mergeCell ref="H249:I249"/>
    <mergeCell ref="J212:K212"/>
    <mergeCell ref="H212:I212"/>
    <mergeCell ref="J215:K215"/>
    <mergeCell ref="H215:I215"/>
    <mergeCell ref="A215:G215"/>
    <mergeCell ref="A219:K219"/>
    <mergeCell ref="J181:K181"/>
    <mergeCell ref="H181:I181"/>
    <mergeCell ref="J193:K193"/>
    <mergeCell ref="H193:I193"/>
    <mergeCell ref="J204:K204"/>
    <mergeCell ref="H204:I204"/>
    <mergeCell ref="J155:K155"/>
    <mergeCell ref="H155:I155"/>
    <mergeCell ref="A155:G155"/>
    <mergeCell ref="A159:K159"/>
    <mergeCell ref="J171:K171"/>
    <mergeCell ref="H171:I171"/>
    <mergeCell ref="A129:G129"/>
    <mergeCell ref="A133:K133"/>
    <mergeCell ref="J144:K144"/>
    <mergeCell ref="H144:I144"/>
    <mergeCell ref="J152:K152"/>
    <mergeCell ref="H152:I152"/>
    <mergeCell ref="J114:K114"/>
    <mergeCell ref="H114:I114"/>
    <mergeCell ref="J126:K126"/>
    <mergeCell ref="H126:I126"/>
    <mergeCell ref="J129:K129"/>
    <mergeCell ref="H129:I129"/>
    <mergeCell ref="J92:K92"/>
    <mergeCell ref="H92:I92"/>
    <mergeCell ref="A92:G92"/>
    <mergeCell ref="A96:K96"/>
    <mergeCell ref="J106:K106"/>
    <mergeCell ref="H106:I106"/>
    <mergeCell ref="J70:K70"/>
    <mergeCell ref="H70:I70"/>
    <mergeCell ref="J81:K81"/>
    <mergeCell ref="H81:I81"/>
    <mergeCell ref="J89:K89"/>
    <mergeCell ref="H89:I89"/>
    <mergeCell ref="A32:K32"/>
    <mergeCell ref="A36:K36"/>
    <mergeCell ref="J48:K48"/>
    <mergeCell ref="H48:I48"/>
    <mergeCell ref="J58:K58"/>
    <mergeCell ref="H58:I58"/>
    <mergeCell ref="E24:H24"/>
    <mergeCell ref="E25:H25"/>
    <mergeCell ref="E26:H26"/>
    <mergeCell ref="E27:H27"/>
    <mergeCell ref="E28:H28"/>
    <mergeCell ref="E29:H29"/>
    <mergeCell ref="A15:K15"/>
    <mergeCell ref="A16:K16"/>
    <mergeCell ref="A18:K18"/>
    <mergeCell ref="E21:H21"/>
    <mergeCell ref="E22:H22"/>
    <mergeCell ref="E23:H23"/>
    <mergeCell ref="B7:E7"/>
    <mergeCell ref="J2:K2"/>
    <mergeCell ref="A10:K10"/>
    <mergeCell ref="A11:K11"/>
    <mergeCell ref="A13:K13"/>
    <mergeCell ref="B3:E3"/>
    <mergeCell ref="B4:E4"/>
    <mergeCell ref="B6:E6"/>
    <mergeCell ref="B5:D5"/>
    <mergeCell ref="J355:K355"/>
    <mergeCell ref="J356:K356"/>
    <mergeCell ref="J439:K439"/>
    <mergeCell ref="J442:K442"/>
    <mergeCell ref="J443:K443"/>
    <mergeCell ref="J448:K448"/>
    <mergeCell ref="J449:K449"/>
    <mergeCell ref="J452:K452"/>
    <mergeCell ref="A309:K309"/>
    <mergeCell ref="A311:K311"/>
    <mergeCell ref="A312:K312"/>
    <mergeCell ref="A314:K314"/>
    <mergeCell ref="E323:H323"/>
    <mergeCell ref="E324:H324"/>
    <mergeCell ref="E325:H325"/>
    <mergeCell ref="A328:K328"/>
    <mergeCell ref="A332:K332"/>
    <mergeCell ref="J336:K336"/>
    <mergeCell ref="H336:I336"/>
    <mergeCell ref="E317:H317"/>
    <mergeCell ref="E318:H318"/>
    <mergeCell ref="E319:H319"/>
    <mergeCell ref="E320:H320"/>
    <mergeCell ref="E321:H321"/>
  </mergeCells>
  <pageMargins left="0.39370078740157483" right="0.19685039370078741" top="0.59055118110236227" bottom="0.39370078740157483" header="0.19685039370078741" footer="0.19685039370078741"/>
  <pageSetup paperSize="9" scale="65" fitToHeight="0" orientation="portrait" verticalDpi="0" r:id="rId1"/>
  <headerFooter>
    <oddFooter>&amp;R&amp;P</oddFooter>
  </headerFooter>
  <rowBreaks count="2" manualBreakCount="2">
    <brk id="306" max="16383" man="1"/>
    <brk id="3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1"/>
  <sheetViews>
    <sheetView topLeftCell="A46" zoomScaleNormal="100" workbookViewId="0">
      <selection activeCell="A53" sqref="A53:E53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114.7109375" hidden="1" customWidth="1"/>
    <col min="31" max="31" width="129.7109375" hidden="1" customWidth="1"/>
  </cols>
  <sheetData>
    <row r="1" spans="1:31" x14ac:dyDescent="0.2">
      <c r="A1" s="10" t="str">
        <f>Source!B1</f>
        <v>Smeta.RU  (495) 974-1589</v>
      </c>
    </row>
    <row r="2" spans="1:31" ht="14.25" x14ac:dyDescent="0.2">
      <c r="C2" s="12"/>
      <c r="D2" s="12"/>
    </row>
    <row r="3" spans="1:31" ht="15" x14ac:dyDescent="0.25">
      <c r="C3" s="12"/>
      <c r="D3" s="48" t="s">
        <v>244</v>
      </c>
    </row>
    <row r="4" spans="1:31" ht="15" x14ac:dyDescent="0.25">
      <c r="C4" s="48"/>
      <c r="D4" s="48"/>
    </row>
    <row r="5" spans="1:31" ht="15" x14ac:dyDescent="0.25">
      <c r="C5" s="313" t="s">
        <v>283</v>
      </c>
      <c r="D5" s="313"/>
    </row>
    <row r="6" spans="1:31" ht="15" x14ac:dyDescent="0.25">
      <c r="C6" s="51"/>
      <c r="D6" s="51"/>
    </row>
    <row r="7" spans="1:31" ht="15" x14ac:dyDescent="0.25">
      <c r="C7" s="313" t="s">
        <v>283</v>
      </c>
      <c r="D7" s="313"/>
    </row>
    <row r="8" spans="1:31" ht="15" x14ac:dyDescent="0.25">
      <c r="C8" s="51"/>
      <c r="D8" s="51"/>
    </row>
    <row r="9" spans="1:31" ht="15" x14ac:dyDescent="0.25">
      <c r="C9" s="48" t="s">
        <v>284</v>
      </c>
      <c r="D9" s="12"/>
    </row>
    <row r="10" spans="1:31" ht="14.25" x14ac:dyDescent="0.2">
      <c r="A10" s="12"/>
      <c r="B10" s="12"/>
      <c r="C10" s="12"/>
      <c r="D10" s="12"/>
      <c r="E10" s="12"/>
    </row>
    <row r="11" spans="1:31" ht="15.75" x14ac:dyDescent="0.25">
      <c r="A11" s="314" t="str">
        <f>CONCATENATE("Ведомость объемов работ ", IF(Source!AN15&lt;&gt;"", Source!AN15," "))</f>
        <v xml:space="preserve">Ведомость объемов работ  </v>
      </c>
      <c r="B11" s="314"/>
      <c r="C11" s="314"/>
      <c r="D11" s="314"/>
      <c r="E11" s="12"/>
    </row>
    <row r="12" spans="1:31" ht="30" x14ac:dyDescent="0.25">
      <c r="A12" s="315" t="str">
        <f>CONCATENATE("На капитальный ремонт ", Source!F12, " ", Source!G12)</f>
        <v>На капитальный ремонт Новый объект Озеленение особо охраняемых природных территорий города Москвы в рамках программы "Наше дерево" в весенний период 2021 года</v>
      </c>
      <c r="B12" s="315"/>
      <c r="C12" s="315"/>
      <c r="D12" s="315"/>
      <c r="E12" s="12"/>
      <c r="AD12" s="52" t="str">
        <f>CONCATENATE("На капитальный ремонт ", Source!F12, " ", Source!G12)</f>
        <v>На капитальный ремонт Новый объект Озеленение особо охраняемых природных территорий города Москвы в рамках программы "Наше дерево" в весенний период 2021 года</v>
      </c>
    </row>
    <row r="13" spans="1:31" ht="14.25" x14ac:dyDescent="0.2">
      <c r="A13" s="12"/>
      <c r="B13" s="12"/>
      <c r="C13" s="12"/>
      <c r="D13" s="12"/>
      <c r="E13" s="12"/>
    </row>
    <row r="14" spans="1:31" ht="28.5" x14ac:dyDescent="0.2">
      <c r="A14" s="22" t="s">
        <v>258</v>
      </c>
      <c r="B14" s="22" t="s">
        <v>260</v>
      </c>
      <c r="C14" s="22" t="s">
        <v>285</v>
      </c>
      <c r="D14" s="22" t="s">
        <v>286</v>
      </c>
      <c r="E14" s="23" t="s">
        <v>287</v>
      </c>
    </row>
    <row r="15" spans="1:31" ht="14.25" x14ac:dyDescent="0.2">
      <c r="A15" s="54">
        <v>1</v>
      </c>
      <c r="B15" s="54">
        <v>2</v>
      </c>
      <c r="C15" s="54">
        <v>3</v>
      </c>
      <c r="D15" s="54">
        <v>4</v>
      </c>
      <c r="E15" s="55">
        <v>5</v>
      </c>
    </row>
    <row r="16" spans="1:31" ht="33" x14ac:dyDescent="0.25">
      <c r="A16" s="312" t="str">
        <f>CONCATENATE("Локальная смета: ", Source!G20)</f>
        <v>Локальная смета: Посадка деревьев с комом земли 1,5х1,5х0,65 м, 1,0х1,0х0,6 м, восстановление отпада и уходные работы</v>
      </c>
      <c r="B16" s="312"/>
      <c r="C16" s="312"/>
      <c r="D16" s="312"/>
      <c r="E16" s="312"/>
      <c r="AE16" s="53" t="str">
        <f>CONCATENATE("Локальная смета: ", Source!G20)</f>
        <v>Локальная смета: Посадка деревьев с комом земли 1,5х1,5х0,65 м, 1,0х1,0х0,6 м, восстановление отпада и уходные работы</v>
      </c>
    </row>
    <row r="17" spans="1:5" ht="16.5" x14ac:dyDescent="0.25">
      <c r="A17" s="312" t="str">
        <f>CONCATENATE("Раздел: ", Source!G24)</f>
        <v>Раздел: Посадка деревьев с комом земли 1,5х1,5х0,65 м - 4625 шт.</v>
      </c>
      <c r="B17" s="312"/>
      <c r="C17" s="312"/>
      <c r="D17" s="312"/>
      <c r="E17" s="312"/>
    </row>
    <row r="18" spans="1:5" ht="42.75" x14ac:dyDescent="0.2">
      <c r="A18" s="60" t="str">
        <f>Source!E28</f>
        <v>1</v>
      </c>
      <c r="B18" s="61" t="str">
        <f>Source!G28</f>
        <v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v>
      </c>
      <c r="C18" s="62" t="str">
        <f>Source!H28</f>
        <v>10 ям</v>
      </c>
      <c r="D18" s="63">
        <f>Source!I28</f>
        <v>346.875</v>
      </c>
      <c r="E18" s="61"/>
    </row>
    <row r="19" spans="1:5" ht="14.25" x14ac:dyDescent="0.2">
      <c r="A19" s="60" t="str">
        <f>Source!E29</f>
        <v>1,1</v>
      </c>
      <c r="B19" s="61" t="str">
        <f>Source!G29</f>
        <v>Земля растительная</v>
      </c>
      <c r="C19" s="62" t="str">
        <f>Source!H29</f>
        <v>м3</v>
      </c>
      <c r="D19" s="63">
        <f>Source!I29</f>
        <v>4856.25</v>
      </c>
      <c r="E19" s="61"/>
    </row>
    <row r="20" spans="1:5" ht="42.75" x14ac:dyDescent="0.2">
      <c r="A20" s="60" t="str">
        <f>Source!E30</f>
        <v>2</v>
      </c>
      <c r="B20" s="61" t="str">
        <f>Source!G30</f>
        <v>Подготовка стандартных посадочных мест вручную с квадратным комом земли размером 1,5х1,5х0,65 м с добавлением растительной земли до 50%</v>
      </c>
      <c r="C20" s="62" t="str">
        <f>Source!H30</f>
        <v>10 ям</v>
      </c>
      <c r="D20" s="63">
        <f>Source!I30</f>
        <v>115.625</v>
      </c>
      <c r="E20" s="61"/>
    </row>
    <row r="21" spans="1:5" ht="14.25" x14ac:dyDescent="0.2">
      <c r="A21" s="60" t="str">
        <f>Source!E31</f>
        <v>2,1</v>
      </c>
      <c r="B21" s="61" t="str">
        <f>Source!G31</f>
        <v>Земля растительная</v>
      </c>
      <c r="C21" s="62" t="str">
        <f>Source!H31</f>
        <v>м3</v>
      </c>
      <c r="D21" s="63">
        <f>Source!I31</f>
        <v>1618.75</v>
      </c>
      <c r="E21" s="61"/>
    </row>
    <row r="22" spans="1:5" ht="42.75" x14ac:dyDescent="0.2">
      <c r="A22" s="60" t="str">
        <f>Source!E32</f>
        <v>3</v>
      </c>
      <c r="B22" s="61" t="str">
        <f>Source!G32</f>
        <v>Посадка деревьев и кустарников с комом земли размером 1,5х1,5х0,65 м</v>
      </c>
      <c r="C22" s="62" t="str">
        <f>Source!H32</f>
        <v>10 деревьев или кустарников</v>
      </c>
      <c r="D22" s="63">
        <f>Source!I32</f>
        <v>462.5</v>
      </c>
      <c r="E22" s="61"/>
    </row>
    <row r="23" spans="1:5" ht="57" x14ac:dyDescent="0.2">
      <c r="A23" s="60" t="str">
        <f>Source!E33</f>
        <v>4</v>
      </c>
      <c r="B23" s="61" t="str">
        <f>Source!G33</f>
        <v>Разработка грунта с погрузкой на автомобили-самосвалы экскаваторами с ковшом вместимостью 0,5 м3 группа грунтов 1-3 (Объем грунта на 1 дерево: (5,18 м3 - 1,46 м3) х 50% + 1,46 м3 = 3,32 м3; Общий объем грунта: 3,32 м3/дер. х 4625 дер. = 15355,0 м3)</v>
      </c>
      <c r="C23" s="62" t="str">
        <f>Source!H33</f>
        <v>100 м3 грунта</v>
      </c>
      <c r="D23" s="63">
        <f>Source!I33</f>
        <v>153.55000000000001</v>
      </c>
      <c r="E23" s="61"/>
    </row>
    <row r="24" spans="1:5" ht="28.5" x14ac:dyDescent="0.2">
      <c r="A24" s="60" t="str">
        <f>Source!E34</f>
        <v>5</v>
      </c>
      <c r="B24" s="61" t="str">
        <f>Source!G34</f>
        <v>Планировка участка вручную (разравнивание грунта от разработки ям, толщина слоя 0,1 м)</v>
      </c>
      <c r="C24" s="62" t="str">
        <f>Source!H34</f>
        <v>100 м2</v>
      </c>
      <c r="D24" s="63">
        <f>Source!I34</f>
        <v>1535.5</v>
      </c>
      <c r="E24" s="61"/>
    </row>
    <row r="25" spans="1:5" ht="16.5" x14ac:dyDescent="0.25">
      <c r="A25" s="312" t="str">
        <f>CONCATENATE("Раздел: ", Source!G66)</f>
        <v>Раздел: Восстановление отпада деревьев с комом земли 1,5х1,5х0,65 м - 229 шт.</v>
      </c>
      <c r="B25" s="312"/>
      <c r="C25" s="312"/>
      <c r="D25" s="312"/>
      <c r="E25" s="312"/>
    </row>
    <row r="26" spans="1:5" ht="42.75" x14ac:dyDescent="0.2">
      <c r="A26" s="60" t="str">
        <f>Source!E70</f>
        <v>6</v>
      </c>
      <c r="B26" s="61" t="str">
        <f>Source!G70</f>
        <v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v>
      </c>
      <c r="C26" s="62" t="str">
        <f>Source!H70</f>
        <v>10 ям</v>
      </c>
      <c r="D26" s="63">
        <f>Source!I70</f>
        <v>17.175000000000001</v>
      </c>
      <c r="E26" s="61"/>
    </row>
    <row r="27" spans="1:5" ht="28.5" x14ac:dyDescent="0.2">
      <c r="A27" s="60" t="str">
        <f>Source!E71</f>
        <v>7</v>
      </c>
      <c r="B27" s="61" t="str">
        <f>Source!G71</f>
        <v>Подготовка стандартных посадочных мест вручную с квадратным комом земли размером 1,5х1,5х0,65 м в естественном грунте</v>
      </c>
      <c r="C27" s="62" t="str">
        <f>Source!H71</f>
        <v>10 ям</v>
      </c>
      <c r="D27" s="63">
        <f>Source!I71</f>
        <v>5.7249999999999996</v>
      </c>
      <c r="E27" s="61"/>
    </row>
    <row r="28" spans="1:5" ht="42.75" x14ac:dyDescent="0.2">
      <c r="A28" s="60" t="str">
        <f>Source!E72</f>
        <v>8</v>
      </c>
      <c r="B28" s="61" t="str">
        <f>Source!G72</f>
        <v>Посадка деревьев и кустарников с комом земли размером 1,5х1,5х0,65 м</v>
      </c>
      <c r="C28" s="62" t="str">
        <f>Source!H72</f>
        <v>10 деревьев или кустарников</v>
      </c>
      <c r="D28" s="63">
        <f>Source!I72</f>
        <v>22.9</v>
      </c>
      <c r="E28" s="61"/>
    </row>
    <row r="29" spans="1:5" ht="16.5" x14ac:dyDescent="0.25">
      <c r="A29" s="312" t="str">
        <f>CONCATENATE("Раздел: ", Source!G104)</f>
        <v>Раздел: Уход за деревьями с комом земли 1,5х1,5х0,65 м - 4625 шт.</v>
      </c>
      <c r="B29" s="312"/>
      <c r="C29" s="312"/>
      <c r="D29" s="312"/>
      <c r="E29" s="312"/>
    </row>
    <row r="30" spans="1:5" ht="42.75" x14ac:dyDescent="0.2">
      <c r="A30" s="60" t="str">
        <f>Source!E108</f>
        <v>9</v>
      </c>
      <c r="B30" s="61" t="str">
        <f>Source!G108</f>
        <v>Полив зеленых насаждений из шланга поливомоечной машины (К=4)</v>
      </c>
      <c r="C30" s="62" t="str">
        <f>Source!H108</f>
        <v>1 м3 выливаемой воды</v>
      </c>
      <c r="D30" s="63">
        <f>Source!I108</f>
        <v>799.2</v>
      </c>
      <c r="E30" s="61"/>
    </row>
    <row r="31" spans="1:5" ht="42.75" x14ac:dyDescent="0.2">
      <c r="A31" s="60" t="str">
        <f>Source!E109</f>
        <v>10</v>
      </c>
      <c r="B31" s="61" t="str">
        <f>Source!G109</f>
        <v>Прополка и рыхление лунок или канавок (К=4)</v>
      </c>
      <c r="C31" s="62" t="str">
        <f>Source!H109</f>
        <v>100 м2 площади лунок или канавок</v>
      </c>
      <c r="D31" s="63">
        <f>Source!I109</f>
        <v>266.39999999999998</v>
      </c>
      <c r="E31" s="61"/>
    </row>
    <row r="32" spans="1:5" ht="16.5" x14ac:dyDescent="0.25">
      <c r="A32" s="312" t="str">
        <f>CONCATENATE("Раздел: ", Source!G141)</f>
        <v>Раздел: Посадка деревьев с комом земли 1,0х1,0х0,6 м - 91 шт.</v>
      </c>
      <c r="B32" s="312"/>
      <c r="C32" s="312"/>
      <c r="D32" s="312"/>
      <c r="E32" s="312"/>
    </row>
    <row r="33" spans="1:31" ht="42.75" x14ac:dyDescent="0.2">
      <c r="A33" s="60" t="str">
        <f>Source!E145</f>
        <v>11</v>
      </c>
      <c r="B33" s="61" t="str">
        <f>Source!G145</f>
        <v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v>
      </c>
      <c r="C33" s="62" t="str">
        <f>Source!H145</f>
        <v>10 ям</v>
      </c>
      <c r="D33" s="63">
        <f>Source!I145</f>
        <v>6.8250000000000002</v>
      </c>
      <c r="E33" s="61"/>
    </row>
    <row r="34" spans="1:31" ht="14.25" x14ac:dyDescent="0.2">
      <c r="A34" s="60" t="str">
        <f>Source!E146</f>
        <v>11,1</v>
      </c>
      <c r="B34" s="61" t="str">
        <f>Source!G146</f>
        <v>Земля растительная</v>
      </c>
      <c r="C34" s="62" t="str">
        <f>Source!H146</f>
        <v>м3</v>
      </c>
      <c r="D34" s="63">
        <f>Source!I146</f>
        <v>63.1995</v>
      </c>
      <c r="E34" s="61"/>
    </row>
    <row r="35" spans="1:31" ht="28.5" x14ac:dyDescent="0.2">
      <c r="A35" s="60" t="str">
        <f>Source!E147</f>
        <v>12</v>
      </c>
      <c r="B35" s="61" t="str">
        <f>Source!G147</f>
        <v>Подготовка стандартных посадочных мест вручную с квадратным комом земли размером 1,0х1,0х0,6 м с добавлением растительной земли 50%</v>
      </c>
      <c r="C35" s="62" t="str">
        <f>Source!H147</f>
        <v>10 ям</v>
      </c>
      <c r="D35" s="63">
        <f>Source!I147</f>
        <v>2.2749999999999999</v>
      </c>
      <c r="E35" s="61"/>
    </row>
    <row r="36" spans="1:31" ht="14.25" x14ac:dyDescent="0.2">
      <c r="A36" s="60" t="str">
        <f>Source!E148</f>
        <v>12,1</v>
      </c>
      <c r="B36" s="61" t="str">
        <f>Source!G148</f>
        <v>Земля растительная</v>
      </c>
      <c r="C36" s="62" t="str">
        <f>Source!H148</f>
        <v>м3</v>
      </c>
      <c r="D36" s="63">
        <f>Source!I148</f>
        <v>21.066500000000001</v>
      </c>
      <c r="E36" s="61"/>
    </row>
    <row r="37" spans="1:31" ht="42.75" x14ac:dyDescent="0.2">
      <c r="A37" s="60" t="str">
        <f>Source!E149</f>
        <v>13</v>
      </c>
      <c r="B37" s="61" t="str">
        <f>Source!G149</f>
        <v>Посадка деревьев и кустарников с комом земли размером 1,0х1,0х0,6 м</v>
      </c>
      <c r="C37" s="62" t="str">
        <f>Source!H149</f>
        <v>10 деревьев или кустарников</v>
      </c>
      <c r="D37" s="63">
        <f>Source!I149</f>
        <v>9.1</v>
      </c>
      <c r="E37" s="61"/>
    </row>
    <row r="38" spans="1:31" ht="57" x14ac:dyDescent="0.2">
      <c r="A38" s="60" t="str">
        <f>Source!E150</f>
        <v>14</v>
      </c>
      <c r="B38" s="61" t="str">
        <f>Source!G150</f>
        <v>Разработка грунта с погрузкой на автомобили-самосвалы экскаваторами с ковшом вместимостью 0,5 м3 группа грунтов 1-3 (Объем грунта на 1 дерево: (3,07 м3 - 0,6 м3) х 50% + 0,6 м3 = 1,835 м3; Общий объем грунта: 1,835 м3/дер. х 91 дер. = 166,985 м3)</v>
      </c>
      <c r="C38" s="62" t="str">
        <f>Source!H150</f>
        <v>100 м3 грунта</v>
      </c>
      <c r="D38" s="63">
        <f>Source!I150</f>
        <v>1.6698500000000001</v>
      </c>
      <c r="E38" s="61"/>
    </row>
    <row r="39" spans="1:31" ht="28.5" x14ac:dyDescent="0.2">
      <c r="A39" s="60" t="str">
        <f>Source!E151</f>
        <v>15</v>
      </c>
      <c r="B39" s="61" t="str">
        <f>Source!G151</f>
        <v>Планировка участка вручную (разравнивание грунта от разработки ям, толщина слоя 0,1 м)</v>
      </c>
      <c r="C39" s="62" t="str">
        <f>Source!H151</f>
        <v>100 м2</v>
      </c>
      <c r="D39" s="63">
        <f>Source!I151</f>
        <v>16.698499999999999</v>
      </c>
      <c r="E39" s="61"/>
    </row>
    <row r="40" spans="1:31" ht="16.5" x14ac:dyDescent="0.25">
      <c r="A40" s="312" t="str">
        <f>CONCATENATE("Раздел: ", Source!G183)</f>
        <v>Раздел: Восстановление отпада деревьев с комом земли 1,0х1,0х0,6 м - 4 шт.</v>
      </c>
      <c r="B40" s="312"/>
      <c r="C40" s="312"/>
      <c r="D40" s="312"/>
      <c r="E40" s="312"/>
    </row>
    <row r="41" spans="1:31" ht="42.75" x14ac:dyDescent="0.2">
      <c r="A41" s="60" t="str">
        <f>Source!E187</f>
        <v>16</v>
      </c>
      <c r="B41" s="61" t="str">
        <f>Source!G187</f>
        <v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v>
      </c>
      <c r="C41" s="62" t="str">
        <f>Source!H187</f>
        <v>10 ям</v>
      </c>
      <c r="D41" s="63">
        <f>Source!I187</f>
        <v>0.3</v>
      </c>
      <c r="E41" s="61"/>
    </row>
    <row r="42" spans="1:31" ht="28.5" x14ac:dyDescent="0.2">
      <c r="A42" s="60" t="str">
        <f>Source!E188</f>
        <v>17</v>
      </c>
      <c r="B42" s="61" t="str">
        <f>Source!G188</f>
        <v>Подготовка стандартных посадочных мест вручную с квадратным комом земли размером 1,0х1,0х0,6 м в естественном грунте</v>
      </c>
      <c r="C42" s="62" t="str">
        <f>Source!H188</f>
        <v>10 ям</v>
      </c>
      <c r="D42" s="63">
        <f>Source!I188</f>
        <v>0.1</v>
      </c>
      <c r="E42" s="61"/>
    </row>
    <row r="43" spans="1:31" ht="42.75" x14ac:dyDescent="0.2">
      <c r="A43" s="60" t="str">
        <f>Source!E189</f>
        <v>18</v>
      </c>
      <c r="B43" s="61" t="str">
        <f>Source!G189</f>
        <v>Посадка деревьев и кустарников с комом земли размером 1,0х1,0х0,6 м</v>
      </c>
      <c r="C43" s="62" t="str">
        <f>Source!H189</f>
        <v>10 деревьев или кустарников</v>
      </c>
      <c r="D43" s="63">
        <f>Source!I189</f>
        <v>0.4</v>
      </c>
      <c r="E43" s="61"/>
    </row>
    <row r="44" spans="1:31" ht="16.5" x14ac:dyDescent="0.25">
      <c r="A44" s="312" t="str">
        <f>CONCATENATE("Раздел: ", Source!G221)</f>
        <v>Раздел: Уход за деревьями с комом 1,0х1,0х0,6 м - 91 шт.</v>
      </c>
      <c r="B44" s="312"/>
      <c r="C44" s="312"/>
      <c r="D44" s="312"/>
      <c r="E44" s="312"/>
    </row>
    <row r="45" spans="1:31" ht="42.75" x14ac:dyDescent="0.2">
      <c r="A45" s="60" t="str">
        <f>Source!E225</f>
        <v>19</v>
      </c>
      <c r="B45" s="61" t="str">
        <f>Source!G225</f>
        <v>Полив зеленых насаждений из шланга поливомоечной машины (К=4)</v>
      </c>
      <c r="C45" s="62" t="str">
        <f>Source!H225</f>
        <v>1 м3 выливаемой воды</v>
      </c>
      <c r="D45" s="63">
        <f>Source!I225</f>
        <v>9.8552999999999997</v>
      </c>
      <c r="E45" s="61"/>
    </row>
    <row r="46" spans="1:31" ht="42.75" x14ac:dyDescent="0.2">
      <c r="A46" s="60" t="str">
        <f>Source!E226</f>
        <v>20</v>
      </c>
      <c r="B46" s="61" t="str">
        <f>Source!G226</f>
        <v>Прополка и рыхление лунок или канавок (К=4)</v>
      </c>
      <c r="C46" s="62" t="str">
        <f>Source!H226</f>
        <v>100 м2 площади лунок или канавок</v>
      </c>
      <c r="D46" s="63">
        <f>Source!I226</f>
        <v>3.2850999999999999</v>
      </c>
      <c r="E46" s="61"/>
    </row>
    <row r="47" spans="1:31" ht="33" x14ac:dyDescent="0.25">
      <c r="A47" s="312" t="str">
        <f>CONCATENATE("Локальная смета: ", Source!G290)</f>
        <v>Локальная смета: Затраты на перевозку отходов строительства и сноса, в т.ч. грунта, автотранспортными средствами</v>
      </c>
      <c r="B47" s="312"/>
      <c r="C47" s="312"/>
      <c r="D47" s="312"/>
      <c r="E47" s="312"/>
      <c r="AE47" s="53" t="str">
        <f>CONCATENATE("Локальная смета: ", Source!G290)</f>
        <v>Локальная смета: Затраты на перевозку отходов строительства и сноса, в т.ч. грунта, автотранспортными средствами</v>
      </c>
    </row>
    <row r="48" spans="1:31" ht="16.5" x14ac:dyDescent="0.25">
      <c r="A48" s="312" t="str">
        <f>CONCATENATE("Раздел: ", Source!G294)</f>
        <v>Раздел: Посадка деревьев с комом земли 1,5х1,5х0,65 м - 4625 шт.</v>
      </c>
      <c r="B48" s="312"/>
      <c r="C48" s="312"/>
      <c r="D48" s="312"/>
      <c r="E48" s="312"/>
    </row>
    <row r="49" spans="1:31" ht="28.5" x14ac:dyDescent="0.2">
      <c r="A49" s="60" t="str">
        <f>Source!E298</f>
        <v>21</v>
      </c>
      <c r="B49" s="61" t="str">
        <f>Source!G298</f>
        <v>Перевозка грунтов растительного слоя и торфов на расстояние до 1 км автосамосвалами грузоподъемностью до 20 т</v>
      </c>
      <c r="C49" s="62" t="str">
        <f>Source!H298</f>
        <v>т</v>
      </c>
      <c r="D49" s="63">
        <f>Source!I298</f>
        <v>21497</v>
      </c>
      <c r="E49" s="61"/>
    </row>
    <row r="50" spans="1:31" ht="16.5" x14ac:dyDescent="0.25">
      <c r="A50" s="312" t="str">
        <f>CONCATENATE("Раздел: ", Source!G330)</f>
        <v>Раздел: Посадка деревьев с комом земли 1,0х1,0х0,6 м - 91 шт.</v>
      </c>
      <c r="B50" s="312"/>
      <c r="C50" s="312"/>
      <c r="D50" s="312"/>
      <c r="E50" s="312"/>
    </row>
    <row r="51" spans="1:31" ht="28.5" x14ac:dyDescent="0.2">
      <c r="A51" s="60" t="str">
        <f>Source!E334</f>
        <v>22</v>
      </c>
      <c r="B51" s="61" t="str">
        <f>Source!G334</f>
        <v>Перевозка грунтов растительного слоя и торфов на расстояние до 1 км автосамосвалами грузоподъемностью до 20 т</v>
      </c>
      <c r="C51" s="62" t="str">
        <f>Source!H334</f>
        <v>т</v>
      </c>
      <c r="D51" s="63">
        <f>Source!I334</f>
        <v>233.779</v>
      </c>
      <c r="E51" s="61"/>
    </row>
    <row r="52" spans="1:31" s="124" customFormat="1" ht="49.5" x14ac:dyDescent="0.2">
      <c r="A52" s="316" t="str">
        <f>CONCATENATE("Локальная смета № 3: ", Source!G396)</f>
        <v>Локальная смета № 3: 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  <c r="B52" s="316"/>
      <c r="C52" s="316"/>
      <c r="D52" s="316"/>
      <c r="E52" s="316"/>
      <c r="AE52" s="125" t="str">
        <f>CONCATENATE("Локальная смета: ", Source!G396)</f>
        <v>Локальная смета: 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</row>
    <row r="53" spans="1:31" ht="16.5" x14ac:dyDescent="0.25">
      <c r="A53" s="312" t="str">
        <f>CONCATENATE("Раздел: ", Source!G400)</f>
        <v>Раздел: Стоимость деревьев для посадки</v>
      </c>
      <c r="B53" s="312"/>
      <c r="C53" s="312"/>
      <c r="D53" s="312"/>
      <c r="E53" s="312"/>
    </row>
    <row r="54" spans="1:31" ht="14.25" x14ac:dyDescent="0.2">
      <c r="A54" s="60" t="str">
        <f>Source!E404</f>
        <v>23</v>
      </c>
      <c r="B54" s="61" t="str">
        <f>Source!G404</f>
        <v>Груша плодовая с комом 1,5х1,5х0,65 м (или эквивалент)</v>
      </c>
      <c r="C54" s="62" t="str">
        <f>Source!H404</f>
        <v>шт.</v>
      </c>
      <c r="D54" s="63">
        <f>Source!I404</f>
        <v>47</v>
      </c>
      <c r="E54" s="61"/>
    </row>
    <row r="55" spans="1:31" ht="14.25" x14ac:dyDescent="0.2">
      <c r="A55" s="60" t="str">
        <f>Source!E406</f>
        <v>24</v>
      </c>
      <c r="B55" s="61" t="str">
        <f>Source!G406</f>
        <v>Ива белая с комом 1,5х1,5х0,65 м (или эквивалент)</v>
      </c>
      <c r="C55" s="62" t="str">
        <f>Source!H406</f>
        <v>шт.</v>
      </c>
      <c r="D55" s="63">
        <f>Source!I406</f>
        <v>656</v>
      </c>
      <c r="E55" s="61"/>
    </row>
    <row r="56" spans="1:31" ht="14.25" x14ac:dyDescent="0.2">
      <c r="A56" s="60" t="str">
        <f>Source!E407</f>
        <v>25</v>
      </c>
      <c r="B56" s="61" t="str">
        <f>Source!G407</f>
        <v>Клен остролистный 1,5х1,5х0,65 м (или эквивалент)</v>
      </c>
      <c r="C56" s="62" t="str">
        <f>Source!H407</f>
        <v>шт.</v>
      </c>
      <c r="D56" s="63">
        <f>Source!I407</f>
        <v>590</v>
      </c>
      <c r="E56" s="61"/>
    </row>
    <row r="57" spans="1:31" ht="14.25" x14ac:dyDescent="0.2">
      <c r="A57" s="60" t="str">
        <f>Source!E408</f>
        <v>26</v>
      </c>
      <c r="B57" s="61" t="str">
        <f>Source!G408</f>
        <v>Липа мелколистная с комом 1,5х1,5х0,65 м (или эквивалент)</v>
      </c>
      <c r="C57" s="62" t="str">
        <f>Source!H408</f>
        <v>шт.</v>
      </c>
      <c r="D57" s="63">
        <f>Source!I408</f>
        <v>2646</v>
      </c>
      <c r="E57" s="61"/>
    </row>
    <row r="58" spans="1:31" ht="14.25" x14ac:dyDescent="0.2">
      <c r="A58" s="60" t="str">
        <f>Source!E409</f>
        <v>27</v>
      </c>
      <c r="B58" s="61" t="str">
        <f>Source!G409</f>
        <v>Рябина обыкновенная 1,5х1,5х0,65 м (или эквивалент)</v>
      </c>
      <c r="C58" s="62" t="str">
        <f>Source!H409</f>
        <v>шт.</v>
      </c>
      <c r="D58" s="63">
        <f>Source!I409</f>
        <v>362</v>
      </c>
      <c r="E58" s="61"/>
    </row>
    <row r="59" spans="1:31" ht="14.25" x14ac:dyDescent="0.2">
      <c r="A59" s="60" t="str">
        <f>Source!E410</f>
        <v>28</v>
      </c>
      <c r="B59" s="61" t="str">
        <f>Source!G410</f>
        <v>Сосна обыкновенная с комом 1,5х1,5х0,65 м (или эквивалент)</v>
      </c>
      <c r="C59" s="62" t="str">
        <f>Source!H410</f>
        <v>шт.</v>
      </c>
      <c r="D59" s="63">
        <f>Source!I410</f>
        <v>307</v>
      </c>
      <c r="E59" s="61"/>
    </row>
    <row r="60" spans="1:31" ht="14.25" x14ac:dyDescent="0.2">
      <c r="A60" s="60" t="str">
        <f>Source!E411</f>
        <v>29</v>
      </c>
      <c r="B60" s="61" t="str">
        <f>Source!G411</f>
        <v>Яблоня домашняя с комом 1,0х1,0х0,6 м (или эквивалент)</v>
      </c>
      <c r="C60" s="62" t="str">
        <f>Source!H411</f>
        <v>шт.</v>
      </c>
      <c r="D60" s="63">
        <f>Source!I411</f>
        <v>63</v>
      </c>
      <c r="E60" s="61"/>
    </row>
    <row r="61" spans="1:31" ht="16.5" x14ac:dyDescent="0.25">
      <c r="A61" s="312" t="str">
        <f>CONCATENATE("Раздел: ", Source!G444)</f>
        <v>Раздел: Стоимость деревьев для восстановления отпада</v>
      </c>
      <c r="B61" s="312"/>
      <c r="C61" s="312"/>
      <c r="D61" s="312"/>
      <c r="E61" s="312"/>
    </row>
    <row r="62" spans="1:31" ht="14.25" x14ac:dyDescent="0.2">
      <c r="A62" s="60" t="str">
        <f>Source!E448</f>
        <v>30</v>
      </c>
      <c r="B62" s="61" t="str">
        <f>Source!G448</f>
        <v>Груша плодовая с комом 1,5х1,5х0,65 м (или эквивалент)</v>
      </c>
      <c r="C62" s="62" t="str">
        <f>Source!H448</f>
        <v>шт.</v>
      </c>
      <c r="D62" s="63">
        <f>Source!I448</f>
        <v>3</v>
      </c>
      <c r="E62" s="61"/>
    </row>
    <row r="63" spans="1:31" ht="14.25" x14ac:dyDescent="0.2">
      <c r="A63" s="60" t="str">
        <f>Source!E449</f>
        <v>31</v>
      </c>
      <c r="B63" s="61" t="str">
        <f>Source!G449</f>
        <v>Ива белая с комом 1,5х1,5х0,65 м (или эквивалент)</v>
      </c>
      <c r="C63" s="62" t="str">
        <f>Source!H449</f>
        <v>шт.</v>
      </c>
      <c r="D63" s="63">
        <f>Source!I449</f>
        <v>32</v>
      </c>
      <c r="E63" s="61"/>
    </row>
    <row r="64" spans="1:31" ht="14.25" x14ac:dyDescent="0.2">
      <c r="A64" s="60" t="str">
        <f>Source!E450</f>
        <v>32</v>
      </c>
      <c r="B64" s="61" t="str">
        <f>Source!G450</f>
        <v>Клен остролистный 1,5х1,5х0,65 м (или эквивалент)</v>
      </c>
      <c r="C64" s="62" t="str">
        <f>Source!H450</f>
        <v>шт.</v>
      </c>
      <c r="D64" s="63">
        <f>Source!I450</f>
        <v>29</v>
      </c>
      <c r="E64" s="61"/>
    </row>
    <row r="65" spans="1:5" ht="14.25" x14ac:dyDescent="0.2">
      <c r="A65" s="60" t="str">
        <f>Source!E451</f>
        <v>33</v>
      </c>
      <c r="B65" s="61" t="str">
        <f>Source!G451</f>
        <v>Липа мелколистная с комом 1,5х1,5х0,65 м (или эквивалент)</v>
      </c>
      <c r="C65" s="62" t="str">
        <f>Source!H451</f>
        <v>шт.</v>
      </c>
      <c r="D65" s="63">
        <f>Source!I451</f>
        <v>132</v>
      </c>
      <c r="E65" s="61"/>
    </row>
    <row r="66" spans="1:5" ht="14.25" x14ac:dyDescent="0.2">
      <c r="A66" s="60" t="str">
        <f>Source!E452</f>
        <v>34</v>
      </c>
      <c r="B66" s="61" t="str">
        <f>Source!G452</f>
        <v>Рябина обыкновенная 1,5х1,5х0,65 м (или эквивалент)</v>
      </c>
      <c r="C66" s="62" t="str">
        <f>Source!H452</f>
        <v>шт.</v>
      </c>
      <c r="D66" s="63">
        <f>Source!I452</f>
        <v>18</v>
      </c>
      <c r="E66" s="61"/>
    </row>
    <row r="67" spans="1:5" ht="14.25" x14ac:dyDescent="0.2">
      <c r="A67" s="60" t="str">
        <f>Source!E453</f>
        <v>35</v>
      </c>
      <c r="B67" s="61" t="str">
        <f>Source!G453</f>
        <v>Сосна обыкновенная с комом 1,5х1,5х0,65 м (или эквивалент)</v>
      </c>
      <c r="C67" s="62" t="str">
        <f>Source!H453</f>
        <v>шт.</v>
      </c>
      <c r="D67" s="63">
        <f>Source!I453</f>
        <v>15</v>
      </c>
      <c r="E67" s="61"/>
    </row>
    <row r="68" spans="1:5" ht="14.25" x14ac:dyDescent="0.2">
      <c r="A68" s="56" t="str">
        <f>Source!E454</f>
        <v>36</v>
      </c>
      <c r="B68" s="57" t="str">
        <f>Source!G454</f>
        <v>Яблоня домашняя с комом 1,0х1,0х0,6 м (или эквивалент)</v>
      </c>
      <c r="C68" s="58" t="str">
        <f>Source!H454</f>
        <v>шт.</v>
      </c>
      <c r="D68" s="59">
        <f>Source!I454</f>
        <v>4</v>
      </c>
      <c r="E68" s="57"/>
    </row>
    <row r="71" spans="1:5" ht="15" x14ac:dyDescent="0.25">
      <c r="A71" s="20" t="s">
        <v>288</v>
      </c>
      <c r="B71" s="20"/>
      <c r="C71" s="20" t="s">
        <v>289</v>
      </c>
      <c r="D71" s="20"/>
      <c r="E71" s="20"/>
    </row>
  </sheetData>
  <mergeCells count="17">
    <mergeCell ref="A48:E48"/>
    <mergeCell ref="A50:E50"/>
    <mergeCell ref="A52:E52"/>
    <mergeCell ref="A53:E53"/>
    <mergeCell ref="A61:E61"/>
    <mergeCell ref="A47:E47"/>
    <mergeCell ref="C5:D5"/>
    <mergeCell ref="C7:D7"/>
    <mergeCell ref="A11:D11"/>
    <mergeCell ref="A12:D12"/>
    <mergeCell ref="A16:E16"/>
    <mergeCell ref="A17:E17"/>
    <mergeCell ref="A25:E25"/>
    <mergeCell ref="A29:E29"/>
    <mergeCell ref="A32:E32"/>
    <mergeCell ref="A40:E40"/>
    <mergeCell ref="A44:E44"/>
  </mergeCells>
  <pageMargins left="0.4" right="0.2" top="0.4" bottom="0.4" header="0.2" footer="0.2"/>
  <pageSetup paperSize="9" scale="77" fitToHeight="0" orientation="portrait" verticalDpi="0" r:id="rId1"/>
  <headerFooter>
    <oddHeader>&amp;L&amp;8ГКУ г. Москвы "Дирекция Мосприроды"  Доп. раб. место  MCCS-0026850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topLeftCell="A46" zoomScaleNormal="100" workbookViewId="0">
      <selection activeCell="G69" sqref="G69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114.7109375" hidden="1" customWidth="1"/>
    <col min="31" max="31" width="129.7109375" hidden="1" customWidth="1"/>
  </cols>
  <sheetData>
    <row r="1" spans="1:30" x14ac:dyDescent="0.2">
      <c r="A1" s="10" t="str">
        <f>Source!B1</f>
        <v>Smeta.RU  (495) 974-1589</v>
      </c>
    </row>
    <row r="2" spans="1:30" ht="14.25" x14ac:dyDescent="0.2">
      <c r="C2" s="12"/>
      <c r="D2" s="12"/>
    </row>
    <row r="3" spans="1:30" ht="15" x14ac:dyDescent="0.25">
      <c r="C3" s="12"/>
      <c r="D3" s="48" t="s">
        <v>244</v>
      </c>
    </row>
    <row r="4" spans="1:30" ht="15" x14ac:dyDescent="0.25">
      <c r="C4" s="48"/>
      <c r="D4" s="48"/>
    </row>
    <row r="5" spans="1:30" ht="15" x14ac:dyDescent="0.25">
      <c r="C5" s="313" t="s">
        <v>283</v>
      </c>
      <c r="D5" s="313"/>
    </row>
    <row r="6" spans="1:30" ht="15" x14ac:dyDescent="0.25">
      <c r="C6" s="51"/>
      <c r="D6" s="51"/>
    </row>
    <row r="7" spans="1:30" ht="15" x14ac:dyDescent="0.25">
      <c r="C7" s="313" t="s">
        <v>283</v>
      </c>
      <c r="D7" s="313"/>
    </row>
    <row r="8" spans="1:30" ht="15" x14ac:dyDescent="0.25">
      <c r="C8" s="51"/>
      <c r="D8" s="51"/>
    </row>
    <row r="9" spans="1:30" ht="15" x14ac:dyDescent="0.25">
      <c r="C9" s="48" t="s">
        <v>284</v>
      </c>
      <c r="D9" s="12"/>
    </row>
    <row r="10" spans="1:30" ht="14.25" x14ac:dyDescent="0.2">
      <c r="A10" s="12"/>
      <c r="B10" s="12"/>
      <c r="C10" s="12"/>
      <c r="D10" s="12"/>
      <c r="E10" s="12"/>
    </row>
    <row r="11" spans="1:30" ht="15.75" x14ac:dyDescent="0.25">
      <c r="A11" s="314" t="str">
        <f>CONCATENATE("Дефектный акт ", IF(Source!AN15&lt;&gt;"", Source!AN15," "))</f>
        <v xml:space="preserve">Дефектный акт  </v>
      </c>
      <c r="B11" s="314"/>
      <c r="C11" s="314"/>
      <c r="D11" s="314"/>
      <c r="E11" s="12"/>
    </row>
    <row r="12" spans="1:30" ht="30" x14ac:dyDescent="0.25">
      <c r="A12" s="315" t="s">
        <v>4</v>
      </c>
      <c r="B12" s="315"/>
      <c r="C12" s="315"/>
      <c r="D12" s="315"/>
      <c r="E12" s="12"/>
      <c r="AD12" s="52" t="str">
        <f>CONCATENATE("На капитальный ремонт ", Source!F12, " ", Source!G12)</f>
        <v>На капитальный ремонт Новый объект Озеленение особо охраняемых природных территорий города Москвы в рамках программы "Наше дерево" в весенний период 2021 года</v>
      </c>
    </row>
    <row r="13" spans="1:30" ht="14.25" x14ac:dyDescent="0.2">
      <c r="A13" s="12"/>
      <c r="B13" s="12"/>
      <c r="C13" s="12"/>
      <c r="D13" s="12"/>
      <c r="E13" s="12"/>
    </row>
    <row r="14" spans="1:30" ht="15" x14ac:dyDescent="0.2">
      <c r="A14" s="12"/>
      <c r="B14" s="64"/>
      <c r="C14" s="12"/>
      <c r="D14" s="12"/>
      <c r="E14" s="12"/>
    </row>
    <row r="15" spans="1:30" ht="15" x14ac:dyDescent="0.2">
      <c r="A15" s="12"/>
      <c r="B15" s="64"/>
      <c r="C15" s="12"/>
      <c r="D15" s="12"/>
      <c r="E15" s="12"/>
    </row>
    <row r="16" spans="1:30" ht="15" x14ac:dyDescent="0.2">
      <c r="A16" s="12"/>
      <c r="B16" s="64"/>
      <c r="C16" s="12"/>
      <c r="D16" s="12"/>
      <c r="E16" s="12"/>
    </row>
    <row r="17" spans="1:31" ht="28.5" x14ac:dyDescent="0.2">
      <c r="A17" s="22" t="s">
        <v>258</v>
      </c>
      <c r="B17" s="22" t="s">
        <v>260</v>
      </c>
      <c r="C17" s="22" t="s">
        <v>285</v>
      </c>
      <c r="D17" s="22" t="s">
        <v>286</v>
      </c>
      <c r="E17" s="23" t="s">
        <v>287</v>
      </c>
    </row>
    <row r="18" spans="1:31" ht="14.25" x14ac:dyDescent="0.2">
      <c r="A18" s="54">
        <v>1</v>
      </c>
      <c r="B18" s="54">
        <v>2</v>
      </c>
      <c r="C18" s="54">
        <v>3</v>
      </c>
      <c r="D18" s="54">
        <v>4</v>
      </c>
      <c r="E18" s="55">
        <v>5</v>
      </c>
    </row>
    <row r="19" spans="1:31" s="124" customFormat="1" ht="39.75" customHeight="1" x14ac:dyDescent="0.2">
      <c r="A19" s="316" t="str">
        <f>CONCATENATE("Локальная смета № 1: ", Source!G20)</f>
        <v>Локальная смета № 1: Посадка деревьев с комом земли 1,5х1,5х0,65 м, 1,0х1,0х0,6 м, восстановление отпада и уходные работы</v>
      </c>
      <c r="B19" s="316"/>
      <c r="C19" s="316"/>
      <c r="D19" s="316"/>
      <c r="E19" s="316"/>
      <c r="AE19" s="125" t="str">
        <f>CONCATENATE("Локальная смета: ", Source!G20)</f>
        <v>Локальная смета: Посадка деревьев с комом земли 1,5х1,5х0,65 м, 1,0х1,0х0,6 м, восстановление отпада и уходные работы</v>
      </c>
    </row>
    <row r="20" spans="1:31" ht="16.5" x14ac:dyDescent="0.25">
      <c r="A20" s="312" t="str">
        <f>CONCATENATE("Раздел: ", Source!G24)</f>
        <v>Раздел: Посадка деревьев с комом земли 1,5х1,5х0,65 м - 4625 шт.</v>
      </c>
      <c r="B20" s="312"/>
      <c r="C20" s="312"/>
      <c r="D20" s="312"/>
      <c r="E20" s="312"/>
    </row>
    <row r="21" spans="1:31" ht="42.75" x14ac:dyDescent="0.2">
      <c r="A21" s="60" t="str">
        <f>Source!E28</f>
        <v>1</v>
      </c>
      <c r="B21" s="61" t="str">
        <f>Source!G28</f>
        <v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v>
      </c>
      <c r="C21" s="62" t="str">
        <f>Source!H28</f>
        <v>10 ям</v>
      </c>
      <c r="D21" s="63">
        <f>Source!I28</f>
        <v>346.875</v>
      </c>
      <c r="E21" s="61"/>
    </row>
    <row r="22" spans="1:31" ht="14.25" x14ac:dyDescent="0.2">
      <c r="A22" s="60" t="str">
        <f>Source!E29</f>
        <v>1,1</v>
      </c>
      <c r="B22" s="61" t="str">
        <f>Source!G29</f>
        <v>Земля растительная</v>
      </c>
      <c r="C22" s="62" t="str">
        <f>Source!H29</f>
        <v>м3</v>
      </c>
      <c r="D22" s="63">
        <f>Source!I29</f>
        <v>4856.25</v>
      </c>
      <c r="E22" s="61"/>
    </row>
    <row r="23" spans="1:31" ht="42.75" x14ac:dyDescent="0.2">
      <c r="A23" s="60" t="str">
        <f>Source!E30</f>
        <v>2</v>
      </c>
      <c r="B23" s="61" t="str">
        <f>Source!G30</f>
        <v>Подготовка стандартных посадочных мест вручную с квадратным комом земли размером 1,5х1,5х0,65 м с добавлением растительной земли до 50%</v>
      </c>
      <c r="C23" s="62" t="str">
        <f>Source!H30</f>
        <v>10 ям</v>
      </c>
      <c r="D23" s="63">
        <f>Source!I30</f>
        <v>115.625</v>
      </c>
      <c r="E23" s="61"/>
    </row>
    <row r="24" spans="1:31" ht="14.25" x14ac:dyDescent="0.2">
      <c r="A24" s="60" t="str">
        <f>Source!E31</f>
        <v>2,1</v>
      </c>
      <c r="B24" s="61" t="str">
        <f>Source!G31</f>
        <v>Земля растительная</v>
      </c>
      <c r="C24" s="62" t="str">
        <f>Source!H31</f>
        <v>м3</v>
      </c>
      <c r="D24" s="63">
        <f>Source!I31</f>
        <v>1618.75</v>
      </c>
      <c r="E24" s="61"/>
    </row>
    <row r="25" spans="1:31" ht="42.75" x14ac:dyDescent="0.2">
      <c r="A25" s="60" t="str">
        <f>Source!E32</f>
        <v>3</v>
      </c>
      <c r="B25" s="61" t="str">
        <f>Source!G32</f>
        <v>Посадка деревьев и кустарников с комом земли размером 1,5х1,5х0,65 м</v>
      </c>
      <c r="C25" s="62" t="str">
        <f>Source!H32</f>
        <v>10 деревьев или кустарников</v>
      </c>
      <c r="D25" s="63">
        <f>Source!I32</f>
        <v>462.5</v>
      </c>
      <c r="E25" s="61"/>
    </row>
    <row r="26" spans="1:31" ht="57" x14ac:dyDescent="0.2">
      <c r="A26" s="60" t="str">
        <f>Source!E33</f>
        <v>4</v>
      </c>
      <c r="B26" s="61" t="str">
        <f>Source!G33</f>
        <v>Разработка грунта с погрузкой на автомобили-самосвалы экскаваторами с ковшом вместимостью 0,5 м3 группа грунтов 1-3 (Объем грунта на 1 дерево: (5,18 м3 - 1,46 м3) х 50% + 1,46 м3 = 3,32 м3; Общий объем грунта: 3,32 м3/дер. х 4625 дер. = 15355,0 м3)</v>
      </c>
      <c r="C26" s="62" t="str">
        <f>Source!H33</f>
        <v>100 м3 грунта</v>
      </c>
      <c r="D26" s="63">
        <f>Source!I33</f>
        <v>153.55000000000001</v>
      </c>
      <c r="E26" s="61"/>
    </row>
    <row r="27" spans="1:31" ht="28.5" x14ac:dyDescent="0.2">
      <c r="A27" s="60" t="str">
        <f>Source!E34</f>
        <v>5</v>
      </c>
      <c r="B27" s="61" t="str">
        <f>Source!G34</f>
        <v>Планировка участка вручную (разравнивание грунта от разработки ям, толщина слоя 0,1 м)</v>
      </c>
      <c r="C27" s="62" t="str">
        <f>Source!H34</f>
        <v>100 м2</v>
      </c>
      <c r="D27" s="63">
        <f>Source!I34</f>
        <v>1535.5</v>
      </c>
      <c r="E27" s="61"/>
    </row>
    <row r="28" spans="1:31" ht="16.5" x14ac:dyDescent="0.25">
      <c r="A28" s="312" t="str">
        <f>CONCATENATE("Раздел: ", Source!G66)</f>
        <v>Раздел: Восстановление отпада деревьев с комом земли 1,5х1,5х0,65 м - 229 шт.</v>
      </c>
      <c r="B28" s="312"/>
      <c r="C28" s="312"/>
      <c r="D28" s="312"/>
      <c r="E28" s="312"/>
    </row>
    <row r="29" spans="1:31" ht="42.75" x14ac:dyDescent="0.2">
      <c r="A29" s="60" t="str">
        <f>Source!E70</f>
        <v>6</v>
      </c>
      <c r="B29" s="61" t="str">
        <f>Source!G70</f>
        <v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v>
      </c>
      <c r="C29" s="62" t="str">
        <f>Source!H70</f>
        <v>10 ям</v>
      </c>
      <c r="D29" s="63">
        <f>Source!I70</f>
        <v>17.175000000000001</v>
      </c>
      <c r="E29" s="61"/>
    </row>
    <row r="30" spans="1:31" ht="28.5" x14ac:dyDescent="0.2">
      <c r="A30" s="60" t="str">
        <f>Source!E71</f>
        <v>7</v>
      </c>
      <c r="B30" s="61" t="str">
        <f>Source!G71</f>
        <v>Подготовка стандартных посадочных мест вручную с квадратным комом земли размером 1,5х1,5х0,65 м в естественном грунте</v>
      </c>
      <c r="C30" s="62" t="str">
        <f>Source!H71</f>
        <v>10 ям</v>
      </c>
      <c r="D30" s="63">
        <f>Source!I71</f>
        <v>5.7249999999999996</v>
      </c>
      <c r="E30" s="61"/>
    </row>
    <row r="31" spans="1:31" ht="42.75" x14ac:dyDescent="0.2">
      <c r="A31" s="60" t="str">
        <f>Source!E72</f>
        <v>8</v>
      </c>
      <c r="B31" s="61" t="str">
        <f>Source!G72</f>
        <v>Посадка деревьев и кустарников с комом земли размером 1,5х1,5х0,65 м</v>
      </c>
      <c r="C31" s="62" t="str">
        <f>Source!H72</f>
        <v>10 деревьев или кустарников</v>
      </c>
      <c r="D31" s="63">
        <f>Source!I72</f>
        <v>22.9</v>
      </c>
      <c r="E31" s="61"/>
    </row>
    <row r="32" spans="1:31" ht="16.5" x14ac:dyDescent="0.25">
      <c r="A32" s="312" t="str">
        <f>CONCATENATE("Раздел: ", Source!G104)</f>
        <v>Раздел: Уход за деревьями с комом земли 1,5х1,5х0,65 м - 4625 шт.</v>
      </c>
      <c r="B32" s="312"/>
      <c r="C32" s="312"/>
      <c r="D32" s="312"/>
      <c r="E32" s="312"/>
    </row>
    <row r="33" spans="1:5" ht="42.75" x14ac:dyDescent="0.2">
      <c r="A33" s="60" t="str">
        <f>Source!E108</f>
        <v>9</v>
      </c>
      <c r="B33" s="61" t="str">
        <f>Source!G108</f>
        <v>Полив зеленых насаждений из шланга поливомоечной машины (К=4)</v>
      </c>
      <c r="C33" s="62" t="str">
        <f>Source!H108</f>
        <v>1 м3 выливаемой воды</v>
      </c>
      <c r="D33" s="63">
        <f>Source!I108</f>
        <v>799.2</v>
      </c>
      <c r="E33" s="61"/>
    </row>
    <row r="34" spans="1:5" ht="42.75" x14ac:dyDescent="0.2">
      <c r="A34" s="60" t="str">
        <f>Source!E109</f>
        <v>10</v>
      </c>
      <c r="B34" s="61" t="str">
        <f>Source!G109</f>
        <v>Прополка и рыхление лунок или канавок (К=4)</v>
      </c>
      <c r="C34" s="62" t="str">
        <f>Source!H109</f>
        <v>100 м2 площади лунок или канавок</v>
      </c>
      <c r="D34" s="63">
        <f>Source!I109</f>
        <v>266.39999999999998</v>
      </c>
      <c r="E34" s="61"/>
    </row>
    <row r="35" spans="1:5" ht="16.5" x14ac:dyDescent="0.25">
      <c r="A35" s="312" t="str">
        <f>CONCATENATE("Раздел: ", Source!G141)</f>
        <v>Раздел: Посадка деревьев с комом земли 1,0х1,0х0,6 м - 91 шт.</v>
      </c>
      <c r="B35" s="312"/>
      <c r="C35" s="312"/>
      <c r="D35" s="312"/>
      <c r="E35" s="312"/>
    </row>
    <row r="36" spans="1:5" ht="42.75" x14ac:dyDescent="0.2">
      <c r="A36" s="60" t="str">
        <f>Source!E145</f>
        <v>11</v>
      </c>
      <c r="B36" s="61" t="str">
        <f>Source!G145</f>
        <v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v>
      </c>
      <c r="C36" s="62" t="str">
        <f>Source!H145</f>
        <v>10 ям</v>
      </c>
      <c r="D36" s="63">
        <f>Source!I145</f>
        <v>6.8250000000000002</v>
      </c>
      <c r="E36" s="61"/>
    </row>
    <row r="37" spans="1:5" ht="14.25" x14ac:dyDescent="0.2">
      <c r="A37" s="60" t="str">
        <f>Source!E146</f>
        <v>11,1</v>
      </c>
      <c r="B37" s="61" t="str">
        <f>Source!G146</f>
        <v>Земля растительная</v>
      </c>
      <c r="C37" s="62" t="str">
        <f>Source!H146</f>
        <v>м3</v>
      </c>
      <c r="D37" s="63">
        <f>Source!I146</f>
        <v>63.1995</v>
      </c>
      <c r="E37" s="61"/>
    </row>
    <row r="38" spans="1:5" ht="28.5" x14ac:dyDescent="0.2">
      <c r="A38" s="60" t="str">
        <f>Source!E147</f>
        <v>12</v>
      </c>
      <c r="B38" s="61" t="str">
        <f>Source!G147</f>
        <v>Подготовка стандартных посадочных мест вручную с квадратным комом земли размером 1,0х1,0х0,6 м с добавлением растительной земли 50%</v>
      </c>
      <c r="C38" s="62" t="str">
        <f>Source!H147</f>
        <v>10 ям</v>
      </c>
      <c r="D38" s="63">
        <f>Source!I147</f>
        <v>2.2749999999999999</v>
      </c>
      <c r="E38" s="61"/>
    </row>
    <row r="39" spans="1:5" ht="14.25" x14ac:dyDescent="0.2">
      <c r="A39" s="60" t="str">
        <f>Source!E148</f>
        <v>12,1</v>
      </c>
      <c r="B39" s="61" t="str">
        <f>Source!G148</f>
        <v>Земля растительная</v>
      </c>
      <c r="C39" s="62" t="str">
        <f>Source!H148</f>
        <v>м3</v>
      </c>
      <c r="D39" s="63">
        <f>Source!I148</f>
        <v>21.066500000000001</v>
      </c>
      <c r="E39" s="61"/>
    </row>
    <row r="40" spans="1:5" ht="42.75" x14ac:dyDescent="0.2">
      <c r="A40" s="60" t="str">
        <f>Source!E149</f>
        <v>13</v>
      </c>
      <c r="B40" s="61" t="str">
        <f>Source!G149</f>
        <v>Посадка деревьев и кустарников с комом земли размером 1,0х1,0х0,6 м</v>
      </c>
      <c r="C40" s="62" t="str">
        <f>Source!H149</f>
        <v>10 деревьев или кустарников</v>
      </c>
      <c r="D40" s="63">
        <f>Source!I149</f>
        <v>9.1</v>
      </c>
      <c r="E40" s="61"/>
    </row>
    <row r="41" spans="1:5" ht="57" x14ac:dyDescent="0.2">
      <c r="A41" s="60" t="str">
        <f>Source!E150</f>
        <v>14</v>
      </c>
      <c r="B41" s="61" t="str">
        <f>Source!G150</f>
        <v>Разработка грунта с погрузкой на автомобили-самосвалы экскаваторами с ковшом вместимостью 0,5 м3 группа грунтов 1-3 (Объем грунта на 1 дерево: (3,07 м3 - 0,6 м3) х 50% + 0,6 м3 = 1,835 м3; Общий объем грунта: 1,835 м3/дер. х 91 дер. = 166,985 м3)</v>
      </c>
      <c r="C41" s="62" t="str">
        <f>Source!H150</f>
        <v>100 м3 грунта</v>
      </c>
      <c r="D41" s="63">
        <f>Source!I150</f>
        <v>1.6698500000000001</v>
      </c>
      <c r="E41" s="61"/>
    </row>
    <row r="42" spans="1:5" ht="28.5" x14ac:dyDescent="0.2">
      <c r="A42" s="60" t="str">
        <f>Source!E151</f>
        <v>15</v>
      </c>
      <c r="B42" s="61" t="str">
        <f>Source!G151</f>
        <v>Планировка участка вручную (разравнивание грунта от разработки ям, толщина слоя 0,1 м)</v>
      </c>
      <c r="C42" s="62" t="str">
        <f>Source!H151</f>
        <v>100 м2</v>
      </c>
      <c r="D42" s="63">
        <f>Source!I151</f>
        <v>16.698499999999999</v>
      </c>
      <c r="E42" s="61"/>
    </row>
    <row r="43" spans="1:5" ht="16.5" x14ac:dyDescent="0.25">
      <c r="A43" s="312" t="str">
        <f>CONCATENATE("Раздел: ", Source!G183)</f>
        <v>Раздел: Восстановление отпада деревьев с комом земли 1,0х1,0х0,6 м - 4 шт.</v>
      </c>
      <c r="B43" s="312"/>
      <c r="C43" s="312"/>
      <c r="D43" s="312"/>
      <c r="E43" s="312"/>
    </row>
    <row r="44" spans="1:5" ht="42.75" x14ac:dyDescent="0.2">
      <c r="A44" s="60" t="str">
        <f>Source!E187</f>
        <v>16</v>
      </c>
      <c r="B44" s="61" t="str">
        <f>Source!G187</f>
        <v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v>
      </c>
      <c r="C44" s="62" t="str">
        <f>Source!H187</f>
        <v>10 ям</v>
      </c>
      <c r="D44" s="63">
        <f>Source!I187</f>
        <v>0.3</v>
      </c>
      <c r="E44" s="61"/>
    </row>
    <row r="45" spans="1:5" ht="28.5" x14ac:dyDescent="0.2">
      <c r="A45" s="60" t="str">
        <f>Source!E188</f>
        <v>17</v>
      </c>
      <c r="B45" s="61" t="str">
        <f>Source!G188</f>
        <v>Подготовка стандартных посадочных мест вручную с квадратным комом земли размером 1,0х1,0х0,6 м в естественном грунте</v>
      </c>
      <c r="C45" s="62" t="str">
        <f>Source!H188</f>
        <v>10 ям</v>
      </c>
      <c r="D45" s="63">
        <f>Source!I188</f>
        <v>0.1</v>
      </c>
      <c r="E45" s="61"/>
    </row>
    <row r="46" spans="1:5" ht="42.75" x14ac:dyDescent="0.2">
      <c r="A46" s="60" t="str">
        <f>Source!E189</f>
        <v>18</v>
      </c>
      <c r="B46" s="61" t="str">
        <f>Source!G189</f>
        <v>Посадка деревьев и кустарников с комом земли размером 1,0х1,0х0,6 м</v>
      </c>
      <c r="C46" s="62" t="str">
        <f>Source!H189</f>
        <v>10 деревьев или кустарников</v>
      </c>
      <c r="D46" s="63">
        <f>Source!I189</f>
        <v>0.4</v>
      </c>
      <c r="E46" s="61"/>
    </row>
    <row r="47" spans="1:5" ht="16.5" x14ac:dyDescent="0.25">
      <c r="A47" s="312" t="str">
        <f>CONCATENATE("Раздел: ", Source!G221)</f>
        <v>Раздел: Уход за деревьями с комом 1,0х1,0х0,6 м - 91 шт.</v>
      </c>
      <c r="B47" s="312"/>
      <c r="C47" s="312"/>
      <c r="D47" s="312"/>
      <c r="E47" s="312"/>
    </row>
    <row r="48" spans="1:5" ht="42.75" x14ac:dyDescent="0.2">
      <c r="A48" s="60" t="str">
        <f>Source!E225</f>
        <v>19</v>
      </c>
      <c r="B48" s="61" t="str">
        <f>Source!G225</f>
        <v>Полив зеленых насаждений из шланга поливомоечной машины (К=4)</v>
      </c>
      <c r="C48" s="62" t="str">
        <f>Source!H225</f>
        <v>1 м3 выливаемой воды</v>
      </c>
      <c r="D48" s="63">
        <f>Source!I225</f>
        <v>9.8552999999999997</v>
      </c>
      <c r="E48" s="61"/>
    </row>
    <row r="49" spans="1:31" ht="42.75" x14ac:dyDescent="0.2">
      <c r="A49" s="60" t="str">
        <f>Source!E226</f>
        <v>20</v>
      </c>
      <c r="B49" s="61" t="str">
        <f>Source!G226</f>
        <v>Прополка и рыхление лунок или канавок (К=4)</v>
      </c>
      <c r="C49" s="62" t="str">
        <f>Source!H226</f>
        <v>100 м2 площади лунок или канавок</v>
      </c>
      <c r="D49" s="63">
        <f>Source!I226</f>
        <v>3.2850999999999999</v>
      </c>
      <c r="E49" s="61"/>
    </row>
    <row r="50" spans="1:31" s="124" customFormat="1" ht="39.75" customHeight="1" x14ac:dyDescent="0.2">
      <c r="A50" s="316" t="str">
        <f>CONCATENATE("Локальная смета № 2: ", Source!G290)</f>
        <v>Локальная смета № 2: Затраты на перевозку отходов строительства и сноса, в т.ч. грунта, автотранспортными средствами</v>
      </c>
      <c r="B50" s="316"/>
      <c r="C50" s="316"/>
      <c r="D50" s="316"/>
      <c r="E50" s="316"/>
      <c r="AE50" s="125" t="str">
        <f>CONCATENATE("Локальная смета: ", Source!G290)</f>
        <v>Локальная смета: Затраты на перевозку отходов строительства и сноса, в т.ч. грунта, автотранспортными средствами</v>
      </c>
    </row>
    <row r="51" spans="1:31" ht="16.5" x14ac:dyDescent="0.25">
      <c r="A51" s="312" t="str">
        <f>CONCATENATE("Раздел: ", Source!G294)</f>
        <v>Раздел: Посадка деревьев с комом земли 1,5х1,5х0,65 м - 4625 шт.</v>
      </c>
      <c r="B51" s="312"/>
      <c r="C51" s="312"/>
      <c r="D51" s="312"/>
      <c r="E51" s="312"/>
    </row>
    <row r="52" spans="1:31" ht="28.5" x14ac:dyDescent="0.2">
      <c r="A52" s="60" t="str">
        <f>Source!E298</f>
        <v>21</v>
      </c>
      <c r="B52" s="61" t="str">
        <f>Source!G298</f>
        <v>Перевозка грунтов растительного слоя и торфов на расстояние до 1 км автосамосвалами грузоподъемностью до 20 т</v>
      </c>
      <c r="C52" s="62" t="str">
        <f>Source!H298</f>
        <v>т</v>
      </c>
      <c r="D52" s="63">
        <f>Source!I298</f>
        <v>21497</v>
      </c>
      <c r="E52" s="61"/>
    </row>
    <row r="53" spans="1:31" ht="16.5" x14ac:dyDescent="0.25">
      <c r="A53" s="312" t="str">
        <f>CONCATENATE("Раздел: ", Source!G330)</f>
        <v>Раздел: Посадка деревьев с комом земли 1,0х1,0х0,6 м - 91 шт.</v>
      </c>
      <c r="B53" s="312"/>
      <c r="C53" s="312"/>
      <c r="D53" s="312"/>
      <c r="E53" s="312"/>
    </row>
    <row r="54" spans="1:31" ht="28.5" x14ac:dyDescent="0.2">
      <c r="A54" s="60" t="str">
        <f>Source!E334</f>
        <v>22</v>
      </c>
      <c r="B54" s="61" t="str">
        <f>Source!G334</f>
        <v>Перевозка грунтов растительного слоя и торфов на расстояние до 1 км автосамосвалами грузоподъемностью до 20 т</v>
      </c>
      <c r="C54" s="62" t="str">
        <f>Source!H334</f>
        <v>т</v>
      </c>
      <c r="D54" s="63">
        <f>Source!I334</f>
        <v>233.779</v>
      </c>
      <c r="E54" s="61"/>
    </row>
    <row r="55" spans="1:31" s="124" customFormat="1" ht="49.5" x14ac:dyDescent="0.2">
      <c r="A55" s="316" t="str">
        <f>CONCATENATE("Локальная смета № 3: ", Source!G396)</f>
        <v>Локальная смета № 3: 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  <c r="B55" s="316"/>
      <c r="C55" s="316"/>
      <c r="D55" s="316"/>
      <c r="E55" s="316"/>
      <c r="AE55" s="125" t="str">
        <f>CONCATENATE("Локальная смета: ", Source!G396)</f>
        <v>Локальная смета: 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</row>
    <row r="56" spans="1:31" ht="16.5" x14ac:dyDescent="0.25">
      <c r="A56" s="312" t="str">
        <f>CONCATENATE("Раздел: ", Source!G400)</f>
        <v>Раздел: Стоимость деревьев для посадки</v>
      </c>
      <c r="B56" s="312"/>
      <c r="C56" s="312"/>
      <c r="D56" s="312"/>
      <c r="E56" s="312"/>
    </row>
    <row r="57" spans="1:31" ht="14.25" x14ac:dyDescent="0.2">
      <c r="A57" s="60" t="str">
        <f>Source!E404</f>
        <v>23</v>
      </c>
      <c r="B57" s="61" t="str">
        <f>Source!G404</f>
        <v>Груша плодовая с комом 1,5х1,5х0,65 м (или эквивалент)</v>
      </c>
      <c r="C57" s="62" t="str">
        <f>Source!H404</f>
        <v>шт.</v>
      </c>
      <c r="D57" s="63">
        <f>Source!I404</f>
        <v>47</v>
      </c>
      <c r="E57" s="61"/>
    </row>
    <row r="58" spans="1:31" ht="14.25" x14ac:dyDescent="0.2">
      <c r="A58" s="60" t="str">
        <f>Source!E406</f>
        <v>24</v>
      </c>
      <c r="B58" s="61" t="str">
        <f>Source!G406</f>
        <v>Ива белая с комом 1,5х1,5х0,65 м (или эквивалент)</v>
      </c>
      <c r="C58" s="62" t="str">
        <f>Source!H406</f>
        <v>шт.</v>
      </c>
      <c r="D58" s="63">
        <f>Source!I406</f>
        <v>656</v>
      </c>
      <c r="E58" s="61"/>
    </row>
    <row r="59" spans="1:31" ht="14.25" x14ac:dyDescent="0.2">
      <c r="A59" s="60" t="str">
        <f>Source!E407</f>
        <v>25</v>
      </c>
      <c r="B59" s="61" t="str">
        <f>Source!G407</f>
        <v>Клен остролистный 1,5х1,5х0,65 м (или эквивалент)</v>
      </c>
      <c r="C59" s="62" t="str">
        <f>Source!H407</f>
        <v>шт.</v>
      </c>
      <c r="D59" s="63">
        <f>Source!I407</f>
        <v>590</v>
      </c>
      <c r="E59" s="61"/>
    </row>
    <row r="60" spans="1:31" ht="14.25" x14ac:dyDescent="0.2">
      <c r="A60" s="60" t="str">
        <f>Source!E408</f>
        <v>26</v>
      </c>
      <c r="B60" s="61" t="str">
        <f>Source!G408</f>
        <v>Липа мелколистная с комом 1,5х1,5х0,65 м (или эквивалент)</v>
      </c>
      <c r="C60" s="62" t="str">
        <f>Source!H408</f>
        <v>шт.</v>
      </c>
      <c r="D60" s="63">
        <f>Source!I408</f>
        <v>2646</v>
      </c>
      <c r="E60" s="61"/>
    </row>
    <row r="61" spans="1:31" ht="14.25" x14ac:dyDescent="0.2">
      <c r="A61" s="60" t="str">
        <f>Source!E409</f>
        <v>27</v>
      </c>
      <c r="B61" s="61" t="str">
        <f>Source!G409</f>
        <v>Рябина обыкновенная 1,5х1,5х0,65 м (или эквивалент)</v>
      </c>
      <c r="C61" s="62" t="str">
        <f>Source!H409</f>
        <v>шт.</v>
      </c>
      <c r="D61" s="63">
        <f>Source!I409</f>
        <v>362</v>
      </c>
      <c r="E61" s="61"/>
    </row>
    <row r="62" spans="1:31" ht="14.25" x14ac:dyDescent="0.2">
      <c r="A62" s="60" t="str">
        <f>Source!E410</f>
        <v>28</v>
      </c>
      <c r="B62" s="61" t="str">
        <f>Source!G410</f>
        <v>Сосна обыкновенная с комом 1,5х1,5х0,65 м (или эквивалент)</v>
      </c>
      <c r="C62" s="62" t="str">
        <f>Source!H410</f>
        <v>шт.</v>
      </c>
      <c r="D62" s="63">
        <f>Source!I410</f>
        <v>307</v>
      </c>
      <c r="E62" s="61"/>
    </row>
    <row r="63" spans="1:31" ht="14.25" x14ac:dyDescent="0.2">
      <c r="A63" s="60" t="str">
        <f>Source!E411</f>
        <v>29</v>
      </c>
      <c r="B63" s="61" t="str">
        <f>Source!G411</f>
        <v>Яблоня домашняя с комом 1,0х1,0х0,6 м (или эквивалент)</v>
      </c>
      <c r="C63" s="62" t="str">
        <f>Source!H411</f>
        <v>шт.</v>
      </c>
      <c r="D63" s="63">
        <f>Source!I411</f>
        <v>63</v>
      </c>
      <c r="E63" s="61"/>
    </row>
    <row r="64" spans="1:31" ht="16.5" x14ac:dyDescent="0.25">
      <c r="A64" s="312" t="str">
        <f>CONCATENATE("Раздел: ", Source!G444)</f>
        <v>Раздел: Стоимость деревьев для восстановления отпада</v>
      </c>
      <c r="B64" s="312"/>
      <c r="C64" s="312"/>
      <c r="D64" s="312"/>
      <c r="E64" s="312"/>
    </row>
    <row r="65" spans="1:5" ht="14.25" x14ac:dyDescent="0.2">
      <c r="A65" s="60" t="str">
        <f>Source!E448</f>
        <v>30</v>
      </c>
      <c r="B65" s="61" t="str">
        <f>Source!G448</f>
        <v>Груша плодовая с комом 1,5х1,5х0,65 м (или эквивалент)</v>
      </c>
      <c r="C65" s="62" t="str">
        <f>Source!H448</f>
        <v>шт.</v>
      </c>
      <c r="D65" s="63">
        <f>Source!I448</f>
        <v>3</v>
      </c>
      <c r="E65" s="61"/>
    </row>
    <row r="66" spans="1:5" ht="14.25" x14ac:dyDescent="0.2">
      <c r="A66" s="60" t="str">
        <f>Source!E449</f>
        <v>31</v>
      </c>
      <c r="B66" s="61" t="str">
        <f>Source!G449</f>
        <v>Ива белая с комом 1,5х1,5х0,65 м (или эквивалент)</v>
      </c>
      <c r="C66" s="62" t="str">
        <f>Source!H449</f>
        <v>шт.</v>
      </c>
      <c r="D66" s="63">
        <f>Source!I449</f>
        <v>32</v>
      </c>
      <c r="E66" s="61"/>
    </row>
    <row r="67" spans="1:5" ht="14.25" x14ac:dyDescent="0.2">
      <c r="A67" s="60" t="str">
        <f>Source!E450</f>
        <v>32</v>
      </c>
      <c r="B67" s="61" t="str">
        <f>Source!G450</f>
        <v>Клен остролистный 1,5х1,5х0,65 м (или эквивалент)</v>
      </c>
      <c r="C67" s="62" t="str">
        <f>Source!H450</f>
        <v>шт.</v>
      </c>
      <c r="D67" s="63">
        <f>Source!I450</f>
        <v>29</v>
      </c>
      <c r="E67" s="61"/>
    </row>
    <row r="68" spans="1:5" ht="14.25" x14ac:dyDescent="0.2">
      <c r="A68" s="60" t="str">
        <f>Source!E451</f>
        <v>33</v>
      </c>
      <c r="B68" s="61" t="str">
        <f>Source!G451</f>
        <v>Липа мелколистная с комом 1,5х1,5х0,65 м (или эквивалент)</v>
      </c>
      <c r="C68" s="62" t="str">
        <f>Source!H451</f>
        <v>шт.</v>
      </c>
      <c r="D68" s="63">
        <f>Source!I451</f>
        <v>132</v>
      </c>
      <c r="E68" s="61"/>
    </row>
    <row r="69" spans="1:5" ht="14.25" x14ac:dyDescent="0.2">
      <c r="A69" s="60" t="str">
        <f>Source!E452</f>
        <v>34</v>
      </c>
      <c r="B69" s="61" t="str">
        <f>Source!G452</f>
        <v>Рябина обыкновенная 1,5х1,5х0,65 м (или эквивалент)</v>
      </c>
      <c r="C69" s="62" t="str">
        <f>Source!H452</f>
        <v>шт.</v>
      </c>
      <c r="D69" s="63">
        <f>Source!I452</f>
        <v>18</v>
      </c>
      <c r="E69" s="61"/>
    </row>
    <row r="70" spans="1:5" ht="14.25" x14ac:dyDescent="0.2">
      <c r="A70" s="60" t="str">
        <f>Source!E453</f>
        <v>35</v>
      </c>
      <c r="B70" s="61" t="str">
        <f>Source!G453</f>
        <v>Сосна обыкновенная с комом 1,5х1,5х0,65 м (или эквивалент)</v>
      </c>
      <c r="C70" s="62" t="str">
        <f>Source!H453</f>
        <v>шт.</v>
      </c>
      <c r="D70" s="63">
        <f>Source!I453</f>
        <v>15</v>
      </c>
      <c r="E70" s="61"/>
    </row>
    <row r="71" spans="1:5" ht="14.25" x14ac:dyDescent="0.2">
      <c r="A71" s="56" t="str">
        <f>Source!E454</f>
        <v>36</v>
      </c>
      <c r="B71" s="57" t="str">
        <f>Source!G454</f>
        <v>Яблоня домашняя с комом 1,0х1,0х0,6 м (или эквивалент)</v>
      </c>
      <c r="C71" s="58" t="str">
        <f>Source!H454</f>
        <v>шт.</v>
      </c>
      <c r="D71" s="59">
        <f>Source!I454</f>
        <v>4</v>
      </c>
      <c r="E71" s="57"/>
    </row>
    <row r="74" spans="1:5" ht="15" x14ac:dyDescent="0.25">
      <c r="A74" s="20"/>
      <c r="B74" s="20" t="s">
        <v>290</v>
      </c>
      <c r="C74" s="20"/>
      <c r="D74" s="20"/>
      <c r="E74" s="12"/>
    </row>
  </sheetData>
  <mergeCells count="17">
    <mergeCell ref="A51:E51"/>
    <mergeCell ref="A53:E53"/>
    <mergeCell ref="A55:E55"/>
    <mergeCell ref="A56:E56"/>
    <mergeCell ref="A64:E64"/>
    <mergeCell ref="A50:E50"/>
    <mergeCell ref="C5:D5"/>
    <mergeCell ref="C7:D7"/>
    <mergeCell ref="A11:D11"/>
    <mergeCell ref="A12:D12"/>
    <mergeCell ref="A19:E19"/>
    <mergeCell ref="A20:E20"/>
    <mergeCell ref="A28:E28"/>
    <mergeCell ref="A32:E32"/>
    <mergeCell ref="A35:E35"/>
    <mergeCell ref="A43:E43"/>
    <mergeCell ref="A47:E47"/>
  </mergeCells>
  <pageMargins left="0.4" right="0.2" top="0.4" bottom="0.4" header="0.2" footer="0.2"/>
  <pageSetup paperSize="9" scale="77" fitToHeight="0" orientation="portrait" verticalDpi="0" r:id="rId1"/>
  <headerFooter>
    <oddHeader>&amp;L&amp;8ГКУ г. Москвы "Дирекция Мосприроды"  Доп. раб. место  MCCS-0026850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8"/>
  <sheetViews>
    <sheetView zoomScaleNormal="100" workbookViewId="0">
      <selection activeCell="A7" sqref="A7"/>
    </sheetView>
  </sheetViews>
  <sheetFormatPr defaultRowHeight="12.75" x14ac:dyDescent="0.2"/>
  <cols>
    <col min="1" max="1" width="6.7109375" customWidth="1"/>
    <col min="2" max="2" width="15.7109375" customWidth="1"/>
    <col min="3" max="3" width="45.7109375" customWidth="1"/>
    <col min="4" max="6" width="12.7109375" customWidth="1"/>
    <col min="7" max="7" width="18" customWidth="1"/>
    <col min="27" max="27" width="117.7109375" customWidth="1"/>
  </cols>
  <sheetData>
    <row r="1" spans="1:27" x14ac:dyDescent="0.2">
      <c r="A1" s="9" t="str">
        <f>Source!B1</f>
        <v>Smeta.RU  (495) 974-1589</v>
      </c>
    </row>
    <row r="2" spans="1:27" ht="14.25" x14ac:dyDescent="0.2">
      <c r="A2" s="12"/>
      <c r="B2" s="12"/>
      <c r="C2" s="12"/>
      <c r="D2" s="12"/>
      <c r="E2" s="12"/>
      <c r="F2" s="12"/>
      <c r="G2" s="12"/>
    </row>
    <row r="3" spans="1:27" ht="31.5" x14ac:dyDescent="0.25">
      <c r="A3" s="285" t="str">
        <f>IF(Source!G12&lt;&gt;"Новый объект", Source!G12, "")</f>
        <v>Озеленение особо охраняемых природных территорий города Москвы в рамках программы "Наше дерево" в весенний период 2021 года</v>
      </c>
      <c r="B3" s="285"/>
      <c r="C3" s="285"/>
      <c r="D3" s="285"/>
      <c r="E3" s="285"/>
      <c r="F3" s="285"/>
      <c r="G3" s="285"/>
      <c r="AA3" s="24" t="str">
        <f>IF(Source!G12&lt;&gt;"Новый объект", Source!G12, "")</f>
        <v>Озеленение особо охраняемых природных территорий города Москвы в рамках программы "Наше дерево" в весенний период 2021 года</v>
      </c>
    </row>
    <row r="4" spans="1:27" x14ac:dyDescent="0.2">
      <c r="A4" s="318" t="s">
        <v>246</v>
      </c>
      <c r="B4" s="318"/>
      <c r="C4" s="318"/>
      <c r="D4" s="318"/>
      <c r="E4" s="318"/>
      <c r="F4" s="318"/>
      <c r="G4" s="318"/>
    </row>
    <row r="5" spans="1:27" ht="14.25" x14ac:dyDescent="0.2">
      <c r="A5" s="12"/>
      <c r="B5" s="12"/>
      <c r="C5" s="12"/>
      <c r="D5" s="12"/>
      <c r="E5" s="12"/>
      <c r="F5" s="12"/>
      <c r="G5" s="12"/>
    </row>
    <row r="6" spans="1:27" ht="15.75" x14ac:dyDescent="0.25">
      <c r="A6" s="319" t="str">
        <f>CONCATENATE("ЛОКАЛЬНАЯ РЕСУРСНАЯ ВЕДОМОСТЬ № 1",IF(Source!F20&lt;&gt;"Новая локальная смета", Source!F20, ""))</f>
        <v>ЛОКАЛЬНАЯ РЕСУРСНАЯ ВЕДОМОСТЬ № 1</v>
      </c>
      <c r="B6" s="320"/>
      <c r="C6" s="320"/>
      <c r="D6" s="320"/>
      <c r="E6" s="320"/>
      <c r="F6" s="320"/>
      <c r="G6" s="320"/>
    </row>
    <row r="7" spans="1:27" ht="14.25" x14ac:dyDescent="0.2">
      <c r="A7" s="12"/>
      <c r="B7" s="12"/>
      <c r="C7" s="12"/>
      <c r="D7" s="12"/>
      <c r="E7" s="12"/>
      <c r="F7" s="12"/>
      <c r="G7" s="12"/>
    </row>
    <row r="8" spans="1:27" ht="36" x14ac:dyDescent="0.25">
      <c r="A8" s="287" t="str">
        <f>IF(Source!G20&lt;&gt;"Новая локальная смета", Source!G20, "")</f>
        <v>Посадка деревьев с комом земли 1,5х1,5х0,65 м, 1,0х1,0х0,6 м, восстановление отпада и уходные работы</v>
      </c>
      <c r="B8" s="287"/>
      <c r="C8" s="287"/>
      <c r="D8" s="287"/>
      <c r="E8" s="287"/>
      <c r="F8" s="287"/>
      <c r="G8" s="287"/>
      <c r="AA8" s="25" t="str">
        <f>IF(Source!G20&lt;&gt;"Новая локальная смета", Source!G20, "")</f>
        <v>Посадка деревьев с комом земли 1,5х1,5х0,65 м, 1,0х1,0х0,6 м, восстановление отпада и уходные работы</v>
      </c>
    </row>
    <row r="9" spans="1:27" x14ac:dyDescent="0.2">
      <c r="A9" s="288" t="s">
        <v>247</v>
      </c>
      <c r="B9" s="289"/>
      <c r="C9" s="289"/>
      <c r="D9" s="289"/>
      <c r="E9" s="289"/>
      <c r="F9" s="289"/>
      <c r="G9" s="289"/>
    </row>
    <row r="10" spans="1:27" ht="14.25" x14ac:dyDescent="0.2">
      <c r="A10" s="12"/>
      <c r="B10" s="12"/>
      <c r="C10" s="12"/>
      <c r="D10" s="12"/>
      <c r="E10" s="12"/>
      <c r="F10" s="12"/>
      <c r="G10" s="12"/>
    </row>
    <row r="11" spans="1:27" ht="14.25" x14ac:dyDescent="0.2">
      <c r="A11" s="321" t="s">
        <v>248</v>
      </c>
      <c r="B11" s="321"/>
      <c r="C11" s="67" t="str">
        <f>Source!J20</f>
        <v/>
      </c>
      <c r="D11" s="67"/>
      <c r="E11" s="67"/>
      <c r="F11" s="67"/>
      <c r="G11" s="67"/>
    </row>
    <row r="12" spans="1:27" ht="14.25" x14ac:dyDescent="0.2">
      <c r="A12" s="17"/>
      <c r="B12" s="17"/>
      <c r="C12" s="17"/>
      <c r="D12" s="17"/>
      <c r="E12" s="17"/>
      <c r="F12" s="17"/>
      <c r="G12" s="17"/>
    </row>
    <row r="13" spans="1:27" ht="14.25" x14ac:dyDescent="0.2">
      <c r="A13" s="12"/>
      <c r="B13" s="12"/>
      <c r="C13" s="12"/>
      <c r="D13" s="12"/>
      <c r="E13" s="12"/>
      <c r="F13" s="14"/>
      <c r="G13" s="14"/>
    </row>
    <row r="14" spans="1:27" ht="14.25" x14ac:dyDescent="0.2">
      <c r="A14" s="12" t="s">
        <v>269</v>
      </c>
      <c r="B14" s="12"/>
      <c r="C14" s="12"/>
      <c r="D14" s="12"/>
      <c r="E14" s="12"/>
      <c r="F14" s="14"/>
      <c r="G14" s="14"/>
    </row>
    <row r="15" spans="1:27" ht="57" x14ac:dyDescent="0.2">
      <c r="A15" s="22" t="s">
        <v>258</v>
      </c>
      <c r="B15" s="22" t="s">
        <v>291</v>
      </c>
      <c r="C15" s="22" t="s">
        <v>292</v>
      </c>
      <c r="D15" s="22" t="s">
        <v>285</v>
      </c>
      <c r="E15" s="22" t="s">
        <v>293</v>
      </c>
      <c r="F15" s="23" t="s">
        <v>294</v>
      </c>
      <c r="G15" s="23" t="s">
        <v>295</v>
      </c>
    </row>
    <row r="16" spans="1:27" ht="14.25" x14ac:dyDescent="0.2">
      <c r="A16" s="22">
        <v>1</v>
      </c>
      <c r="B16" s="22">
        <v>2</v>
      </c>
      <c r="C16" s="22">
        <v>3</v>
      </c>
      <c r="D16" s="22">
        <v>4</v>
      </c>
      <c r="E16" s="22">
        <v>5</v>
      </c>
      <c r="F16" s="22">
        <v>6</v>
      </c>
      <c r="G16" s="22">
        <v>7</v>
      </c>
    </row>
    <row r="17" spans="1:7" ht="16.5" x14ac:dyDescent="0.25">
      <c r="A17" s="317" t="str">
        <f>Source!G24</f>
        <v>Посадка деревьев с комом земли 1,5х1,5х0,65 м - 4625 шт.</v>
      </c>
      <c r="B17" s="317"/>
      <c r="C17" s="317"/>
      <c r="D17" s="317"/>
      <c r="E17" s="317"/>
      <c r="F17" s="317"/>
      <c r="G17" s="317"/>
    </row>
    <row r="18" spans="1:7" ht="71.25" x14ac:dyDescent="0.25">
      <c r="A18" s="68" t="str">
        <f>Source!E28</f>
        <v>1</v>
      </c>
      <c r="B18" s="69" t="str">
        <f>Source!F28</f>
        <v>3.47-3-23</v>
      </c>
      <c r="C18" s="56" t="str">
        <f>Source!G28</f>
        <v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v>
      </c>
      <c r="D18" s="71" t="str">
        <f>Source!H28</f>
        <v>10 ям</v>
      </c>
      <c r="E18" s="70"/>
      <c r="F18" s="58"/>
      <c r="G18" s="72">
        <f>Source!I28</f>
        <v>346.875</v>
      </c>
    </row>
    <row r="19" spans="1:7" x14ac:dyDescent="0.2">
      <c r="A19" s="73"/>
      <c r="B19" s="73"/>
      <c r="C19" s="74" t="str">
        <f>"Объем: "&amp;Source!I28&amp;"=(4625*"&amp;"0,75)/"&amp;"10"</f>
        <v>Объем: 346,875=(4625*0,75)/10</v>
      </c>
      <c r="D19" s="73"/>
      <c r="E19" s="73"/>
      <c r="F19" s="73"/>
      <c r="G19" s="73"/>
    </row>
    <row r="20" spans="1:7" ht="14.25" x14ac:dyDescent="0.2">
      <c r="A20" s="68">
        <v>1.1000000000000001</v>
      </c>
      <c r="B20" s="56" t="str">
        <f>SmtRes!I1</f>
        <v>9999990008</v>
      </c>
      <c r="C20" s="56" t="str">
        <f>SmtRes!K1</f>
        <v>Трудозатраты рабочих</v>
      </c>
      <c r="D20" s="57" t="str">
        <f>SmtRes!O1</f>
        <v>чел.-ч.</v>
      </c>
      <c r="E20" s="70">
        <f>SmtRes!AT1</f>
        <v>54.93</v>
      </c>
      <c r="F20" s="58" t="str">
        <f>SmtRes!AU1</f>
        <v/>
      </c>
      <c r="G20" s="70">
        <f>SmtRes!Y1*Source!I28</f>
        <v>19053.84375</v>
      </c>
    </row>
    <row r="21" spans="1:7" ht="28.5" x14ac:dyDescent="0.2">
      <c r="A21" s="68">
        <v>1.2</v>
      </c>
      <c r="B21" s="56" t="str">
        <f>SmtRes!I2</f>
        <v>2.1-1-24</v>
      </c>
      <c r="C21" s="56" t="str">
        <f>SmtRes!K2</f>
        <v>Экскаваторы на пневмоколесном тракторе гидравлические, объем ковша до 0,25 м3</v>
      </c>
      <c r="D21" s="57" t="str">
        <f>SmtRes!O2</f>
        <v>маш.-ч.</v>
      </c>
      <c r="E21" s="70">
        <f>SmtRes!AT2</f>
        <v>2.04</v>
      </c>
      <c r="F21" s="58" t="str">
        <f>SmtRes!AU2</f>
        <v/>
      </c>
      <c r="G21" s="70">
        <f>SmtRes!Y2*Source!I28</f>
        <v>707.625</v>
      </c>
    </row>
    <row r="22" spans="1:7" ht="14.25" x14ac:dyDescent="0.2">
      <c r="A22" s="68">
        <v>1.3</v>
      </c>
      <c r="B22" s="56" t="str">
        <f>SmtRes!I3</f>
        <v>1.4-6-1</v>
      </c>
      <c r="C22" s="56" t="str">
        <f>SmtRes!K3</f>
        <v>Земля растительная</v>
      </c>
      <c r="D22" s="57" t="str">
        <f>SmtRes!O3</f>
        <v>м3</v>
      </c>
      <c r="E22" s="70">
        <f>SmtRes!AT3</f>
        <v>14</v>
      </c>
      <c r="F22" s="58" t="str">
        <f>SmtRes!AU3</f>
        <v/>
      </c>
      <c r="G22" s="70">
        <f>SmtRes!Y3*Source!I28</f>
        <v>4856.25</v>
      </c>
    </row>
    <row r="23" spans="1:7" ht="14.25" x14ac:dyDescent="0.2">
      <c r="A23" s="68">
        <v>1.4</v>
      </c>
      <c r="B23" s="56" t="str">
        <f>SmtRes!I4</f>
        <v>1.4-6-8</v>
      </c>
      <c r="C23" s="56" t="str">
        <f>SmtRes!K4</f>
        <v>Торф</v>
      </c>
      <c r="D23" s="57" t="str">
        <f>SmtRes!O4</f>
        <v>м3</v>
      </c>
      <c r="E23" s="70">
        <f>SmtRes!AT4</f>
        <v>4.6500000000000004</v>
      </c>
      <c r="F23" s="58" t="str">
        <f>SmtRes!AU4</f>
        <v/>
      </c>
      <c r="G23" s="70">
        <f>SmtRes!Y4*Source!I28</f>
        <v>1612.9687500000002</v>
      </c>
    </row>
    <row r="24" spans="1:7" ht="57" x14ac:dyDescent="0.25">
      <c r="A24" s="68" t="str">
        <f>Source!E30</f>
        <v>2</v>
      </c>
      <c r="B24" s="69" t="str">
        <f>Source!F30</f>
        <v>3.47-5-23</v>
      </c>
      <c r="C24" s="56" t="str">
        <f>Source!G30</f>
        <v>Подготовка стандартных посадочных мест вручную с квадратным комом земли размером 1,5х1,5х0,65 м с добавлением растительной земли до 50%</v>
      </c>
      <c r="D24" s="71" t="str">
        <f>Source!H30</f>
        <v>10 ям</v>
      </c>
      <c r="E24" s="70"/>
      <c r="F24" s="58"/>
      <c r="G24" s="72">
        <f>Source!I30</f>
        <v>115.625</v>
      </c>
    </row>
    <row r="25" spans="1:7" x14ac:dyDescent="0.2">
      <c r="A25" s="73"/>
      <c r="B25" s="73"/>
      <c r="C25" s="74" t="str">
        <f>"Объем: "&amp;Source!I30&amp;"=(4625*"&amp;"0,25)/"&amp;"10"</f>
        <v>Объем: 115,625=(4625*0,25)/10</v>
      </c>
      <c r="D25" s="73"/>
      <c r="E25" s="73"/>
      <c r="F25" s="73"/>
      <c r="G25" s="73"/>
    </row>
    <row r="26" spans="1:7" ht="14.25" x14ac:dyDescent="0.2">
      <c r="A26" s="68">
        <v>2.1</v>
      </c>
      <c r="B26" s="56" t="str">
        <f>SmtRes!I5</f>
        <v>9999990008</v>
      </c>
      <c r="C26" s="56" t="str">
        <f>SmtRes!K5</f>
        <v>Трудозатраты рабочих</v>
      </c>
      <c r="D26" s="57" t="str">
        <f>SmtRes!O5</f>
        <v>чел.-ч.</v>
      </c>
      <c r="E26" s="70">
        <f>SmtRes!AT5</f>
        <v>101.91</v>
      </c>
      <c r="F26" s="58" t="str">
        <f>SmtRes!AU5</f>
        <v/>
      </c>
      <c r="G26" s="70">
        <f>SmtRes!Y5*Source!I30</f>
        <v>11783.34375</v>
      </c>
    </row>
    <row r="27" spans="1:7" ht="14.25" x14ac:dyDescent="0.2">
      <c r="A27" s="68">
        <v>2.2000000000000002</v>
      </c>
      <c r="B27" s="56" t="str">
        <f>SmtRes!I6</f>
        <v>1.4-6-1</v>
      </c>
      <c r="C27" s="56" t="str">
        <f>SmtRes!K6</f>
        <v>Земля растительная</v>
      </c>
      <c r="D27" s="57" t="str">
        <f>SmtRes!O6</f>
        <v>м3</v>
      </c>
      <c r="E27" s="70">
        <f>SmtRes!AT6</f>
        <v>14</v>
      </c>
      <c r="F27" s="58" t="str">
        <f>SmtRes!AU6</f>
        <v/>
      </c>
      <c r="G27" s="70">
        <f>SmtRes!Y6*Source!I30</f>
        <v>1618.75</v>
      </c>
    </row>
    <row r="28" spans="1:7" ht="14.25" x14ac:dyDescent="0.2">
      <c r="A28" s="68">
        <v>2.2999999999999998</v>
      </c>
      <c r="B28" s="56" t="str">
        <f>SmtRes!I7</f>
        <v>1.4-6-8</v>
      </c>
      <c r="C28" s="56" t="str">
        <f>SmtRes!K7</f>
        <v>Торф</v>
      </c>
      <c r="D28" s="57" t="str">
        <f>SmtRes!O7</f>
        <v>м3</v>
      </c>
      <c r="E28" s="70">
        <f>SmtRes!AT7</f>
        <v>4.6500000000000004</v>
      </c>
      <c r="F28" s="58" t="str">
        <f>SmtRes!AU7</f>
        <v/>
      </c>
      <c r="G28" s="70">
        <f>SmtRes!Y7*Source!I30</f>
        <v>537.65625</v>
      </c>
    </row>
    <row r="29" spans="1:7" ht="75" x14ac:dyDescent="0.25">
      <c r="A29" s="68" t="str">
        <f>Source!E32</f>
        <v>3</v>
      </c>
      <c r="B29" s="69" t="str">
        <f>Source!F32</f>
        <v>3.47-7-9</v>
      </c>
      <c r="C29" s="56" t="str">
        <f>Source!G32</f>
        <v>Посадка деревьев и кустарников с комом земли размером 1,5х1,5х0,65 м</v>
      </c>
      <c r="D29" s="71" t="str">
        <f>Source!H32</f>
        <v>10 деревьев или кустарников</v>
      </c>
      <c r="E29" s="70"/>
      <c r="F29" s="58"/>
      <c r="G29" s="72">
        <f>Source!I32</f>
        <v>462.5</v>
      </c>
    </row>
    <row r="30" spans="1:7" x14ac:dyDescent="0.2">
      <c r="A30" s="73"/>
      <c r="B30" s="73"/>
      <c r="C30" s="74" t="str">
        <f>"Объем: "&amp;Source!I32&amp;"=4625/"&amp;"10"</f>
        <v>Объем: 462,5=4625/10</v>
      </c>
      <c r="D30" s="73"/>
      <c r="E30" s="73"/>
      <c r="F30" s="73"/>
      <c r="G30" s="73"/>
    </row>
    <row r="31" spans="1:7" ht="14.25" x14ac:dyDescent="0.2">
      <c r="A31" s="68">
        <v>3.1</v>
      </c>
      <c r="B31" s="56" t="str">
        <f>SmtRes!I8</f>
        <v>9999990008</v>
      </c>
      <c r="C31" s="56" t="str">
        <f>SmtRes!K8</f>
        <v>Трудозатраты рабочих</v>
      </c>
      <c r="D31" s="57" t="str">
        <f>SmtRes!O8</f>
        <v>чел.-ч.</v>
      </c>
      <c r="E31" s="70">
        <f>SmtRes!AT8</f>
        <v>70.5</v>
      </c>
      <c r="F31" s="58" t="str">
        <f>SmtRes!AU8</f>
        <v/>
      </c>
      <c r="G31" s="70">
        <f>SmtRes!Y8*Source!I32</f>
        <v>32606.25</v>
      </c>
    </row>
    <row r="32" spans="1:7" ht="28.5" x14ac:dyDescent="0.2">
      <c r="A32" s="68">
        <v>3.2</v>
      </c>
      <c r="B32" s="56" t="str">
        <f>SmtRes!I9</f>
        <v>2.1-3-38</v>
      </c>
      <c r="C32" s="56" t="str">
        <f>SmtRes!K9</f>
        <v>Краны на автомобильном ходу, грузоподъемность до 16 т</v>
      </c>
      <c r="D32" s="57" t="str">
        <f>SmtRes!O9</f>
        <v>маш.-ч.</v>
      </c>
      <c r="E32" s="70">
        <f>SmtRes!AT9</f>
        <v>2.8</v>
      </c>
      <c r="F32" s="58" t="str">
        <f>SmtRes!AU9</f>
        <v/>
      </c>
      <c r="G32" s="70">
        <f>SmtRes!Y9*Source!I32</f>
        <v>1295</v>
      </c>
    </row>
    <row r="33" spans="1:7" ht="28.5" x14ac:dyDescent="0.2">
      <c r="A33" s="68">
        <v>3.3</v>
      </c>
      <c r="B33" s="56" t="str">
        <f>SmtRes!I10</f>
        <v>2.1-5-18</v>
      </c>
      <c r="C33" s="56" t="str">
        <f>SmtRes!K10</f>
        <v>Машины поливомоечные, емкость цистерны до 8 м3</v>
      </c>
      <c r="D33" s="57" t="str">
        <f>SmtRes!O10</f>
        <v>маш.-ч.</v>
      </c>
      <c r="E33" s="70">
        <f>SmtRes!AT10</f>
        <v>2.2000000000000002</v>
      </c>
      <c r="F33" s="58" t="str">
        <f>SmtRes!AU10</f>
        <v/>
      </c>
      <c r="G33" s="70">
        <f>SmtRes!Y10*Source!I32</f>
        <v>1017.5000000000001</v>
      </c>
    </row>
    <row r="34" spans="1:7" ht="14.25" x14ac:dyDescent="0.2">
      <c r="A34" s="68">
        <v>3.4</v>
      </c>
      <c r="B34" s="56" t="str">
        <f>SmtRes!I11</f>
        <v>1.1-1-118</v>
      </c>
      <c r="C34" s="56" t="str">
        <f>SmtRes!K11</f>
        <v>Вода</v>
      </c>
      <c r="D34" s="57" t="str">
        <f>SmtRes!O11</f>
        <v>м3</v>
      </c>
      <c r="E34" s="70">
        <f>SmtRes!AT11</f>
        <v>8.8000000000000007</v>
      </c>
      <c r="F34" s="58" t="str">
        <f>SmtRes!AU11</f>
        <v/>
      </c>
      <c r="G34" s="70">
        <f>SmtRes!Y11*Source!I32</f>
        <v>4070.0000000000005</v>
      </c>
    </row>
    <row r="35" spans="1:7" ht="14.25" x14ac:dyDescent="0.2">
      <c r="A35" s="68">
        <v>3.5</v>
      </c>
      <c r="B35" s="56" t="str">
        <f>SmtRes!I12</f>
        <v>9999990006</v>
      </c>
      <c r="C35" s="56" t="str">
        <f>SmtRes!K12</f>
        <v>Стоимость прочих материалов (ЭСН)</v>
      </c>
      <c r="D35" s="57" t="str">
        <f>SmtRes!O12</f>
        <v>руб.</v>
      </c>
      <c r="E35" s="70">
        <f>SmtRes!AT12</f>
        <v>51.1</v>
      </c>
      <c r="F35" s="58" t="str">
        <f>SmtRes!AU12</f>
        <v/>
      </c>
      <c r="G35" s="70">
        <f>SmtRes!Y12*Source!I32</f>
        <v>23633.75</v>
      </c>
    </row>
    <row r="36" spans="1:7" ht="99.75" x14ac:dyDescent="0.25">
      <c r="A36" s="68" t="str">
        <f>Source!E33</f>
        <v>4</v>
      </c>
      <c r="B36" s="69" t="str">
        <f>Source!F33</f>
        <v>3.1-6-10</v>
      </c>
      <c r="C36" s="56" t="str">
        <f>Source!G33</f>
        <v>Разработка грунта с погрузкой на автомобили-самосвалы экскаваторами с ковшом вместимостью 0,5 м3 группа грунтов 1-3 (Объем грунта на 1 дерево: (5,18 м3 - 1,46 м3) х 50% + 1,46 м3 = 3,32 м3; Общий объем грунта: 3,32 м3/дер. х 4625 дер. = 15355,0 м3)</v>
      </c>
      <c r="D36" s="71" t="str">
        <f>Source!H33</f>
        <v>100 м3 грунта</v>
      </c>
      <c r="E36" s="70"/>
      <c r="F36" s="58"/>
      <c r="G36" s="72">
        <f>Source!I33</f>
        <v>153.55000000000001</v>
      </c>
    </row>
    <row r="37" spans="1:7" x14ac:dyDescent="0.2">
      <c r="A37" s="73"/>
      <c r="B37" s="73"/>
      <c r="C37" s="74" t="str">
        <f>"Объем: "&amp;Source!I33&amp;"=15355/"&amp;"100"</f>
        <v>Объем: 153,55=15355/100</v>
      </c>
      <c r="D37" s="73"/>
      <c r="E37" s="73"/>
      <c r="F37" s="73"/>
      <c r="G37" s="73"/>
    </row>
    <row r="38" spans="1:7" ht="14.25" x14ac:dyDescent="0.2">
      <c r="A38" s="68">
        <v>4.0999999999999996</v>
      </c>
      <c r="B38" s="56" t="str">
        <f>SmtRes!I13</f>
        <v>9999990008</v>
      </c>
      <c r="C38" s="56" t="str">
        <f>SmtRes!K13</f>
        <v>Трудозатраты рабочих</v>
      </c>
      <c r="D38" s="57" t="str">
        <f>SmtRes!O13</f>
        <v>чел.-ч.</v>
      </c>
      <c r="E38" s="70">
        <f>SmtRes!AT13</f>
        <v>1.38</v>
      </c>
      <c r="F38" s="58" t="str">
        <f>SmtRes!AU13</f>
        <v/>
      </c>
      <c r="G38" s="70">
        <f>SmtRes!Y13*Source!I33</f>
        <v>211.899</v>
      </c>
    </row>
    <row r="39" spans="1:7" ht="28.5" x14ac:dyDescent="0.2">
      <c r="A39" s="68">
        <v>4.2</v>
      </c>
      <c r="B39" s="56" t="str">
        <f>SmtRes!I14</f>
        <v>2.1-1-4</v>
      </c>
      <c r="C39" s="56" t="str">
        <f>SmtRes!K14</f>
        <v>Экскаваторы на гусеничном ходу гидравлические, объем ковша до 0,5 м3</v>
      </c>
      <c r="D39" s="57" t="str">
        <f>SmtRes!O14</f>
        <v>маш.-ч.</v>
      </c>
      <c r="E39" s="70">
        <f>SmtRes!AT14</f>
        <v>3.9874999999999998</v>
      </c>
      <c r="F39" s="58" t="str">
        <f>SmtRes!AU14</f>
        <v/>
      </c>
      <c r="G39" s="70">
        <f>SmtRes!Y14*Source!I33</f>
        <v>612.28062499999999</v>
      </c>
    </row>
    <row r="40" spans="1:7" ht="28.5" x14ac:dyDescent="0.2">
      <c r="A40" s="68">
        <v>4.3</v>
      </c>
      <c r="B40" s="56" t="str">
        <f>SmtRes!I15</f>
        <v>2.1-1-44</v>
      </c>
      <c r="C40" s="56" t="str">
        <f>SmtRes!K15</f>
        <v>Бульдозеры гусеничные, мощность до 79 кВт (108 л.с.)</v>
      </c>
      <c r="D40" s="57" t="str">
        <f>SmtRes!O15</f>
        <v>маш.-ч.</v>
      </c>
      <c r="E40" s="70">
        <f>SmtRes!AT15</f>
        <v>0.997</v>
      </c>
      <c r="F40" s="58" t="str">
        <f>SmtRes!AU15</f>
        <v/>
      </c>
      <c r="G40" s="70">
        <f>SmtRes!Y15*Source!I33</f>
        <v>153.08935000000002</v>
      </c>
    </row>
    <row r="41" spans="1:7" ht="42.75" x14ac:dyDescent="0.25">
      <c r="A41" s="68" t="str">
        <f>Source!E34</f>
        <v>5</v>
      </c>
      <c r="B41" s="69" t="str">
        <f>Source!F34</f>
        <v>3.47-1-2</v>
      </c>
      <c r="C41" s="56" t="str">
        <f>Source!G34</f>
        <v>Планировка участка вручную (разравнивание грунта от разработки ям, толщина слоя 0,1 м)</v>
      </c>
      <c r="D41" s="71" t="str">
        <f>Source!H34</f>
        <v>100 м2</v>
      </c>
      <c r="E41" s="70"/>
      <c r="F41" s="58"/>
      <c r="G41" s="72">
        <f>Source!I34</f>
        <v>1535.5</v>
      </c>
    </row>
    <row r="42" spans="1:7" x14ac:dyDescent="0.2">
      <c r="A42" s="73"/>
      <c r="B42" s="73"/>
      <c r="C42" s="74" t="str">
        <f>"Объем: "&amp;Source!I34&amp;"=(15355/"&amp;"0,1)/"&amp;"100"</f>
        <v>Объем: 1535,5=(15355/0,1)/100</v>
      </c>
      <c r="D42" s="73"/>
      <c r="E42" s="73"/>
      <c r="F42" s="73"/>
      <c r="G42" s="73"/>
    </row>
    <row r="43" spans="1:7" ht="14.25" x14ac:dyDescent="0.2">
      <c r="A43" s="68">
        <v>5.0999999999999996</v>
      </c>
      <c r="B43" s="56" t="str">
        <f>SmtRes!I16</f>
        <v>9999990008</v>
      </c>
      <c r="C43" s="56" t="str">
        <f>SmtRes!K16</f>
        <v>Трудозатраты рабочих</v>
      </c>
      <c r="D43" s="57" t="str">
        <f>SmtRes!O16</f>
        <v>чел.-ч.</v>
      </c>
      <c r="E43" s="70">
        <f>SmtRes!AT16</f>
        <v>10.199999999999999</v>
      </c>
      <c r="F43" s="58" t="str">
        <f>SmtRes!AU16</f>
        <v/>
      </c>
      <c r="G43" s="70">
        <f>SmtRes!Y16*Source!I34</f>
        <v>15662.099999999999</v>
      </c>
    </row>
    <row r="44" spans="1:7" ht="16.5" x14ac:dyDescent="0.25">
      <c r="A44" s="317" t="str">
        <f>Source!G66</f>
        <v>Восстановление отпада деревьев с комом земли 1,5х1,5х0,65 м - 229 шт.</v>
      </c>
      <c r="B44" s="317"/>
      <c r="C44" s="317"/>
      <c r="D44" s="317"/>
      <c r="E44" s="317"/>
      <c r="F44" s="317"/>
      <c r="G44" s="317"/>
    </row>
    <row r="45" spans="1:7" ht="71.25" x14ac:dyDescent="0.25">
      <c r="A45" s="68" t="str">
        <f>Source!E70</f>
        <v>6</v>
      </c>
      <c r="B45" s="69" t="str">
        <f>Source!F70</f>
        <v>3.47-3-21</v>
      </c>
      <c r="C45" s="56" t="str">
        <f>Source!G70</f>
        <v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v>
      </c>
      <c r="D45" s="71" t="str">
        <f>Source!H70</f>
        <v>10 ям</v>
      </c>
      <c r="E45" s="70"/>
      <c r="F45" s="58"/>
      <c r="G45" s="72">
        <f>Source!I70</f>
        <v>17.175000000000001</v>
      </c>
    </row>
    <row r="46" spans="1:7" x14ac:dyDescent="0.2">
      <c r="A46" s="73"/>
      <c r="B46" s="73"/>
      <c r="C46" s="74" t="str">
        <f>"Объем: "&amp;Source!I70&amp;"=(229*"&amp;"0,75)/"&amp;"10"</f>
        <v>Объем: 17,175=(229*0,75)/10</v>
      </c>
      <c r="D46" s="73"/>
      <c r="E46" s="73"/>
      <c r="F46" s="73"/>
      <c r="G46" s="73"/>
    </row>
    <row r="47" spans="1:7" ht="14.25" x14ac:dyDescent="0.2">
      <c r="A47" s="68">
        <v>6.1</v>
      </c>
      <c r="B47" s="56" t="str">
        <f>SmtRes!I17</f>
        <v>9999990008</v>
      </c>
      <c r="C47" s="56" t="str">
        <f>SmtRes!K17</f>
        <v>Трудозатраты рабочих</v>
      </c>
      <c r="D47" s="57" t="str">
        <f>SmtRes!O17</f>
        <v>чел.-ч.</v>
      </c>
      <c r="E47" s="70">
        <f>SmtRes!AT17</f>
        <v>26.28</v>
      </c>
      <c r="F47" s="58" t="str">
        <f>SmtRes!AU17</f>
        <v/>
      </c>
      <c r="G47" s="70">
        <f>SmtRes!Y17*Source!I70</f>
        <v>451.35900000000004</v>
      </c>
    </row>
    <row r="48" spans="1:7" ht="28.5" x14ac:dyDescent="0.2">
      <c r="A48" s="68">
        <v>6.2</v>
      </c>
      <c r="B48" s="56" t="str">
        <f>SmtRes!I18</f>
        <v>2.1-1-24</v>
      </c>
      <c r="C48" s="56" t="str">
        <f>SmtRes!K18</f>
        <v>Экскаваторы на пневмоколесном тракторе гидравлические, объем ковша до 0,25 м3</v>
      </c>
      <c r="D48" s="57" t="str">
        <f>SmtRes!O18</f>
        <v>маш.-ч.</v>
      </c>
      <c r="E48" s="70">
        <f>SmtRes!AT18</f>
        <v>2.04</v>
      </c>
      <c r="F48" s="58" t="str">
        <f>SmtRes!AU18</f>
        <v/>
      </c>
      <c r="G48" s="70">
        <f>SmtRes!Y18*Source!I70</f>
        <v>35.036999999999999</v>
      </c>
    </row>
    <row r="49" spans="1:7" ht="57" x14ac:dyDescent="0.25">
      <c r="A49" s="68" t="str">
        <f>Source!E71</f>
        <v>7</v>
      </c>
      <c r="B49" s="69" t="str">
        <f>Source!F71</f>
        <v>3.47-5-21</v>
      </c>
      <c r="C49" s="56" t="str">
        <f>Source!G71</f>
        <v>Подготовка стандартных посадочных мест вручную с квадратным комом земли размером 1,5х1,5х0,65 м в естественном грунте</v>
      </c>
      <c r="D49" s="71" t="str">
        <f>Source!H71</f>
        <v>10 ям</v>
      </c>
      <c r="E49" s="70"/>
      <c r="F49" s="58"/>
      <c r="G49" s="72">
        <f>Source!I71</f>
        <v>5.7249999999999996</v>
      </c>
    </row>
    <row r="50" spans="1:7" x14ac:dyDescent="0.2">
      <c r="A50" s="73"/>
      <c r="B50" s="73"/>
      <c r="C50" s="74" t="str">
        <f>"Объем: "&amp;Source!I71&amp;"=(229*"&amp;"0,25)/"&amp;"10"</f>
        <v>Объем: 5,725=(229*0,25)/10</v>
      </c>
      <c r="D50" s="73"/>
      <c r="E50" s="73"/>
      <c r="F50" s="73"/>
      <c r="G50" s="73"/>
    </row>
    <row r="51" spans="1:7" ht="14.25" x14ac:dyDescent="0.2">
      <c r="A51" s="68">
        <v>7.1</v>
      </c>
      <c r="B51" s="56" t="str">
        <f>SmtRes!I19</f>
        <v>9999990008</v>
      </c>
      <c r="C51" s="56" t="str">
        <f>SmtRes!K19</f>
        <v>Трудозатраты рабочих</v>
      </c>
      <c r="D51" s="57" t="str">
        <f>SmtRes!O19</f>
        <v>чел.-ч.</v>
      </c>
      <c r="E51" s="70">
        <f>SmtRes!AT19</f>
        <v>73.25</v>
      </c>
      <c r="F51" s="58" t="str">
        <f>SmtRes!AU19</f>
        <v/>
      </c>
      <c r="G51" s="70">
        <f>SmtRes!Y19*Source!I71</f>
        <v>419.35624999999999</v>
      </c>
    </row>
    <row r="52" spans="1:7" ht="75" x14ac:dyDescent="0.25">
      <c r="A52" s="68" t="str">
        <f>Source!E72</f>
        <v>8</v>
      </c>
      <c r="B52" s="69" t="str">
        <f>Source!F72</f>
        <v>3.47-7-9</v>
      </c>
      <c r="C52" s="56" t="str">
        <f>Source!G72</f>
        <v>Посадка деревьев и кустарников с комом земли размером 1,5х1,5х0,65 м</v>
      </c>
      <c r="D52" s="71" t="str">
        <f>Source!H72</f>
        <v>10 деревьев или кустарников</v>
      </c>
      <c r="E52" s="70"/>
      <c r="F52" s="58"/>
      <c r="G52" s="72">
        <f>Source!I72</f>
        <v>22.9</v>
      </c>
    </row>
    <row r="53" spans="1:7" x14ac:dyDescent="0.2">
      <c r="A53" s="73"/>
      <c r="B53" s="73"/>
      <c r="C53" s="74" t="str">
        <f>"Объем: "&amp;Source!I72&amp;"=229/"&amp;"10"</f>
        <v>Объем: 22,9=229/10</v>
      </c>
      <c r="D53" s="73"/>
      <c r="E53" s="73"/>
      <c r="F53" s="73"/>
      <c r="G53" s="73"/>
    </row>
    <row r="54" spans="1:7" ht="14.25" x14ac:dyDescent="0.2">
      <c r="A54" s="68">
        <v>8.1</v>
      </c>
      <c r="B54" s="56" t="str">
        <f>SmtRes!I20</f>
        <v>9999990008</v>
      </c>
      <c r="C54" s="56" t="str">
        <f>SmtRes!K20</f>
        <v>Трудозатраты рабочих</v>
      </c>
      <c r="D54" s="57" t="str">
        <f>SmtRes!O20</f>
        <v>чел.-ч.</v>
      </c>
      <c r="E54" s="70">
        <f>SmtRes!AT20</f>
        <v>70.5</v>
      </c>
      <c r="F54" s="58" t="str">
        <f>SmtRes!AU20</f>
        <v/>
      </c>
      <c r="G54" s="70">
        <f>SmtRes!Y20*Source!I72</f>
        <v>1614.4499999999998</v>
      </c>
    </row>
    <row r="55" spans="1:7" ht="28.5" x14ac:dyDescent="0.2">
      <c r="A55" s="68">
        <v>8.1999999999999993</v>
      </c>
      <c r="B55" s="56" t="str">
        <f>SmtRes!I21</f>
        <v>2.1-3-38</v>
      </c>
      <c r="C55" s="56" t="str">
        <f>SmtRes!K21</f>
        <v>Краны на автомобильном ходу, грузоподъемность до 16 т</v>
      </c>
      <c r="D55" s="57" t="str">
        <f>SmtRes!O21</f>
        <v>маш.-ч.</v>
      </c>
      <c r="E55" s="70">
        <f>SmtRes!AT21</f>
        <v>2.8</v>
      </c>
      <c r="F55" s="58" t="str">
        <f>SmtRes!AU21</f>
        <v/>
      </c>
      <c r="G55" s="70">
        <f>SmtRes!Y21*Source!I72</f>
        <v>64.11999999999999</v>
      </c>
    </row>
    <row r="56" spans="1:7" ht="28.5" x14ac:dyDescent="0.2">
      <c r="A56" s="68">
        <v>8.3000000000000007</v>
      </c>
      <c r="B56" s="56" t="str">
        <f>SmtRes!I22</f>
        <v>2.1-5-18</v>
      </c>
      <c r="C56" s="56" t="str">
        <f>SmtRes!K22</f>
        <v>Машины поливомоечные, емкость цистерны до 8 м3</v>
      </c>
      <c r="D56" s="57" t="str">
        <f>SmtRes!O22</f>
        <v>маш.-ч.</v>
      </c>
      <c r="E56" s="70">
        <f>SmtRes!AT22</f>
        <v>2.2000000000000002</v>
      </c>
      <c r="F56" s="58" t="str">
        <f>SmtRes!AU22</f>
        <v/>
      </c>
      <c r="G56" s="70">
        <f>SmtRes!Y22*Source!I72</f>
        <v>50.38</v>
      </c>
    </row>
    <row r="57" spans="1:7" ht="14.25" x14ac:dyDescent="0.2">
      <c r="A57" s="68">
        <v>8.4</v>
      </c>
      <c r="B57" s="56" t="str">
        <f>SmtRes!I23</f>
        <v>1.1-1-118</v>
      </c>
      <c r="C57" s="56" t="str">
        <f>SmtRes!K23</f>
        <v>Вода</v>
      </c>
      <c r="D57" s="57" t="str">
        <f>SmtRes!O23</f>
        <v>м3</v>
      </c>
      <c r="E57" s="70">
        <f>SmtRes!AT23</f>
        <v>8.8000000000000007</v>
      </c>
      <c r="F57" s="58" t="str">
        <f>SmtRes!AU23</f>
        <v/>
      </c>
      <c r="G57" s="70">
        <f>SmtRes!Y23*Source!I72</f>
        <v>201.52</v>
      </c>
    </row>
    <row r="58" spans="1:7" ht="14.25" x14ac:dyDescent="0.2">
      <c r="A58" s="68">
        <v>8.5</v>
      </c>
      <c r="B58" s="56" t="str">
        <f>SmtRes!I24</f>
        <v>9999990006</v>
      </c>
      <c r="C58" s="56" t="str">
        <f>SmtRes!K24</f>
        <v>Стоимость прочих материалов (ЭСН)</v>
      </c>
      <c r="D58" s="57" t="str">
        <f>SmtRes!O24</f>
        <v>руб.</v>
      </c>
      <c r="E58" s="70">
        <f>SmtRes!AT24</f>
        <v>51.1</v>
      </c>
      <c r="F58" s="58" t="str">
        <f>SmtRes!AU24</f>
        <v/>
      </c>
      <c r="G58" s="70">
        <f>SmtRes!Y24*Source!I72</f>
        <v>1170.19</v>
      </c>
    </row>
    <row r="59" spans="1:7" ht="16.5" x14ac:dyDescent="0.25">
      <c r="A59" s="317" t="str">
        <f>Source!G104</f>
        <v>Уход за деревьями с комом земли 1,5х1,5х0,65 м - 4625 шт.</v>
      </c>
      <c r="B59" s="317"/>
      <c r="C59" s="317"/>
      <c r="D59" s="317"/>
      <c r="E59" s="317"/>
      <c r="F59" s="317"/>
      <c r="G59" s="317"/>
    </row>
    <row r="60" spans="1:7" ht="128.25" x14ac:dyDescent="0.25">
      <c r="A60" s="68" t="str">
        <f>Source!E108</f>
        <v>9</v>
      </c>
      <c r="B60" s="69" t="str">
        <f>Source!F108</f>
        <v>3.47-48-1</v>
      </c>
      <c r="C60" s="56" t="s">
        <v>296</v>
      </c>
      <c r="D60" s="71" t="str">
        <f>Source!H108</f>
        <v>1 м3 выливаемой воды</v>
      </c>
      <c r="E60" s="70"/>
      <c r="F60" s="58"/>
      <c r="G60" s="72">
        <f>Source!I108</f>
        <v>799.2</v>
      </c>
    </row>
    <row r="61" spans="1:7" x14ac:dyDescent="0.2">
      <c r="A61" s="73"/>
      <c r="B61" s="73"/>
      <c r="C61" s="74" t="str">
        <f>"Объем: "&amp;Source!I108&amp;"=30*"&amp;"5,76/"&amp;"1000*"&amp;"4625"</f>
        <v>Объем: 799,2=30*5,76/1000*4625</v>
      </c>
      <c r="D61" s="73"/>
      <c r="E61" s="73"/>
      <c r="F61" s="73"/>
      <c r="G61" s="73"/>
    </row>
    <row r="62" spans="1:7" ht="14.25" x14ac:dyDescent="0.2">
      <c r="A62" s="68">
        <v>9.1</v>
      </c>
      <c r="B62" s="56" t="str">
        <f>SmtRes!I25</f>
        <v>9999990008</v>
      </c>
      <c r="C62" s="56" t="str">
        <f>SmtRes!K25</f>
        <v>Трудозатраты рабочих</v>
      </c>
      <c r="D62" s="57" t="str">
        <f>SmtRes!O25</f>
        <v>чел.-ч.</v>
      </c>
      <c r="E62" s="70">
        <f>SmtRes!AT25</f>
        <v>0.49</v>
      </c>
      <c r="F62" s="58" t="str">
        <f>SmtRes!AU25</f>
        <v>)*4</v>
      </c>
      <c r="G62" s="70">
        <f>SmtRes!Y25*Source!I108</f>
        <v>1566.432</v>
      </c>
    </row>
    <row r="63" spans="1:7" ht="28.5" x14ac:dyDescent="0.2">
      <c r="A63" s="68">
        <v>9.1999999999999993</v>
      </c>
      <c r="B63" s="56" t="str">
        <f>SmtRes!I26</f>
        <v>2.1-5-18</v>
      </c>
      <c r="C63" s="56" t="str">
        <f>SmtRes!K26</f>
        <v>Машины поливомоечные, емкость цистерны до 8 м3</v>
      </c>
      <c r="D63" s="57" t="str">
        <f>SmtRes!O26</f>
        <v>маш.-ч.</v>
      </c>
      <c r="E63" s="70">
        <f>SmtRes!AT26</f>
        <v>0.24</v>
      </c>
      <c r="F63" s="58" t="str">
        <f>SmtRes!AU26</f>
        <v>)*4</v>
      </c>
      <c r="G63" s="70">
        <f>SmtRes!Y26*Source!I108</f>
        <v>767.23199999999997</v>
      </c>
    </row>
    <row r="64" spans="1:7" ht="14.25" x14ac:dyDescent="0.2">
      <c r="A64" s="68">
        <v>9.3000000000000007</v>
      </c>
      <c r="B64" s="56" t="str">
        <f>SmtRes!I27</f>
        <v>1.1-1-118</v>
      </c>
      <c r="C64" s="56" t="str">
        <f>SmtRes!K27</f>
        <v>Вода</v>
      </c>
      <c r="D64" s="57" t="str">
        <f>SmtRes!O27</f>
        <v>м3</v>
      </c>
      <c r="E64" s="70">
        <f>SmtRes!AT27</f>
        <v>1</v>
      </c>
      <c r="F64" s="58" t="str">
        <f>SmtRes!AU27</f>
        <v>)*4</v>
      </c>
      <c r="G64" s="70">
        <f>SmtRes!Y27*Source!I108</f>
        <v>3196.8</v>
      </c>
    </row>
    <row r="65" spans="1:7" ht="128.25" x14ac:dyDescent="0.25">
      <c r="A65" s="68" t="str">
        <f>Source!E109</f>
        <v>10</v>
      </c>
      <c r="B65" s="69" t="str">
        <f>Source!F109</f>
        <v>3.47-49-3</v>
      </c>
      <c r="C65" s="56" t="s">
        <v>297</v>
      </c>
      <c r="D65" s="71" t="str">
        <f>Source!H109</f>
        <v>100 м2 площади лунок или канавок</v>
      </c>
      <c r="E65" s="70"/>
      <c r="F65" s="58"/>
      <c r="G65" s="72">
        <f>Source!I109</f>
        <v>266.39999999999998</v>
      </c>
    </row>
    <row r="66" spans="1:7" x14ac:dyDescent="0.2">
      <c r="A66" s="73"/>
      <c r="B66" s="73"/>
      <c r="C66" s="74" t="str">
        <f>"Объем: "&amp;Source!I109&amp;"=(5,76*"&amp;"4625)/"&amp;"100"</f>
        <v>Объем: 266,4=(5,76*4625)/100</v>
      </c>
      <c r="D66" s="73"/>
      <c r="E66" s="73"/>
      <c r="F66" s="73"/>
      <c r="G66" s="73"/>
    </row>
    <row r="67" spans="1:7" ht="14.25" x14ac:dyDescent="0.2">
      <c r="A67" s="68">
        <v>10.1</v>
      </c>
      <c r="B67" s="56" t="str">
        <f>SmtRes!I28</f>
        <v>9999990008</v>
      </c>
      <c r="C67" s="56" t="str">
        <f>SmtRes!K28</f>
        <v>Трудозатраты рабочих</v>
      </c>
      <c r="D67" s="57" t="str">
        <f>SmtRes!O28</f>
        <v>чел.-ч.</v>
      </c>
      <c r="E67" s="70">
        <f>SmtRes!AT28</f>
        <v>6.59</v>
      </c>
      <c r="F67" s="58" t="str">
        <f>SmtRes!AU28</f>
        <v>)*4</v>
      </c>
      <c r="G67" s="70">
        <f>SmtRes!Y28*Source!I109</f>
        <v>7022.3039999999992</v>
      </c>
    </row>
    <row r="68" spans="1:7" ht="16.5" x14ac:dyDescent="0.25">
      <c r="A68" s="317" t="str">
        <f>Source!G141</f>
        <v>Посадка деревьев с комом земли 1,0х1,0х0,6 м - 91 шт.</v>
      </c>
      <c r="B68" s="317"/>
      <c r="C68" s="317"/>
      <c r="D68" s="317"/>
      <c r="E68" s="317"/>
      <c r="F68" s="317"/>
      <c r="G68" s="317"/>
    </row>
    <row r="69" spans="1:7" ht="85.5" x14ac:dyDescent="0.25">
      <c r="A69" s="68" t="str">
        <f>Source!E145</f>
        <v>11</v>
      </c>
      <c r="B69" s="69" t="str">
        <f>Source!F145</f>
        <v>3.47-3-13</v>
      </c>
      <c r="C69" s="56" t="str">
        <f>Source!G145</f>
        <v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v>
      </c>
      <c r="D69" s="71" t="str">
        <f>Source!H145</f>
        <v>10 ям</v>
      </c>
      <c r="E69" s="70"/>
      <c r="F69" s="58"/>
      <c r="G69" s="72">
        <f>Source!I145</f>
        <v>6.8250000000000002</v>
      </c>
    </row>
    <row r="70" spans="1:7" x14ac:dyDescent="0.2">
      <c r="A70" s="73"/>
      <c r="B70" s="73"/>
      <c r="C70" s="74" t="str">
        <f>"Объем: "&amp;Source!I145&amp;"=(91*"&amp;"0,75)/"&amp;"10"</f>
        <v>Объем: 6,825=(91*0,75)/10</v>
      </c>
      <c r="D70" s="73"/>
      <c r="E70" s="73"/>
      <c r="F70" s="73"/>
      <c r="G70" s="73"/>
    </row>
    <row r="71" spans="1:7" ht="14.25" x14ac:dyDescent="0.2">
      <c r="A71" s="68">
        <v>11.1</v>
      </c>
      <c r="B71" s="56" t="str">
        <f>SmtRes!I29</f>
        <v>9999990008</v>
      </c>
      <c r="C71" s="56" t="str">
        <f>SmtRes!K29</f>
        <v>Трудозатраты рабочих</v>
      </c>
      <c r="D71" s="57" t="str">
        <f>SmtRes!O29</f>
        <v>чел.-ч.</v>
      </c>
      <c r="E71" s="70">
        <f>SmtRes!AT29</f>
        <v>35.479999999999997</v>
      </c>
      <c r="F71" s="58" t="str">
        <f>SmtRes!AU29</f>
        <v/>
      </c>
      <c r="G71" s="70">
        <f>SmtRes!Y29*Source!I145</f>
        <v>242.15099999999998</v>
      </c>
    </row>
    <row r="72" spans="1:7" ht="28.5" x14ac:dyDescent="0.2">
      <c r="A72" s="68">
        <v>11.2</v>
      </c>
      <c r="B72" s="56" t="str">
        <f>SmtRes!I30</f>
        <v>2.1-1-24</v>
      </c>
      <c r="C72" s="56" t="str">
        <f>SmtRes!K30</f>
        <v>Экскаваторы на пневмоколесном тракторе гидравлические, объем ковша до 0,25 м3</v>
      </c>
      <c r="D72" s="57" t="str">
        <f>SmtRes!O30</f>
        <v>маш.-ч.</v>
      </c>
      <c r="E72" s="70">
        <f>SmtRes!AT30</f>
        <v>1.21</v>
      </c>
      <c r="F72" s="58" t="str">
        <f>SmtRes!AU30</f>
        <v/>
      </c>
      <c r="G72" s="70">
        <f>SmtRes!Y30*Source!I145</f>
        <v>8.2582500000000003</v>
      </c>
    </row>
    <row r="73" spans="1:7" ht="14.25" x14ac:dyDescent="0.2">
      <c r="A73" s="68">
        <v>11.3</v>
      </c>
      <c r="B73" s="56" t="str">
        <f>SmtRes!I31</f>
        <v>1.4-6-1</v>
      </c>
      <c r="C73" s="56" t="str">
        <f>SmtRes!K31</f>
        <v>Земля растительная</v>
      </c>
      <c r="D73" s="57" t="str">
        <f>SmtRes!O31</f>
        <v>м3</v>
      </c>
      <c r="E73" s="70">
        <f>SmtRes!AT31</f>
        <v>9.26</v>
      </c>
      <c r="F73" s="58" t="str">
        <f>SmtRes!AU31</f>
        <v/>
      </c>
      <c r="G73" s="70">
        <f>SmtRes!Y31*Source!I145</f>
        <v>63.1995</v>
      </c>
    </row>
    <row r="74" spans="1:7" ht="14.25" x14ac:dyDescent="0.2">
      <c r="A74" s="68">
        <v>11.4</v>
      </c>
      <c r="B74" s="56" t="str">
        <f>SmtRes!I32</f>
        <v>1.4-6-8</v>
      </c>
      <c r="C74" s="56" t="str">
        <f>SmtRes!K32</f>
        <v>Торф</v>
      </c>
      <c r="D74" s="57" t="str">
        <f>SmtRes!O32</f>
        <v>м3</v>
      </c>
      <c r="E74" s="70">
        <f>SmtRes!AT32</f>
        <v>3.09</v>
      </c>
      <c r="F74" s="58" t="str">
        <f>SmtRes!AU32</f>
        <v/>
      </c>
      <c r="G74" s="70">
        <f>SmtRes!Y32*Source!I145</f>
        <v>21.08925</v>
      </c>
    </row>
    <row r="75" spans="1:7" ht="57" x14ac:dyDescent="0.25">
      <c r="A75" s="68" t="str">
        <f>Source!E147</f>
        <v>12</v>
      </c>
      <c r="B75" s="69" t="str">
        <f>Source!F147</f>
        <v>3.47-5-13</v>
      </c>
      <c r="C75" s="56" t="str">
        <f>Source!G147</f>
        <v>Подготовка стандартных посадочных мест вручную с квадратным комом земли размером 1,0х1,0х0,6 м с добавлением растительной земли 50%</v>
      </c>
      <c r="D75" s="71" t="str">
        <f>Source!H147</f>
        <v>10 ям</v>
      </c>
      <c r="E75" s="70"/>
      <c r="F75" s="58"/>
      <c r="G75" s="72">
        <f>Source!I147</f>
        <v>2.2749999999999999</v>
      </c>
    </row>
    <row r="76" spans="1:7" x14ac:dyDescent="0.2">
      <c r="A76" s="73"/>
      <c r="B76" s="73"/>
      <c r="C76" s="74" t="str">
        <f>"Объем: "&amp;Source!I147&amp;"=(91*"&amp;"0,25)/"&amp;"10"</f>
        <v>Объем: 2,275=(91*0,25)/10</v>
      </c>
      <c r="D76" s="73"/>
      <c r="E76" s="73"/>
      <c r="F76" s="73"/>
      <c r="G76" s="73"/>
    </row>
    <row r="77" spans="1:7" ht="14.25" x14ac:dyDescent="0.2">
      <c r="A77" s="68">
        <v>12.1</v>
      </c>
      <c r="B77" s="56" t="str">
        <f>SmtRes!I33</f>
        <v>9999990008</v>
      </c>
      <c r="C77" s="56" t="str">
        <f>SmtRes!K33</f>
        <v>Трудозатраты рабочих</v>
      </c>
      <c r="D77" s="57" t="str">
        <f>SmtRes!O33</f>
        <v>чел.-ч.</v>
      </c>
      <c r="E77" s="70">
        <f>SmtRes!AT33</f>
        <v>62.71</v>
      </c>
      <c r="F77" s="58" t="str">
        <f>SmtRes!AU33</f>
        <v/>
      </c>
      <c r="G77" s="70">
        <f>SmtRes!Y33*Source!I147</f>
        <v>142.66524999999999</v>
      </c>
    </row>
    <row r="78" spans="1:7" ht="14.25" x14ac:dyDescent="0.2">
      <c r="A78" s="68">
        <v>12.2</v>
      </c>
      <c r="B78" s="56" t="str">
        <f>SmtRes!I34</f>
        <v>1.4-6-1</v>
      </c>
      <c r="C78" s="56" t="str">
        <f>SmtRes!K34</f>
        <v>Земля растительная</v>
      </c>
      <c r="D78" s="57" t="str">
        <f>SmtRes!O34</f>
        <v>м3</v>
      </c>
      <c r="E78" s="70">
        <f>SmtRes!AT34</f>
        <v>9.26</v>
      </c>
      <c r="F78" s="58" t="str">
        <f>SmtRes!AU34</f>
        <v/>
      </c>
      <c r="G78" s="70">
        <f>SmtRes!Y34*Source!I147</f>
        <v>21.066499999999998</v>
      </c>
    </row>
    <row r="79" spans="1:7" ht="14.25" x14ac:dyDescent="0.2">
      <c r="A79" s="68">
        <v>12.3</v>
      </c>
      <c r="B79" s="56" t="str">
        <f>SmtRes!I35</f>
        <v>1.4-6-8</v>
      </c>
      <c r="C79" s="56" t="str">
        <f>SmtRes!K35</f>
        <v>Торф</v>
      </c>
      <c r="D79" s="57" t="str">
        <f>SmtRes!O35</f>
        <v>м3</v>
      </c>
      <c r="E79" s="70">
        <f>SmtRes!AT35</f>
        <v>3.09</v>
      </c>
      <c r="F79" s="58" t="str">
        <f>SmtRes!AU35</f>
        <v/>
      </c>
      <c r="G79" s="70">
        <f>SmtRes!Y35*Source!I147</f>
        <v>7.0297499999999991</v>
      </c>
    </row>
    <row r="80" spans="1:7" ht="75" x14ac:dyDescent="0.25">
      <c r="A80" s="68" t="str">
        <f>Source!E149</f>
        <v>13</v>
      </c>
      <c r="B80" s="69" t="str">
        <f>Source!F149</f>
        <v>3.47-7-7</v>
      </c>
      <c r="C80" s="56" t="str">
        <f>Source!G149</f>
        <v>Посадка деревьев и кустарников с комом земли размером 1,0х1,0х0,6 м</v>
      </c>
      <c r="D80" s="71" t="str">
        <f>Source!H149</f>
        <v>10 деревьев или кустарников</v>
      </c>
      <c r="E80" s="70"/>
      <c r="F80" s="58"/>
      <c r="G80" s="72">
        <f>Source!I149</f>
        <v>9.1</v>
      </c>
    </row>
    <row r="81" spans="1:7" x14ac:dyDescent="0.2">
      <c r="A81" s="73"/>
      <c r="B81" s="73"/>
      <c r="C81" s="74" t="str">
        <f>"Объем: "&amp;Source!I149&amp;"=91/"&amp;"10"</f>
        <v>Объем: 9,1=91/10</v>
      </c>
      <c r="D81" s="73"/>
      <c r="E81" s="73"/>
      <c r="F81" s="73"/>
      <c r="G81" s="73"/>
    </row>
    <row r="82" spans="1:7" ht="14.25" x14ac:dyDescent="0.2">
      <c r="A82" s="68">
        <v>13.1</v>
      </c>
      <c r="B82" s="56" t="str">
        <f>SmtRes!I36</f>
        <v>9999990008</v>
      </c>
      <c r="C82" s="56" t="str">
        <f>SmtRes!K36</f>
        <v>Трудозатраты рабочих</v>
      </c>
      <c r="D82" s="57" t="str">
        <f>SmtRes!O36</f>
        <v>чел.-ч.</v>
      </c>
      <c r="E82" s="70">
        <f>SmtRes!AT36</f>
        <v>47.6</v>
      </c>
      <c r="F82" s="58" t="str">
        <f>SmtRes!AU36</f>
        <v/>
      </c>
      <c r="G82" s="70">
        <f>SmtRes!Y36*Source!I149</f>
        <v>433.15999999999997</v>
      </c>
    </row>
    <row r="83" spans="1:7" ht="28.5" x14ac:dyDescent="0.2">
      <c r="A83" s="68">
        <v>13.2</v>
      </c>
      <c r="B83" s="56" t="str">
        <f>SmtRes!I37</f>
        <v>2.1-3-38</v>
      </c>
      <c r="C83" s="56" t="str">
        <f>SmtRes!K37</f>
        <v>Краны на автомобильном ходу, грузоподъемность до 16 т</v>
      </c>
      <c r="D83" s="57" t="str">
        <f>SmtRes!O37</f>
        <v>маш.-ч.</v>
      </c>
      <c r="E83" s="70">
        <f>SmtRes!AT37</f>
        <v>1.79</v>
      </c>
      <c r="F83" s="58" t="str">
        <f>SmtRes!AU37</f>
        <v/>
      </c>
      <c r="G83" s="70">
        <f>SmtRes!Y37*Source!I149</f>
        <v>16.288999999999998</v>
      </c>
    </row>
    <row r="84" spans="1:7" ht="28.5" x14ac:dyDescent="0.2">
      <c r="A84" s="68">
        <v>13.3</v>
      </c>
      <c r="B84" s="56" t="str">
        <f>SmtRes!I38</f>
        <v>2.1-5-18</v>
      </c>
      <c r="C84" s="56" t="str">
        <f>SmtRes!K38</f>
        <v>Машины поливомоечные, емкость цистерны до 8 м3</v>
      </c>
      <c r="D84" s="57" t="str">
        <f>SmtRes!O38</f>
        <v>маш.-ч.</v>
      </c>
      <c r="E84" s="70">
        <f>SmtRes!AT38</f>
        <v>1.47</v>
      </c>
      <c r="F84" s="58" t="str">
        <f>SmtRes!AU38</f>
        <v/>
      </c>
      <c r="G84" s="70">
        <f>SmtRes!Y38*Source!I149</f>
        <v>13.376999999999999</v>
      </c>
    </row>
    <row r="85" spans="1:7" ht="14.25" x14ac:dyDescent="0.2">
      <c r="A85" s="68">
        <v>13.4</v>
      </c>
      <c r="B85" s="56" t="str">
        <f>SmtRes!I39</f>
        <v>1.1-1-118</v>
      </c>
      <c r="C85" s="56" t="str">
        <f>SmtRes!K39</f>
        <v>Вода</v>
      </c>
      <c r="D85" s="57" t="str">
        <f>SmtRes!O39</f>
        <v>м3</v>
      </c>
      <c r="E85" s="70">
        <f>SmtRes!AT39</f>
        <v>5.2</v>
      </c>
      <c r="F85" s="58" t="str">
        <f>SmtRes!AU39</f>
        <v/>
      </c>
      <c r="G85" s="70">
        <f>SmtRes!Y39*Source!I149</f>
        <v>47.32</v>
      </c>
    </row>
    <row r="86" spans="1:7" ht="14.25" x14ac:dyDescent="0.2">
      <c r="A86" s="68">
        <v>13.5</v>
      </c>
      <c r="B86" s="56" t="str">
        <f>SmtRes!I40</f>
        <v>9999990006</v>
      </c>
      <c r="C86" s="56" t="str">
        <f>SmtRes!K40</f>
        <v>Стоимость прочих материалов (ЭСН)</v>
      </c>
      <c r="D86" s="57" t="str">
        <f>SmtRes!O40</f>
        <v>руб.</v>
      </c>
      <c r="E86" s="70">
        <f>SmtRes!AT40</f>
        <v>37.24</v>
      </c>
      <c r="F86" s="58" t="str">
        <f>SmtRes!AU40</f>
        <v/>
      </c>
      <c r="G86" s="70">
        <f>SmtRes!Y40*Source!I149</f>
        <v>338.88400000000001</v>
      </c>
    </row>
    <row r="87" spans="1:7" ht="99.75" x14ac:dyDescent="0.25">
      <c r="A87" s="68" t="str">
        <f>Source!E150</f>
        <v>14</v>
      </c>
      <c r="B87" s="69" t="str">
        <f>Source!F150</f>
        <v>3.1-6-10</v>
      </c>
      <c r="C87" s="56" t="str">
        <f>Source!G150</f>
        <v>Разработка грунта с погрузкой на автомобили-самосвалы экскаваторами с ковшом вместимостью 0,5 м3 группа грунтов 1-3 (Объем грунта на 1 дерево: (3,07 м3 - 0,6 м3) х 50% + 0,6 м3 = 1,835 м3; Общий объем грунта: 1,835 м3/дер. х 91 дер. = 166,985 м3)</v>
      </c>
      <c r="D87" s="71" t="str">
        <f>Source!H150</f>
        <v>100 м3 грунта</v>
      </c>
      <c r="E87" s="70"/>
      <c r="F87" s="58"/>
      <c r="G87" s="72">
        <f>Source!I150</f>
        <v>1.6698500000000001</v>
      </c>
    </row>
    <row r="88" spans="1:7" x14ac:dyDescent="0.2">
      <c r="A88" s="73"/>
      <c r="B88" s="73"/>
      <c r="C88" s="74" t="str">
        <f>"Объем: "&amp;Source!I150&amp;"=166,985/"&amp;"100"</f>
        <v>Объем: 1,66985=166,985/100</v>
      </c>
      <c r="D88" s="73"/>
      <c r="E88" s="73"/>
      <c r="F88" s="73"/>
      <c r="G88" s="73"/>
    </row>
    <row r="89" spans="1:7" ht="14.25" x14ac:dyDescent="0.2">
      <c r="A89" s="68">
        <v>14.1</v>
      </c>
      <c r="B89" s="56" t="str">
        <f>SmtRes!I41</f>
        <v>9999990008</v>
      </c>
      <c r="C89" s="56" t="str">
        <f>SmtRes!K41</f>
        <v>Трудозатраты рабочих</v>
      </c>
      <c r="D89" s="57" t="str">
        <f>SmtRes!O41</f>
        <v>чел.-ч.</v>
      </c>
      <c r="E89" s="70">
        <f>SmtRes!AT41</f>
        <v>1.38</v>
      </c>
      <c r="F89" s="58" t="str">
        <f>SmtRes!AU41</f>
        <v/>
      </c>
      <c r="G89" s="70">
        <f>SmtRes!Y41*Source!I150</f>
        <v>2.3043929999999997</v>
      </c>
    </row>
    <row r="90" spans="1:7" ht="28.5" x14ac:dyDescent="0.2">
      <c r="A90" s="68">
        <v>14.2</v>
      </c>
      <c r="B90" s="56" t="str">
        <f>SmtRes!I42</f>
        <v>2.1-1-4</v>
      </c>
      <c r="C90" s="56" t="str">
        <f>SmtRes!K42</f>
        <v>Экскаваторы на гусеничном ходу гидравлические, объем ковша до 0,5 м3</v>
      </c>
      <c r="D90" s="57" t="str">
        <f>SmtRes!O42</f>
        <v>маш.-ч.</v>
      </c>
      <c r="E90" s="70">
        <f>SmtRes!AT42</f>
        <v>3.9874999999999998</v>
      </c>
      <c r="F90" s="58" t="str">
        <f>SmtRes!AU42</f>
        <v/>
      </c>
      <c r="G90" s="70">
        <f>SmtRes!Y42*Source!I150</f>
        <v>6.6585268749999997</v>
      </c>
    </row>
    <row r="91" spans="1:7" ht="28.5" x14ac:dyDescent="0.2">
      <c r="A91" s="68">
        <v>14.3</v>
      </c>
      <c r="B91" s="56" t="str">
        <f>SmtRes!I43</f>
        <v>2.1-1-44</v>
      </c>
      <c r="C91" s="56" t="str">
        <f>SmtRes!K43</f>
        <v>Бульдозеры гусеничные, мощность до 79 кВт (108 л.с.)</v>
      </c>
      <c r="D91" s="57" t="str">
        <f>SmtRes!O43</f>
        <v>маш.-ч.</v>
      </c>
      <c r="E91" s="70">
        <f>SmtRes!AT43</f>
        <v>0.997</v>
      </c>
      <c r="F91" s="58" t="str">
        <f>SmtRes!AU43</f>
        <v/>
      </c>
      <c r="G91" s="70">
        <f>SmtRes!Y43*Source!I150</f>
        <v>1.66484045</v>
      </c>
    </row>
    <row r="92" spans="1:7" ht="42.75" x14ac:dyDescent="0.25">
      <c r="A92" s="68" t="str">
        <f>Source!E151</f>
        <v>15</v>
      </c>
      <c r="B92" s="69" t="str">
        <f>Source!F151</f>
        <v>3.47-1-2</v>
      </c>
      <c r="C92" s="56" t="str">
        <f>Source!G151</f>
        <v>Планировка участка вручную (разравнивание грунта от разработки ям, толщина слоя 0,1 м)</v>
      </c>
      <c r="D92" s="71" t="str">
        <f>Source!H151</f>
        <v>100 м2</v>
      </c>
      <c r="E92" s="70"/>
      <c r="F92" s="58"/>
      <c r="G92" s="72">
        <f>Source!I151</f>
        <v>16.698499999999999</v>
      </c>
    </row>
    <row r="93" spans="1:7" x14ac:dyDescent="0.2">
      <c r="A93" s="73"/>
      <c r="B93" s="73"/>
      <c r="C93" s="74" t="str">
        <f>"Объем: "&amp;Source!I151&amp;"=(166,985/"&amp;"0,1)/"&amp;"100"</f>
        <v>Объем: 16,6985=(166,985/0,1)/100</v>
      </c>
      <c r="D93" s="73"/>
      <c r="E93" s="73"/>
      <c r="F93" s="73"/>
      <c r="G93" s="73"/>
    </row>
    <row r="94" spans="1:7" ht="14.25" x14ac:dyDescent="0.2">
      <c r="A94" s="68">
        <v>15.1</v>
      </c>
      <c r="B94" s="56" t="str">
        <f>SmtRes!I44</f>
        <v>9999990008</v>
      </c>
      <c r="C94" s="56" t="str">
        <f>SmtRes!K44</f>
        <v>Трудозатраты рабочих</v>
      </c>
      <c r="D94" s="57" t="str">
        <f>SmtRes!O44</f>
        <v>чел.-ч.</v>
      </c>
      <c r="E94" s="70">
        <f>SmtRes!AT44</f>
        <v>10.199999999999999</v>
      </c>
      <c r="F94" s="58" t="str">
        <f>SmtRes!AU44</f>
        <v/>
      </c>
      <c r="G94" s="70">
        <f>SmtRes!Y44*Source!I151</f>
        <v>170.32469999999998</v>
      </c>
    </row>
    <row r="95" spans="1:7" ht="16.5" x14ac:dyDescent="0.25">
      <c r="A95" s="317" t="str">
        <f>Source!G183</f>
        <v>Восстановление отпада деревьев с комом земли 1,0х1,0х0,6 м - 4 шт.</v>
      </c>
      <c r="B95" s="317"/>
      <c r="C95" s="317"/>
      <c r="D95" s="317"/>
      <c r="E95" s="317"/>
      <c r="F95" s="317"/>
      <c r="G95" s="317"/>
    </row>
    <row r="96" spans="1:7" ht="71.25" x14ac:dyDescent="0.25">
      <c r="A96" s="68" t="str">
        <f>Source!E187</f>
        <v>16</v>
      </c>
      <c r="B96" s="69" t="str">
        <f>Source!F187</f>
        <v>3.47-3-11</v>
      </c>
      <c r="C96" s="56" t="str">
        <f>Source!G187</f>
        <v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v>
      </c>
      <c r="D96" s="71" t="str">
        <f>Source!H187</f>
        <v>10 ям</v>
      </c>
      <c r="E96" s="70"/>
      <c r="F96" s="58"/>
      <c r="G96" s="72">
        <f>Source!I187</f>
        <v>0.3</v>
      </c>
    </row>
    <row r="97" spans="1:7" x14ac:dyDescent="0.2">
      <c r="A97" s="73"/>
      <c r="B97" s="73"/>
      <c r="C97" s="74" t="str">
        <f>"Объем: "&amp;Source!I187&amp;"=(4*"&amp;"0,75)/"&amp;"10"</f>
        <v>Объем: 0,3=(4*0,75)/10</v>
      </c>
      <c r="D97" s="73"/>
      <c r="E97" s="73"/>
      <c r="F97" s="73"/>
      <c r="G97" s="73"/>
    </row>
    <row r="98" spans="1:7" ht="14.25" x14ac:dyDescent="0.2">
      <c r="A98" s="68">
        <v>16.100000000000001</v>
      </c>
      <c r="B98" s="56" t="str">
        <f>SmtRes!I45</f>
        <v>9999990008</v>
      </c>
      <c r="C98" s="56" t="str">
        <f>SmtRes!K45</f>
        <v>Трудозатраты рабочих</v>
      </c>
      <c r="D98" s="57" t="str">
        <f>SmtRes!O45</f>
        <v>чел.-ч.</v>
      </c>
      <c r="E98" s="70">
        <f>SmtRes!AT45</f>
        <v>15.31</v>
      </c>
      <c r="F98" s="58" t="str">
        <f>SmtRes!AU45</f>
        <v/>
      </c>
      <c r="G98" s="70">
        <f>SmtRes!Y45*Source!I187</f>
        <v>4.593</v>
      </c>
    </row>
    <row r="99" spans="1:7" ht="28.5" x14ac:dyDescent="0.2">
      <c r="A99" s="68">
        <v>16.2</v>
      </c>
      <c r="B99" s="56" t="str">
        <f>SmtRes!I46</f>
        <v>2.1-1-24</v>
      </c>
      <c r="C99" s="56" t="str">
        <f>SmtRes!K46</f>
        <v>Экскаваторы на пневмоколесном тракторе гидравлические, объем ковша до 0,25 м3</v>
      </c>
      <c r="D99" s="57" t="str">
        <f>SmtRes!O46</f>
        <v>маш.-ч.</v>
      </c>
      <c r="E99" s="70">
        <f>SmtRes!AT46</f>
        <v>1.21</v>
      </c>
      <c r="F99" s="58" t="str">
        <f>SmtRes!AU46</f>
        <v/>
      </c>
      <c r="G99" s="70">
        <f>SmtRes!Y46*Source!I187</f>
        <v>0.36299999999999999</v>
      </c>
    </row>
    <row r="100" spans="1:7" ht="57" x14ac:dyDescent="0.25">
      <c r="A100" s="68" t="str">
        <f>Source!E188</f>
        <v>17</v>
      </c>
      <c r="B100" s="69" t="str">
        <f>Source!F188</f>
        <v>3.47-5-11</v>
      </c>
      <c r="C100" s="56" t="str">
        <f>Source!G188</f>
        <v>Подготовка стандартных посадочных мест вручную с квадратным комом земли размером 1,0х1,0х0,6 м в естественном грунте</v>
      </c>
      <c r="D100" s="71" t="str">
        <f>Source!H188</f>
        <v>10 ям</v>
      </c>
      <c r="E100" s="70"/>
      <c r="F100" s="58"/>
      <c r="G100" s="72">
        <f>Source!I188</f>
        <v>0.1</v>
      </c>
    </row>
    <row r="101" spans="1:7" x14ac:dyDescent="0.2">
      <c r="A101" s="73"/>
      <c r="B101" s="73"/>
      <c r="C101" s="74" t="str">
        <f>"Объем: "&amp;Source!I188&amp;"=(4*"&amp;"0,25)/"&amp;"10"</f>
        <v>Объем: 0,1=(4*0,25)/10</v>
      </c>
      <c r="D101" s="73"/>
      <c r="E101" s="73"/>
      <c r="F101" s="73"/>
      <c r="G101" s="73"/>
    </row>
    <row r="102" spans="1:7" ht="14.25" x14ac:dyDescent="0.2">
      <c r="A102" s="68">
        <v>17.100000000000001</v>
      </c>
      <c r="B102" s="56" t="str">
        <f>SmtRes!I47</f>
        <v>9999990008</v>
      </c>
      <c r="C102" s="56" t="str">
        <f>SmtRes!K47</f>
        <v>Трудозатраты рабочих</v>
      </c>
      <c r="D102" s="57" t="str">
        <f>SmtRes!O47</f>
        <v>чел.-ч.</v>
      </c>
      <c r="E102" s="70">
        <f>SmtRes!AT47</f>
        <v>43.21</v>
      </c>
      <c r="F102" s="58" t="str">
        <f>SmtRes!AU47</f>
        <v/>
      </c>
      <c r="G102" s="70">
        <f>SmtRes!Y47*Source!I188</f>
        <v>4.3210000000000006</v>
      </c>
    </row>
    <row r="103" spans="1:7" ht="75" x14ac:dyDescent="0.25">
      <c r="A103" s="68" t="str">
        <f>Source!E189</f>
        <v>18</v>
      </c>
      <c r="B103" s="69" t="str">
        <f>Source!F189</f>
        <v>3.47-7-7</v>
      </c>
      <c r="C103" s="56" t="str">
        <f>Source!G189</f>
        <v>Посадка деревьев и кустарников с комом земли размером 1,0х1,0х0,6 м</v>
      </c>
      <c r="D103" s="71" t="str">
        <f>Source!H189</f>
        <v>10 деревьев или кустарников</v>
      </c>
      <c r="E103" s="70"/>
      <c r="F103" s="58"/>
      <c r="G103" s="72">
        <f>Source!I189</f>
        <v>0.4</v>
      </c>
    </row>
    <row r="104" spans="1:7" x14ac:dyDescent="0.2">
      <c r="A104" s="73"/>
      <c r="B104" s="73"/>
      <c r="C104" s="74" t="str">
        <f>"Объем: "&amp;Source!I189&amp;"=4/"&amp;"10"</f>
        <v>Объем: 0,4=4/10</v>
      </c>
      <c r="D104" s="73"/>
      <c r="E104" s="73"/>
      <c r="F104" s="73"/>
      <c r="G104" s="73"/>
    </row>
    <row r="105" spans="1:7" ht="14.25" x14ac:dyDescent="0.2">
      <c r="A105" s="68">
        <v>18.100000000000001</v>
      </c>
      <c r="B105" s="56" t="str">
        <f>SmtRes!I48</f>
        <v>9999990008</v>
      </c>
      <c r="C105" s="56" t="str">
        <f>SmtRes!K48</f>
        <v>Трудозатраты рабочих</v>
      </c>
      <c r="D105" s="57" t="str">
        <f>SmtRes!O48</f>
        <v>чел.-ч.</v>
      </c>
      <c r="E105" s="70">
        <f>SmtRes!AT48</f>
        <v>47.6</v>
      </c>
      <c r="F105" s="58" t="str">
        <f>SmtRes!AU48</f>
        <v/>
      </c>
      <c r="G105" s="70">
        <f>SmtRes!Y48*Source!I189</f>
        <v>19.040000000000003</v>
      </c>
    </row>
    <row r="106" spans="1:7" ht="28.5" x14ac:dyDescent="0.2">
      <c r="A106" s="68">
        <v>18.2</v>
      </c>
      <c r="B106" s="56" t="str">
        <f>SmtRes!I49</f>
        <v>2.1-3-38</v>
      </c>
      <c r="C106" s="56" t="str">
        <f>SmtRes!K49</f>
        <v>Краны на автомобильном ходу, грузоподъемность до 16 т</v>
      </c>
      <c r="D106" s="57" t="str">
        <f>SmtRes!O49</f>
        <v>маш.-ч.</v>
      </c>
      <c r="E106" s="70">
        <f>SmtRes!AT49</f>
        <v>1.79</v>
      </c>
      <c r="F106" s="58" t="str">
        <f>SmtRes!AU49</f>
        <v/>
      </c>
      <c r="G106" s="70">
        <f>SmtRes!Y49*Source!I189</f>
        <v>0.71600000000000008</v>
      </c>
    </row>
    <row r="107" spans="1:7" ht="28.5" x14ac:dyDescent="0.2">
      <c r="A107" s="68">
        <v>18.3</v>
      </c>
      <c r="B107" s="56" t="str">
        <f>SmtRes!I50</f>
        <v>2.1-5-18</v>
      </c>
      <c r="C107" s="56" t="str">
        <f>SmtRes!K50</f>
        <v>Машины поливомоечные, емкость цистерны до 8 м3</v>
      </c>
      <c r="D107" s="57" t="str">
        <f>SmtRes!O50</f>
        <v>маш.-ч.</v>
      </c>
      <c r="E107" s="70">
        <f>SmtRes!AT50</f>
        <v>1.47</v>
      </c>
      <c r="F107" s="58" t="str">
        <f>SmtRes!AU50</f>
        <v/>
      </c>
      <c r="G107" s="70">
        <f>SmtRes!Y50*Source!I189</f>
        <v>0.58799999999999997</v>
      </c>
    </row>
    <row r="108" spans="1:7" ht="14.25" x14ac:dyDescent="0.2">
      <c r="A108" s="68">
        <v>18.399999999999999</v>
      </c>
      <c r="B108" s="56" t="str">
        <f>SmtRes!I51</f>
        <v>1.1-1-118</v>
      </c>
      <c r="C108" s="56" t="str">
        <f>SmtRes!K51</f>
        <v>Вода</v>
      </c>
      <c r="D108" s="57" t="str">
        <f>SmtRes!O51</f>
        <v>м3</v>
      </c>
      <c r="E108" s="70">
        <f>SmtRes!AT51</f>
        <v>5.2</v>
      </c>
      <c r="F108" s="58" t="str">
        <f>SmtRes!AU51</f>
        <v/>
      </c>
      <c r="G108" s="70">
        <f>SmtRes!Y51*Source!I189</f>
        <v>2.08</v>
      </c>
    </row>
    <row r="109" spans="1:7" ht="14.25" x14ac:dyDescent="0.2">
      <c r="A109" s="68">
        <v>18.5</v>
      </c>
      <c r="B109" s="56" t="str">
        <f>SmtRes!I52</f>
        <v>9999990006</v>
      </c>
      <c r="C109" s="56" t="str">
        <f>SmtRes!K52</f>
        <v>Стоимость прочих материалов (ЭСН)</v>
      </c>
      <c r="D109" s="57" t="str">
        <f>SmtRes!O52</f>
        <v>руб.</v>
      </c>
      <c r="E109" s="70">
        <f>SmtRes!AT52</f>
        <v>37.24</v>
      </c>
      <c r="F109" s="58" t="str">
        <f>SmtRes!AU52</f>
        <v/>
      </c>
      <c r="G109" s="70">
        <f>SmtRes!Y52*Source!I189</f>
        <v>14.896000000000001</v>
      </c>
    </row>
    <row r="110" spans="1:7" ht="16.5" x14ac:dyDescent="0.25">
      <c r="A110" s="317" t="str">
        <f>Source!G221</f>
        <v>Уход за деревьями с комом 1,0х1,0х0,6 м - 91 шт.</v>
      </c>
      <c r="B110" s="317"/>
      <c r="C110" s="317"/>
      <c r="D110" s="317"/>
      <c r="E110" s="317"/>
      <c r="F110" s="317"/>
      <c r="G110" s="317"/>
    </row>
    <row r="111" spans="1:7" ht="128.25" x14ac:dyDescent="0.25">
      <c r="A111" s="68" t="str">
        <f>Source!E225</f>
        <v>19</v>
      </c>
      <c r="B111" s="69" t="str">
        <f>Source!F225</f>
        <v>3.47-48-1</v>
      </c>
      <c r="C111" s="56" t="s">
        <v>296</v>
      </c>
      <c r="D111" s="71" t="str">
        <f>Source!H225</f>
        <v>1 м3 выливаемой воды</v>
      </c>
      <c r="E111" s="70"/>
      <c r="F111" s="58"/>
      <c r="G111" s="72">
        <f>Source!I225</f>
        <v>9.8552999999999997</v>
      </c>
    </row>
    <row r="112" spans="1:7" x14ac:dyDescent="0.2">
      <c r="A112" s="73"/>
      <c r="B112" s="73"/>
      <c r="C112" s="74" t="str">
        <f>"Объем: "&amp;Source!I225&amp;"=30*"&amp;"3,61/"&amp;"1000*"&amp;"91"</f>
        <v>Объем: 9,8553=30*3,61/1000*91</v>
      </c>
      <c r="D112" s="73"/>
      <c r="E112" s="73"/>
      <c r="F112" s="73"/>
      <c r="G112" s="73"/>
    </row>
    <row r="113" spans="1:7" ht="14.25" x14ac:dyDescent="0.2">
      <c r="A113" s="68">
        <v>19.100000000000001</v>
      </c>
      <c r="B113" s="56" t="str">
        <f>SmtRes!I53</f>
        <v>9999990008</v>
      </c>
      <c r="C113" s="56" t="str">
        <f>SmtRes!K53</f>
        <v>Трудозатраты рабочих</v>
      </c>
      <c r="D113" s="57" t="str">
        <f>SmtRes!O53</f>
        <v>чел.-ч.</v>
      </c>
      <c r="E113" s="70">
        <f>SmtRes!AT53</f>
        <v>0.49</v>
      </c>
      <c r="F113" s="58" t="str">
        <f>SmtRes!AU53</f>
        <v>)*4</v>
      </c>
      <c r="G113" s="70">
        <f>SmtRes!Y53*Source!I225</f>
        <v>19.316388</v>
      </c>
    </row>
    <row r="114" spans="1:7" ht="28.5" x14ac:dyDescent="0.2">
      <c r="A114" s="68">
        <v>19.2</v>
      </c>
      <c r="B114" s="56" t="str">
        <f>SmtRes!I54</f>
        <v>2.1-5-18</v>
      </c>
      <c r="C114" s="56" t="str">
        <f>SmtRes!K54</f>
        <v>Машины поливомоечные, емкость цистерны до 8 м3</v>
      </c>
      <c r="D114" s="57" t="str">
        <f>SmtRes!O54</f>
        <v>маш.-ч.</v>
      </c>
      <c r="E114" s="70">
        <f>SmtRes!AT54</f>
        <v>0.24</v>
      </c>
      <c r="F114" s="58" t="str">
        <f>SmtRes!AU54</f>
        <v>)*4</v>
      </c>
      <c r="G114" s="70">
        <f>SmtRes!Y54*Source!I225</f>
        <v>9.4610880000000002</v>
      </c>
    </row>
    <row r="115" spans="1:7" ht="14.25" x14ac:dyDescent="0.2">
      <c r="A115" s="68">
        <v>19.3</v>
      </c>
      <c r="B115" s="56" t="str">
        <f>SmtRes!I55</f>
        <v>1.1-1-118</v>
      </c>
      <c r="C115" s="56" t="str">
        <f>SmtRes!K55</f>
        <v>Вода</v>
      </c>
      <c r="D115" s="57" t="str">
        <f>SmtRes!O55</f>
        <v>м3</v>
      </c>
      <c r="E115" s="70">
        <f>SmtRes!AT55</f>
        <v>1</v>
      </c>
      <c r="F115" s="58" t="str">
        <f>SmtRes!AU55</f>
        <v>)*4</v>
      </c>
      <c r="G115" s="70">
        <f>SmtRes!Y55*Source!I225</f>
        <v>39.421199999999999</v>
      </c>
    </row>
    <row r="116" spans="1:7" ht="128.25" x14ac:dyDescent="0.25">
      <c r="A116" s="68" t="str">
        <f>Source!E226</f>
        <v>20</v>
      </c>
      <c r="B116" s="69" t="str">
        <f>Source!F226</f>
        <v>3.47-49-3</v>
      </c>
      <c r="C116" s="56" t="s">
        <v>297</v>
      </c>
      <c r="D116" s="71" t="str">
        <f>Source!H226</f>
        <v>100 м2 площади лунок или канавок</v>
      </c>
      <c r="E116" s="70"/>
      <c r="F116" s="58"/>
      <c r="G116" s="72">
        <f>Source!I226</f>
        <v>3.2850999999999999</v>
      </c>
    </row>
    <row r="117" spans="1:7" x14ac:dyDescent="0.2">
      <c r="A117" s="73"/>
      <c r="B117" s="73"/>
      <c r="C117" s="74" t="str">
        <f>"Объем: "&amp;Source!I226&amp;"=(3,61*"&amp;"91)/"&amp;"100"</f>
        <v>Объем: 3,2851=(3,61*91)/100</v>
      </c>
      <c r="D117" s="73"/>
      <c r="E117" s="73"/>
      <c r="F117" s="73"/>
      <c r="G117" s="73"/>
    </row>
    <row r="118" spans="1:7" ht="14.25" x14ac:dyDescent="0.2">
      <c r="A118" s="68">
        <v>20.100000000000001</v>
      </c>
      <c r="B118" s="56" t="str">
        <f>SmtRes!I56</f>
        <v>9999990008</v>
      </c>
      <c r="C118" s="56" t="str">
        <f>SmtRes!K56</f>
        <v>Трудозатраты рабочих</v>
      </c>
      <c r="D118" s="57" t="str">
        <f>SmtRes!O56</f>
        <v>чел.-ч.</v>
      </c>
      <c r="E118" s="70">
        <f>SmtRes!AT56</f>
        <v>6.59</v>
      </c>
      <c r="F118" s="58" t="str">
        <f>SmtRes!AU56</f>
        <v>)*4</v>
      </c>
      <c r="G118" s="70">
        <f>SmtRes!Y56*Source!I226</f>
        <v>86.595236</v>
      </c>
    </row>
  </sheetData>
  <mergeCells count="12">
    <mergeCell ref="A110:G110"/>
    <mergeCell ref="A3:G3"/>
    <mergeCell ref="A4:G4"/>
    <mergeCell ref="A6:G6"/>
    <mergeCell ref="A8:G8"/>
    <mergeCell ref="A9:G9"/>
    <mergeCell ref="A11:B11"/>
    <mergeCell ref="A17:G17"/>
    <mergeCell ref="A44:G44"/>
    <mergeCell ref="A59:G59"/>
    <mergeCell ref="A68:G68"/>
    <mergeCell ref="A95:G95"/>
  </mergeCells>
  <pageMargins left="0.39370078740157483" right="0.19685039370078741" top="0.39370078740157483" bottom="0.39370078740157483" header="0.19685039370078741" footer="0.19685039370078741"/>
  <pageSetup paperSize="9" scale="80" fitToHeight="0" orientation="portrait" verticalDpi="0" r:id="rId1"/>
  <headerFooter>
    <oddFooter>&amp;R&amp;P</oddFooter>
  </headerFooter>
  <rowBreaks count="2" manualBreakCount="2">
    <brk id="24" max="6" man="1"/>
    <brk id="1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4"/>
  <sheetViews>
    <sheetView zoomScaleNormal="100" workbookViewId="0">
      <selection activeCell="A7" sqref="A7"/>
    </sheetView>
  </sheetViews>
  <sheetFormatPr defaultRowHeight="12.75" x14ac:dyDescent="0.2"/>
  <cols>
    <col min="1" max="1" width="6.7109375" customWidth="1"/>
    <col min="2" max="2" width="15.7109375" customWidth="1"/>
    <col min="3" max="3" width="45.7109375" customWidth="1"/>
    <col min="4" max="7" width="12.7109375" customWidth="1"/>
    <col min="27" max="27" width="117.7109375" customWidth="1"/>
  </cols>
  <sheetData>
    <row r="1" spans="1:27" x14ac:dyDescent="0.2">
      <c r="A1" s="9" t="str">
        <f>Source!B1</f>
        <v>Smeta.RU  (495) 974-1589</v>
      </c>
    </row>
    <row r="2" spans="1:27" ht="14.25" x14ac:dyDescent="0.2">
      <c r="A2" s="12"/>
      <c r="B2" s="12"/>
      <c r="C2" s="12"/>
      <c r="D2" s="12"/>
      <c r="E2" s="12"/>
      <c r="F2" s="12"/>
      <c r="G2" s="12"/>
    </row>
    <row r="3" spans="1:27" ht="31.5" x14ac:dyDescent="0.25">
      <c r="A3" s="285" t="str">
        <f>IF(Source!G12&lt;&gt;"Новый объект", Source!G12, "")</f>
        <v>Озеленение особо охраняемых природных территорий города Москвы в рамках программы "Наше дерево" в весенний период 2021 года</v>
      </c>
      <c r="B3" s="285"/>
      <c r="C3" s="285"/>
      <c r="D3" s="285"/>
      <c r="E3" s="285"/>
      <c r="F3" s="285"/>
      <c r="G3" s="285"/>
      <c r="AA3" s="24" t="str">
        <f>IF(Source!G12&lt;&gt;"Новый объект", Source!G12, "")</f>
        <v>Озеленение особо охраняемых природных территорий города Москвы в рамках программы "Наше дерево" в весенний период 2021 года</v>
      </c>
    </row>
    <row r="4" spans="1:27" x14ac:dyDescent="0.2">
      <c r="A4" s="318" t="s">
        <v>246</v>
      </c>
      <c r="B4" s="318"/>
      <c r="C4" s="318"/>
      <c r="D4" s="318"/>
      <c r="E4" s="318"/>
      <c r="F4" s="318"/>
      <c r="G4" s="318"/>
    </row>
    <row r="5" spans="1:27" ht="14.25" x14ac:dyDescent="0.2">
      <c r="A5" s="12"/>
      <c r="B5" s="12"/>
      <c r="C5" s="12"/>
      <c r="D5" s="12"/>
      <c r="E5" s="12"/>
      <c r="F5" s="12"/>
      <c r="G5" s="12"/>
    </row>
    <row r="6" spans="1:27" ht="15.75" x14ac:dyDescent="0.25">
      <c r="A6" s="319" t="str">
        <f>CONCATENATE("ЛОКАЛЬНАЯ РЕСУРСНАЯ ВЕДОМОСТЬ № 2",IF(Source!F290&lt;&gt;"Новая локальная смета", Source!F290, ""))</f>
        <v>ЛОКАЛЬНАЯ РЕСУРСНАЯ ВЕДОМОСТЬ № 2</v>
      </c>
      <c r="B6" s="320"/>
      <c r="C6" s="320"/>
      <c r="D6" s="320"/>
      <c r="E6" s="320"/>
      <c r="F6" s="320"/>
      <c r="G6" s="320"/>
    </row>
    <row r="7" spans="1:27" ht="14.25" x14ac:dyDescent="0.2">
      <c r="A7" s="12"/>
      <c r="B7" s="12"/>
      <c r="C7" s="12"/>
      <c r="D7" s="12"/>
      <c r="E7" s="12"/>
      <c r="F7" s="12"/>
      <c r="G7" s="12"/>
    </row>
    <row r="8" spans="1:27" ht="36" x14ac:dyDescent="0.25">
      <c r="A8" s="287" t="str">
        <f>IF(Source!G290&lt;&gt;"Новая локальная смета", Source!G290, "")</f>
        <v>Затраты на перевозку отходов строительства и сноса, в т.ч. грунта, автотранспортными средствами</v>
      </c>
      <c r="B8" s="287"/>
      <c r="C8" s="287"/>
      <c r="D8" s="287"/>
      <c r="E8" s="287"/>
      <c r="F8" s="287"/>
      <c r="G8" s="287"/>
      <c r="AA8" s="25" t="str">
        <f>IF(Source!G290&lt;&gt;"Новая локальная смета", Source!G290, "")</f>
        <v>Затраты на перевозку отходов строительства и сноса, в т.ч. грунта, автотранспортными средствами</v>
      </c>
    </row>
    <row r="9" spans="1:27" x14ac:dyDescent="0.2">
      <c r="A9" s="288" t="s">
        <v>247</v>
      </c>
      <c r="B9" s="289"/>
      <c r="C9" s="289"/>
      <c r="D9" s="289"/>
      <c r="E9" s="289"/>
      <c r="F9" s="289"/>
      <c r="G9" s="289"/>
    </row>
    <row r="10" spans="1:27" ht="14.25" x14ac:dyDescent="0.2">
      <c r="A10" s="12"/>
      <c r="B10" s="12"/>
      <c r="C10" s="12"/>
      <c r="D10" s="12"/>
      <c r="E10" s="12"/>
      <c r="F10" s="12"/>
      <c r="G10" s="12"/>
    </row>
    <row r="11" spans="1:27" ht="14.25" x14ac:dyDescent="0.2">
      <c r="A11" s="321" t="s">
        <v>248</v>
      </c>
      <c r="B11" s="321"/>
      <c r="C11" s="67" t="str">
        <f>Source!J290</f>
        <v/>
      </c>
      <c r="D11" s="67"/>
      <c r="E11" s="67"/>
      <c r="F11" s="67"/>
      <c r="G11" s="67"/>
    </row>
    <row r="12" spans="1:27" ht="14.25" x14ac:dyDescent="0.2">
      <c r="A12" s="17"/>
      <c r="B12" s="17"/>
      <c r="C12" s="17"/>
      <c r="D12" s="17"/>
      <c r="E12" s="17"/>
      <c r="F12" s="17"/>
      <c r="G12" s="17"/>
    </row>
    <row r="13" spans="1:27" ht="14.25" x14ac:dyDescent="0.2">
      <c r="A13" s="12"/>
      <c r="B13" s="12"/>
      <c r="C13" s="12"/>
      <c r="D13" s="12"/>
      <c r="E13" s="12"/>
      <c r="F13" s="14"/>
      <c r="G13" s="14"/>
    </row>
    <row r="14" spans="1:27" ht="14.25" x14ac:dyDescent="0.2">
      <c r="A14" s="12" t="s">
        <v>269</v>
      </c>
      <c r="B14" s="12"/>
      <c r="C14" s="12"/>
      <c r="D14" s="12"/>
      <c r="E14" s="12"/>
      <c r="F14" s="14"/>
      <c r="G14" s="14"/>
    </row>
    <row r="15" spans="1:27" ht="57" x14ac:dyDescent="0.2">
      <c r="A15" s="22" t="s">
        <v>258</v>
      </c>
      <c r="B15" s="22" t="s">
        <v>291</v>
      </c>
      <c r="C15" s="22" t="s">
        <v>292</v>
      </c>
      <c r="D15" s="22" t="s">
        <v>285</v>
      </c>
      <c r="E15" s="22" t="s">
        <v>293</v>
      </c>
      <c r="F15" s="23" t="s">
        <v>294</v>
      </c>
      <c r="G15" s="23" t="s">
        <v>295</v>
      </c>
    </row>
    <row r="16" spans="1:27" ht="14.25" x14ac:dyDescent="0.2">
      <c r="A16" s="22">
        <v>1</v>
      </c>
      <c r="B16" s="22">
        <v>2</v>
      </c>
      <c r="C16" s="22">
        <v>3</v>
      </c>
      <c r="D16" s="22">
        <v>4</v>
      </c>
      <c r="E16" s="22">
        <v>5</v>
      </c>
      <c r="F16" s="22">
        <v>6</v>
      </c>
      <c r="G16" s="22">
        <v>7</v>
      </c>
    </row>
    <row r="17" spans="1:7" ht="16.5" x14ac:dyDescent="0.25">
      <c r="A17" s="317" t="str">
        <f>Source!G294</f>
        <v>Посадка деревьев с комом земли 1,5х1,5х0,65 м - 4625 шт.</v>
      </c>
      <c r="B17" s="317"/>
      <c r="C17" s="317"/>
      <c r="D17" s="317"/>
      <c r="E17" s="317"/>
      <c r="F17" s="317"/>
      <c r="G17" s="317"/>
    </row>
    <row r="18" spans="1:7" ht="57" x14ac:dyDescent="0.25">
      <c r="A18" s="68" t="str">
        <f>Source!E298</f>
        <v>21</v>
      </c>
      <c r="B18" s="69" t="str">
        <f>Source!F298</f>
        <v>15.2-1-2</v>
      </c>
      <c r="C18" s="56" t="str">
        <f>Source!G298</f>
        <v>Перевозка грунтов растительного слоя и торфов на расстояние до 1 км автосамосвалами грузоподъемностью до 20 т</v>
      </c>
      <c r="D18" s="71" t="str">
        <f>Source!H298</f>
        <v>т</v>
      </c>
      <c r="E18" s="70"/>
      <c r="F18" s="58"/>
      <c r="G18" s="72">
        <f>Source!I298</f>
        <v>21497</v>
      </c>
    </row>
    <row r="19" spans="1:7" x14ac:dyDescent="0.2">
      <c r="A19" s="73"/>
      <c r="B19" s="73"/>
      <c r="C19" s="74" t="str">
        <f>"Объем: "&amp;Source!I298&amp;"=15355*"&amp;"1,4"</f>
        <v>Объем: 21497=15355*1,4</v>
      </c>
      <c r="D19" s="73"/>
      <c r="E19" s="73"/>
      <c r="F19" s="73"/>
      <c r="G19" s="73"/>
    </row>
    <row r="20" spans="1:7" ht="28.5" x14ac:dyDescent="0.2">
      <c r="A20" s="68">
        <v>21.1</v>
      </c>
      <c r="B20" s="56" t="str">
        <f>SmtRes!I57</f>
        <v>2.1-18-39</v>
      </c>
      <c r="C20" s="56" t="str">
        <f>SmtRes!K57</f>
        <v>Автомобили-самосвалы для перевозки грунта, грузоподъемность до 14 т</v>
      </c>
      <c r="D20" s="57" t="str">
        <f>SmtRes!O57</f>
        <v>маш.-ч.</v>
      </c>
      <c r="E20" s="70">
        <f>SmtRes!AT57</f>
        <v>1</v>
      </c>
      <c r="F20" s="58" t="str">
        <f>SmtRes!AU57</f>
        <v/>
      </c>
      <c r="G20" s="70">
        <f>SmtRes!Y57*Source!I298</f>
        <v>21497</v>
      </c>
    </row>
    <row r="21" spans="1:7" ht="16.5" x14ac:dyDescent="0.25">
      <c r="A21" s="317" t="str">
        <f>Source!G330</f>
        <v>Посадка деревьев с комом земли 1,0х1,0х0,6 м - 91 шт.</v>
      </c>
      <c r="B21" s="317"/>
      <c r="C21" s="317"/>
      <c r="D21" s="317"/>
      <c r="E21" s="317"/>
      <c r="F21" s="317"/>
      <c r="G21" s="317"/>
    </row>
    <row r="22" spans="1:7" ht="57" x14ac:dyDescent="0.25">
      <c r="A22" s="68" t="str">
        <f>Source!E334</f>
        <v>22</v>
      </c>
      <c r="B22" s="69" t="str">
        <f>Source!F334</f>
        <v>15.2-1-2</v>
      </c>
      <c r="C22" s="56" t="str">
        <f>Source!G334</f>
        <v>Перевозка грунтов растительного слоя и торфов на расстояние до 1 км автосамосвалами грузоподъемностью до 20 т</v>
      </c>
      <c r="D22" s="71" t="str">
        <f>Source!H334</f>
        <v>т</v>
      </c>
      <c r="E22" s="70"/>
      <c r="F22" s="58"/>
      <c r="G22" s="72">
        <f>Source!I334</f>
        <v>233.779</v>
      </c>
    </row>
    <row r="23" spans="1:7" x14ac:dyDescent="0.2">
      <c r="A23" s="73"/>
      <c r="B23" s="73"/>
      <c r="C23" s="74" t="str">
        <f>"Объем: "&amp;Source!I334&amp;"=166,985*"&amp;"1,4"</f>
        <v>Объем: 233,779=166,985*1,4</v>
      </c>
      <c r="D23" s="73"/>
      <c r="E23" s="73"/>
      <c r="F23" s="73"/>
      <c r="G23" s="73"/>
    </row>
    <row r="24" spans="1:7" ht="28.5" x14ac:dyDescent="0.2">
      <c r="A24" s="68">
        <v>22.1</v>
      </c>
      <c r="B24" s="56" t="str">
        <f>SmtRes!I58</f>
        <v>2.1-18-39</v>
      </c>
      <c r="C24" s="56" t="str">
        <f>SmtRes!K58</f>
        <v>Автомобили-самосвалы для перевозки грунта, грузоподъемность до 14 т</v>
      </c>
      <c r="D24" s="57" t="str">
        <f>SmtRes!O58</f>
        <v>маш.-ч.</v>
      </c>
      <c r="E24" s="70">
        <f>SmtRes!AT58</f>
        <v>1</v>
      </c>
      <c r="F24" s="58" t="str">
        <f>SmtRes!AU58</f>
        <v/>
      </c>
      <c r="G24" s="70">
        <f>SmtRes!Y58*Source!I334</f>
        <v>233.779</v>
      </c>
    </row>
  </sheetData>
  <mergeCells count="8">
    <mergeCell ref="A17:G17"/>
    <mergeCell ref="A21:G21"/>
    <mergeCell ref="A3:G3"/>
    <mergeCell ref="A4:G4"/>
    <mergeCell ref="A6:G6"/>
    <mergeCell ref="A8:G8"/>
    <mergeCell ref="A9:G9"/>
    <mergeCell ref="A11:B11"/>
  </mergeCells>
  <pageMargins left="0.39370078740157483" right="0.19685039370078741" top="0.39370078740157483" bottom="0.39370078740157483" header="0.19685039370078741" footer="0.19685039370078741"/>
  <pageSetup paperSize="9" scale="83" fitToHeight="0" orientation="portrait" verticalDpi="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"/>
  <sheetViews>
    <sheetView zoomScaleNormal="100" workbookViewId="0">
      <selection activeCell="A7" sqref="A7"/>
    </sheetView>
  </sheetViews>
  <sheetFormatPr defaultRowHeight="12.75" x14ac:dyDescent="0.2"/>
  <cols>
    <col min="1" max="1" width="6.7109375" customWidth="1"/>
    <col min="2" max="2" width="15.7109375" customWidth="1"/>
    <col min="3" max="3" width="45.7109375" customWidth="1"/>
    <col min="4" max="7" width="12.7109375" customWidth="1"/>
    <col min="27" max="27" width="117.7109375" customWidth="1"/>
  </cols>
  <sheetData>
    <row r="1" spans="1:27" x14ac:dyDescent="0.2">
      <c r="A1" s="9" t="str">
        <f>Source!B1</f>
        <v>Smeta.RU  (495) 974-1589</v>
      </c>
    </row>
    <row r="2" spans="1:27" ht="14.25" x14ac:dyDescent="0.2">
      <c r="A2" s="12"/>
      <c r="B2" s="12"/>
      <c r="C2" s="12"/>
      <c r="D2" s="12"/>
      <c r="E2" s="12"/>
      <c r="F2" s="12"/>
      <c r="G2" s="12"/>
    </row>
    <row r="3" spans="1:27" ht="31.5" x14ac:dyDescent="0.25">
      <c r="A3" s="285" t="str">
        <f>IF(Source!G12&lt;&gt;"Новый объект", Source!G12, "")</f>
        <v>Озеленение особо охраняемых природных территорий города Москвы в рамках программы "Наше дерево" в весенний период 2021 года</v>
      </c>
      <c r="B3" s="285"/>
      <c r="C3" s="285"/>
      <c r="D3" s="285"/>
      <c r="E3" s="285"/>
      <c r="F3" s="285"/>
      <c r="G3" s="285"/>
      <c r="AA3" s="24" t="str">
        <f>IF(Source!G12&lt;&gt;"Новый объект", Source!G12, "")</f>
        <v>Озеленение особо охраняемых природных территорий города Москвы в рамках программы "Наше дерево" в весенний период 2021 года</v>
      </c>
    </row>
    <row r="4" spans="1:27" x14ac:dyDescent="0.2">
      <c r="A4" s="318" t="s">
        <v>246</v>
      </c>
      <c r="B4" s="318"/>
      <c r="C4" s="318"/>
      <c r="D4" s="318"/>
      <c r="E4" s="318"/>
      <c r="F4" s="318"/>
      <c r="G4" s="318"/>
    </row>
    <row r="5" spans="1:27" ht="14.25" x14ac:dyDescent="0.2">
      <c r="A5" s="12"/>
      <c r="B5" s="12"/>
      <c r="C5" s="12"/>
      <c r="D5" s="12"/>
      <c r="E5" s="12"/>
      <c r="F5" s="12"/>
      <c r="G5" s="12"/>
    </row>
    <row r="6" spans="1:27" ht="15.75" x14ac:dyDescent="0.25">
      <c r="A6" s="319" t="str">
        <f>CONCATENATE("ЛОКАЛЬНАЯ РЕСУРСНАЯ ВЕДОМОСТЬ № 3",IF(Source!F396&lt;&gt;"Новая локальная смета", Source!F396, ""))</f>
        <v>ЛОКАЛЬНАЯ РЕСУРСНАЯ ВЕДОМОСТЬ № 3</v>
      </c>
      <c r="B6" s="320"/>
      <c r="C6" s="320"/>
      <c r="D6" s="320"/>
      <c r="E6" s="320"/>
      <c r="F6" s="320"/>
      <c r="G6" s="320"/>
    </row>
    <row r="7" spans="1:27" ht="14.25" x14ac:dyDescent="0.2">
      <c r="A7" s="12"/>
      <c r="B7" s="12"/>
      <c r="C7" s="12"/>
      <c r="D7" s="12"/>
      <c r="E7" s="12"/>
      <c r="F7" s="12"/>
      <c r="G7" s="12"/>
    </row>
    <row r="8" spans="1:27" ht="54" x14ac:dyDescent="0.25">
      <c r="A8" s="287" t="str">
        <f>IF(Source!G396&lt;&gt;"Новая локальная смета", Source!G396, "")</f>
        <v>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  <c r="B8" s="287"/>
      <c r="C8" s="287"/>
      <c r="D8" s="287"/>
      <c r="E8" s="287"/>
      <c r="F8" s="287"/>
      <c r="G8" s="287"/>
      <c r="AA8" s="25" t="str">
        <f>IF(Source!G396&lt;&gt;"Новая локальная смета", Source!G396, "")</f>
        <v>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</row>
    <row r="9" spans="1:27" x14ac:dyDescent="0.2">
      <c r="A9" s="288" t="s">
        <v>247</v>
      </c>
      <c r="B9" s="289"/>
      <c r="C9" s="289"/>
      <c r="D9" s="289"/>
      <c r="E9" s="289"/>
      <c r="F9" s="289"/>
      <c r="G9" s="289"/>
    </row>
    <row r="10" spans="1:27" ht="14.25" x14ac:dyDescent="0.2">
      <c r="A10" s="12"/>
      <c r="B10" s="12"/>
      <c r="C10" s="12"/>
      <c r="D10" s="12"/>
      <c r="E10" s="12"/>
      <c r="F10" s="12"/>
      <c r="G10" s="12"/>
    </row>
    <row r="11" spans="1:27" ht="14.25" x14ac:dyDescent="0.2">
      <c r="A11" s="321" t="s">
        <v>248</v>
      </c>
      <c r="B11" s="321"/>
      <c r="C11" s="67" t="str">
        <f>Source!J396</f>
        <v/>
      </c>
      <c r="D11" s="67"/>
      <c r="E11" s="67"/>
      <c r="F11" s="67"/>
      <c r="G11" s="67"/>
    </row>
    <row r="12" spans="1:27" ht="14.25" x14ac:dyDescent="0.2">
      <c r="A12" s="17"/>
      <c r="B12" s="17"/>
      <c r="C12" s="17"/>
      <c r="D12" s="17"/>
      <c r="E12" s="17"/>
      <c r="F12" s="17"/>
      <c r="G12" s="17"/>
    </row>
    <row r="13" spans="1:27" ht="14.25" x14ac:dyDescent="0.2">
      <c r="A13" s="12"/>
      <c r="B13" s="12"/>
      <c r="C13" s="12"/>
      <c r="D13" s="12"/>
      <c r="E13" s="12"/>
      <c r="F13" s="14"/>
      <c r="G13" s="14"/>
    </row>
    <row r="14" spans="1:27" ht="14.25" x14ac:dyDescent="0.2">
      <c r="A14" s="12" t="s">
        <v>269</v>
      </c>
      <c r="B14" s="12"/>
      <c r="C14" s="12"/>
      <c r="D14" s="12"/>
      <c r="E14" s="12"/>
      <c r="F14" s="14"/>
      <c r="G14" s="14"/>
    </row>
    <row r="15" spans="1:27" ht="57" x14ac:dyDescent="0.2">
      <c r="A15" s="22" t="s">
        <v>258</v>
      </c>
      <c r="B15" s="22" t="s">
        <v>291</v>
      </c>
      <c r="C15" s="22" t="s">
        <v>292</v>
      </c>
      <c r="D15" s="22" t="s">
        <v>285</v>
      </c>
      <c r="E15" s="22" t="s">
        <v>293</v>
      </c>
      <c r="F15" s="23" t="s">
        <v>294</v>
      </c>
      <c r="G15" s="23" t="s">
        <v>295</v>
      </c>
    </row>
    <row r="16" spans="1:27" ht="14.25" x14ac:dyDescent="0.2">
      <c r="A16" s="22">
        <v>1</v>
      </c>
      <c r="B16" s="22">
        <v>2</v>
      </c>
      <c r="C16" s="22">
        <v>3</v>
      </c>
      <c r="D16" s="22">
        <v>4</v>
      </c>
      <c r="E16" s="22">
        <v>5</v>
      </c>
      <c r="F16" s="22">
        <v>6</v>
      </c>
      <c r="G16" s="22">
        <v>7</v>
      </c>
    </row>
    <row r="17" spans="1:7" ht="16.5" x14ac:dyDescent="0.25">
      <c r="A17" s="317" t="str">
        <f>Source!G400</f>
        <v>Стоимость деревьев для посадки</v>
      </c>
      <c r="B17" s="317"/>
      <c r="C17" s="317"/>
      <c r="D17" s="317"/>
      <c r="E17" s="317"/>
      <c r="F17" s="317"/>
      <c r="G17" s="317"/>
    </row>
    <row r="18" spans="1:7" ht="30" x14ac:dyDescent="0.25">
      <c r="A18" s="68" t="str">
        <f>Source!E404</f>
        <v>23</v>
      </c>
      <c r="B18" s="69" t="str">
        <f>Source!F404</f>
        <v>Цена поставщика</v>
      </c>
      <c r="C18" s="56" t="str">
        <f>Source!G404</f>
        <v>Груша плодовая с комом 1,5х1,5х0,65 м (или эквивалент)</v>
      </c>
      <c r="D18" s="71" t="str">
        <f>Source!H404</f>
        <v>шт.</v>
      </c>
      <c r="E18" s="70"/>
      <c r="F18" s="58"/>
      <c r="G18" s="72">
        <f>Source!I404</f>
        <v>47</v>
      </c>
    </row>
    <row r="19" spans="1:7" ht="30" x14ac:dyDescent="0.25">
      <c r="A19" s="68" t="str">
        <f>Source!E406</f>
        <v>24</v>
      </c>
      <c r="B19" s="69" t="str">
        <f>Source!F406</f>
        <v>Цена поставщика</v>
      </c>
      <c r="C19" s="56" t="str">
        <f>Source!G406</f>
        <v>Ива белая с комом 1,5х1,5х0,65 м (или эквивалент)</v>
      </c>
      <c r="D19" s="71" t="str">
        <f>Source!H406</f>
        <v>шт.</v>
      </c>
      <c r="E19" s="70"/>
      <c r="F19" s="58"/>
      <c r="G19" s="72">
        <f>Source!I406</f>
        <v>656</v>
      </c>
    </row>
    <row r="20" spans="1:7" ht="30" x14ac:dyDescent="0.25">
      <c r="A20" s="68" t="str">
        <f>Source!E407</f>
        <v>25</v>
      </c>
      <c r="B20" s="69" t="str">
        <f>Source!F407</f>
        <v>Цена поставщика</v>
      </c>
      <c r="C20" s="56" t="str">
        <f>Source!G407</f>
        <v>Клен остролистный 1,5х1,5х0,65 м (или эквивалент)</v>
      </c>
      <c r="D20" s="71" t="str">
        <f>Source!H407</f>
        <v>шт.</v>
      </c>
      <c r="E20" s="70"/>
      <c r="F20" s="58"/>
      <c r="G20" s="72">
        <f>Source!I407</f>
        <v>590</v>
      </c>
    </row>
    <row r="21" spans="1:7" ht="30" x14ac:dyDescent="0.25">
      <c r="A21" s="68" t="str">
        <f>Source!E408</f>
        <v>26</v>
      </c>
      <c r="B21" s="69" t="str">
        <f>Source!F408</f>
        <v>Цена поставщика</v>
      </c>
      <c r="C21" s="56" t="str">
        <f>Source!G408</f>
        <v>Липа мелколистная с комом 1,5х1,5х0,65 м (или эквивалент)</v>
      </c>
      <c r="D21" s="71" t="str">
        <f>Source!H408</f>
        <v>шт.</v>
      </c>
      <c r="E21" s="70"/>
      <c r="F21" s="58"/>
      <c r="G21" s="72">
        <f>Source!I408</f>
        <v>2646</v>
      </c>
    </row>
    <row r="22" spans="1:7" ht="30" x14ac:dyDescent="0.25">
      <c r="A22" s="68" t="str">
        <f>Source!E409</f>
        <v>27</v>
      </c>
      <c r="B22" s="69" t="str">
        <f>Source!F409</f>
        <v>Цена поставщика</v>
      </c>
      <c r="C22" s="56" t="str">
        <f>Source!G409</f>
        <v>Рябина обыкновенная 1,5х1,5х0,65 м (или эквивалент)</v>
      </c>
      <c r="D22" s="71" t="str">
        <f>Source!H409</f>
        <v>шт.</v>
      </c>
      <c r="E22" s="70"/>
      <c r="F22" s="58"/>
      <c r="G22" s="72">
        <f>Source!I409</f>
        <v>362</v>
      </c>
    </row>
    <row r="23" spans="1:7" ht="30" x14ac:dyDescent="0.25">
      <c r="A23" s="68" t="str">
        <f>Source!E410</f>
        <v>28</v>
      </c>
      <c r="B23" s="69" t="str">
        <f>Source!F410</f>
        <v>Цена поставщика</v>
      </c>
      <c r="C23" s="56" t="str">
        <f>Source!G410</f>
        <v>Сосна обыкновенная с комом 1,5х1,5х0,65 м (или эквивалент)</v>
      </c>
      <c r="D23" s="71" t="str">
        <f>Source!H410</f>
        <v>шт.</v>
      </c>
      <c r="E23" s="70"/>
      <c r="F23" s="58"/>
      <c r="G23" s="72">
        <f>Source!I410</f>
        <v>307</v>
      </c>
    </row>
    <row r="24" spans="1:7" ht="30" x14ac:dyDescent="0.25">
      <c r="A24" s="68" t="str">
        <f>Source!E411</f>
        <v>29</v>
      </c>
      <c r="B24" s="69" t="str">
        <f>Source!F411</f>
        <v>Цена поставщика</v>
      </c>
      <c r="C24" s="56" t="str">
        <f>Source!G411</f>
        <v>Яблоня домашняя с комом 1,0х1,0х0,6 м (или эквивалент)</v>
      </c>
      <c r="D24" s="71" t="str">
        <f>Source!H411</f>
        <v>шт.</v>
      </c>
      <c r="E24" s="70"/>
      <c r="F24" s="58"/>
      <c r="G24" s="72">
        <f>Source!I411</f>
        <v>63</v>
      </c>
    </row>
    <row r="25" spans="1:7" ht="16.5" x14ac:dyDescent="0.25">
      <c r="A25" s="317" t="str">
        <f>Source!G444</f>
        <v>Стоимость деревьев для восстановления отпада</v>
      </c>
      <c r="B25" s="317"/>
      <c r="C25" s="317"/>
      <c r="D25" s="317"/>
      <c r="E25" s="317"/>
      <c r="F25" s="317"/>
      <c r="G25" s="317"/>
    </row>
    <row r="26" spans="1:7" ht="30" x14ac:dyDescent="0.25">
      <c r="A26" s="68" t="str">
        <f>Source!E448</f>
        <v>30</v>
      </c>
      <c r="B26" s="69" t="str">
        <f>Source!F448</f>
        <v>Цена поставщика</v>
      </c>
      <c r="C26" s="56" t="str">
        <f>Source!G448</f>
        <v>Груша плодовая с комом 1,5х1,5х0,65 м (или эквивалент)</v>
      </c>
      <c r="D26" s="71" t="str">
        <f>Source!H448</f>
        <v>шт.</v>
      </c>
      <c r="E26" s="70"/>
      <c r="F26" s="58"/>
      <c r="G26" s="72">
        <f>Source!I448</f>
        <v>3</v>
      </c>
    </row>
    <row r="27" spans="1:7" ht="30" x14ac:dyDescent="0.25">
      <c r="A27" s="68" t="str">
        <f>Source!E449</f>
        <v>31</v>
      </c>
      <c r="B27" s="69" t="str">
        <f>Source!F449</f>
        <v>Цена поставщика</v>
      </c>
      <c r="C27" s="56" t="str">
        <f>Source!G449</f>
        <v>Ива белая с комом 1,5х1,5х0,65 м (или эквивалент)</v>
      </c>
      <c r="D27" s="71" t="str">
        <f>Source!H449</f>
        <v>шт.</v>
      </c>
      <c r="E27" s="70"/>
      <c r="F27" s="58"/>
      <c r="G27" s="72">
        <f>Source!I449</f>
        <v>32</v>
      </c>
    </row>
    <row r="28" spans="1:7" ht="30" x14ac:dyDescent="0.25">
      <c r="A28" s="68" t="str">
        <f>Source!E450</f>
        <v>32</v>
      </c>
      <c r="B28" s="69" t="str">
        <f>Source!F450</f>
        <v>Цена поставщика</v>
      </c>
      <c r="C28" s="56" t="str">
        <f>Source!G450</f>
        <v>Клен остролистный 1,5х1,5х0,65 м (или эквивалент)</v>
      </c>
      <c r="D28" s="71" t="str">
        <f>Source!H450</f>
        <v>шт.</v>
      </c>
      <c r="E28" s="70"/>
      <c r="F28" s="58"/>
      <c r="G28" s="72">
        <f>Source!I450</f>
        <v>29</v>
      </c>
    </row>
    <row r="29" spans="1:7" ht="30" x14ac:dyDescent="0.25">
      <c r="A29" s="68" t="str">
        <f>Source!E451</f>
        <v>33</v>
      </c>
      <c r="B29" s="69" t="str">
        <f>Source!F451</f>
        <v>Цена поставщика</v>
      </c>
      <c r="C29" s="56" t="str">
        <f>Source!G451</f>
        <v>Липа мелколистная с комом 1,5х1,5х0,65 м (или эквивалент)</v>
      </c>
      <c r="D29" s="71" t="str">
        <f>Source!H451</f>
        <v>шт.</v>
      </c>
      <c r="E29" s="70"/>
      <c r="F29" s="58"/>
      <c r="G29" s="72">
        <f>Source!I451</f>
        <v>132</v>
      </c>
    </row>
    <row r="30" spans="1:7" ht="30" x14ac:dyDescent="0.25">
      <c r="A30" s="68" t="str">
        <f>Source!E452</f>
        <v>34</v>
      </c>
      <c r="B30" s="69" t="str">
        <f>Source!F452</f>
        <v>Цена поставщика</v>
      </c>
      <c r="C30" s="56" t="str">
        <f>Source!G452</f>
        <v>Рябина обыкновенная 1,5х1,5х0,65 м (или эквивалент)</v>
      </c>
      <c r="D30" s="71" t="str">
        <f>Source!H452</f>
        <v>шт.</v>
      </c>
      <c r="E30" s="70"/>
      <c r="F30" s="58"/>
      <c r="G30" s="72">
        <f>Source!I452</f>
        <v>18</v>
      </c>
    </row>
    <row r="31" spans="1:7" ht="30" x14ac:dyDescent="0.25">
      <c r="A31" s="68" t="str">
        <f>Source!E453</f>
        <v>35</v>
      </c>
      <c r="B31" s="69" t="str">
        <f>Source!F453</f>
        <v>Цена поставщика</v>
      </c>
      <c r="C31" s="56" t="str">
        <f>Source!G453</f>
        <v>Сосна обыкновенная с комом 1,5х1,5х0,65 м (или эквивалент)</v>
      </c>
      <c r="D31" s="71" t="str">
        <f>Source!H453</f>
        <v>шт.</v>
      </c>
      <c r="E31" s="70"/>
      <c r="F31" s="58"/>
      <c r="G31" s="72">
        <f>Source!I453</f>
        <v>15</v>
      </c>
    </row>
    <row r="32" spans="1:7" ht="30" x14ac:dyDescent="0.25">
      <c r="A32" s="68" t="str">
        <f>Source!E454</f>
        <v>36</v>
      </c>
      <c r="B32" s="69" t="str">
        <f>Source!F454</f>
        <v>Цена поставщика</v>
      </c>
      <c r="C32" s="56" t="str">
        <f>Source!G454</f>
        <v>Яблоня домашняя с комом 1,0х1,0х0,6 м (или эквивалент)</v>
      </c>
      <c r="D32" s="71" t="str">
        <f>Source!H454</f>
        <v>шт.</v>
      </c>
      <c r="E32" s="70"/>
      <c r="F32" s="58"/>
      <c r="G32" s="72">
        <f>Source!I454</f>
        <v>4</v>
      </c>
    </row>
  </sheetData>
  <mergeCells count="8">
    <mergeCell ref="A17:G17"/>
    <mergeCell ref="A25:G25"/>
    <mergeCell ref="A3:G3"/>
    <mergeCell ref="A4:G4"/>
    <mergeCell ref="A6:G6"/>
    <mergeCell ref="A8:G8"/>
    <mergeCell ref="A9:G9"/>
    <mergeCell ref="A11:B11"/>
  </mergeCells>
  <pageMargins left="0.39370078740157483" right="0.19685039370078741" top="0.39370078740157483" bottom="0.39370078740157483" header="0.19685039370078741" footer="0.19685039370078741"/>
  <pageSetup paperSize="9" scale="83" fitToHeight="0" orientation="portrait" verticalDpi="0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555"/>
  <sheetViews>
    <sheetView workbookViewId="0">
      <selection activeCell="G20" sqref="G20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M1">
        <v>10</v>
      </c>
      <c r="N1">
        <v>11</v>
      </c>
      <c r="O1">
        <v>3</v>
      </c>
      <c r="P1">
        <v>0</v>
      </c>
      <c r="Q1">
        <v>0</v>
      </c>
    </row>
    <row r="12" spans="1:133" x14ac:dyDescent="0.2">
      <c r="A12" s="1">
        <v>1</v>
      </c>
      <c r="B12" s="1">
        <v>550</v>
      </c>
      <c r="C12" s="1">
        <v>0</v>
      </c>
      <c r="D12" s="1">
        <f>ROW(A517)</f>
        <v>517</v>
      </c>
      <c r="E12" s="1">
        <v>0</v>
      </c>
      <c r="F12" s="97" t="s">
        <v>331</v>
      </c>
      <c r="G12" s="97" t="s">
        <v>4</v>
      </c>
      <c r="H12" s="1" t="s">
        <v>5</v>
      </c>
      <c r="I12" s="1">
        <v>0</v>
      </c>
      <c r="J12" s="1" t="s">
        <v>5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157</v>
      </c>
      <c r="S12" s="1"/>
      <c r="T12" s="1">
        <v>1</v>
      </c>
      <c r="U12" s="1" t="s">
        <v>5</v>
      </c>
      <c r="V12" s="1">
        <v>0</v>
      </c>
      <c r="W12" s="1" t="s">
        <v>5</v>
      </c>
      <c r="X12" s="1" t="s">
        <v>5</v>
      </c>
      <c r="Y12" s="1" t="s">
        <v>5</v>
      </c>
      <c r="Z12" s="1" t="s">
        <v>5</v>
      </c>
      <c r="AA12" s="1" t="s">
        <v>5</v>
      </c>
      <c r="AB12" s="1" t="s">
        <v>5</v>
      </c>
      <c r="AC12" s="1" t="s">
        <v>5</v>
      </c>
      <c r="AD12" s="1" t="s">
        <v>5</v>
      </c>
      <c r="AE12" s="1" t="s">
        <v>5</v>
      </c>
      <c r="AF12" s="1" t="s">
        <v>5</v>
      </c>
      <c r="AG12" s="1" t="s">
        <v>5</v>
      </c>
      <c r="AH12" s="1" t="s">
        <v>5</v>
      </c>
      <c r="AI12" s="1" t="s">
        <v>5</v>
      </c>
      <c r="AJ12" s="1" t="s">
        <v>5</v>
      </c>
      <c r="AK12" s="1"/>
      <c r="AL12" s="1" t="s">
        <v>5</v>
      </c>
      <c r="AM12" s="1" t="s">
        <v>5</v>
      </c>
      <c r="AN12" s="1" t="s">
        <v>5</v>
      </c>
      <c r="AO12" s="1"/>
      <c r="AP12" s="1" t="s">
        <v>5</v>
      </c>
      <c r="AQ12" s="1" t="s">
        <v>5</v>
      </c>
      <c r="AR12" s="1" t="s">
        <v>5</v>
      </c>
      <c r="AS12" s="1"/>
      <c r="AT12" s="1"/>
      <c r="AU12" s="1"/>
      <c r="AV12" s="1"/>
      <c r="AW12" s="1"/>
      <c r="AX12" s="1" t="s">
        <v>5</v>
      </c>
      <c r="AY12" s="1" t="s">
        <v>5</v>
      </c>
      <c r="AZ12" s="1" t="s">
        <v>5</v>
      </c>
      <c r="BA12" s="1"/>
      <c r="BB12" s="1">
        <v>0</v>
      </c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16785416</v>
      </c>
      <c r="CI12" s="1" t="s">
        <v>5</v>
      </c>
      <c r="CJ12" s="1" t="s">
        <v>5</v>
      </c>
      <c r="CK12" s="1">
        <v>59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B517</f>
        <v>550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Озеленение особо охраняемых природных территорий города Москвы в рамках программы "Наше дерево" в весенний период 2021 года</v>
      </c>
      <c r="H18" s="2"/>
      <c r="I18" s="2"/>
      <c r="J18" s="2"/>
      <c r="K18" s="2"/>
      <c r="L18" s="2"/>
      <c r="M18" s="2"/>
      <c r="N18" s="2"/>
      <c r="O18" s="2">
        <f t="shared" ref="O18:AT18" si="1">O517</f>
        <v>347107454.89999998</v>
      </c>
      <c r="P18" s="2">
        <f t="shared" si="1"/>
        <v>313005744.29000002</v>
      </c>
      <c r="Q18" s="2">
        <f t="shared" si="1"/>
        <v>9049711.6199999992</v>
      </c>
      <c r="R18" s="2">
        <f t="shared" si="1"/>
        <v>2133171.54</v>
      </c>
      <c r="S18" s="2">
        <f t="shared" si="1"/>
        <v>25051998.989999998</v>
      </c>
      <c r="T18" s="2">
        <f t="shared" si="1"/>
        <v>0</v>
      </c>
      <c r="U18" s="2">
        <f t="shared" si="1"/>
        <v>91515.808717000007</v>
      </c>
      <c r="V18" s="2">
        <f t="shared" si="1"/>
        <v>0</v>
      </c>
      <c r="W18" s="2">
        <f t="shared" si="1"/>
        <v>0</v>
      </c>
      <c r="X18" s="2">
        <f t="shared" si="1"/>
        <v>25547606.870000001</v>
      </c>
      <c r="Y18" s="2">
        <f t="shared" si="1"/>
        <v>11776069.17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387780210.25999999</v>
      </c>
      <c r="AS18" s="2">
        <f t="shared" si="1"/>
        <v>386462673.17000002</v>
      </c>
      <c r="AT18" s="2">
        <f t="shared" si="1"/>
        <v>0</v>
      </c>
      <c r="AU18" s="2">
        <f t="shared" ref="AU18:BZ18" si="2">AU517</f>
        <v>1317537.0900000001</v>
      </c>
      <c r="AV18" s="2">
        <f t="shared" si="2"/>
        <v>313005744.29000002</v>
      </c>
      <c r="AW18" s="2">
        <f t="shared" si="2"/>
        <v>313005744.29000002</v>
      </c>
      <c r="AX18" s="2">
        <f t="shared" si="2"/>
        <v>0</v>
      </c>
      <c r="AY18" s="2">
        <f t="shared" si="2"/>
        <v>313005744.29000002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CA517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DG517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EM517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FS517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ROW(A258)</f>
        <v>258</v>
      </c>
      <c r="E20" s="1"/>
      <c r="F20" s="1" t="s">
        <v>12</v>
      </c>
      <c r="G20" s="1" t="s">
        <v>13</v>
      </c>
      <c r="H20" s="1" t="s">
        <v>5</v>
      </c>
      <c r="I20" s="1">
        <v>0</v>
      </c>
      <c r="J20" s="1" t="s">
        <v>5</v>
      </c>
      <c r="K20" s="1">
        <v>0</v>
      </c>
      <c r="L20" s="1" t="s">
        <v>5</v>
      </c>
      <c r="M20" s="1" t="s">
        <v>5</v>
      </c>
      <c r="N20" s="1"/>
      <c r="O20" s="1"/>
      <c r="P20" s="1"/>
      <c r="Q20" s="1"/>
      <c r="R20" s="1"/>
      <c r="S20" s="1">
        <v>0</v>
      </c>
      <c r="T20" s="1"/>
      <c r="U20" s="1" t="s">
        <v>5</v>
      </c>
      <c r="V20" s="1">
        <v>0</v>
      </c>
      <c r="W20" s="1"/>
      <c r="X20" s="1"/>
      <c r="Y20" s="1"/>
      <c r="Z20" s="1"/>
      <c r="AA20" s="1"/>
      <c r="AB20" s="1" t="s">
        <v>5</v>
      </c>
      <c r="AC20" s="1" t="s">
        <v>5</v>
      </c>
      <c r="AD20" s="1" t="s">
        <v>5</v>
      </c>
      <c r="AE20" s="1" t="s">
        <v>5</v>
      </c>
      <c r="AF20" s="1" t="s">
        <v>5</v>
      </c>
      <c r="AG20" s="1" t="s">
        <v>5</v>
      </c>
      <c r="AH20" s="1"/>
      <c r="AI20" s="1"/>
      <c r="AJ20" s="1"/>
      <c r="AK20" s="1"/>
      <c r="AL20" s="1"/>
      <c r="AM20" s="1"/>
      <c r="AN20" s="1"/>
      <c r="AO20" s="1"/>
      <c r="AP20" s="1" t="s">
        <v>5</v>
      </c>
      <c r="AQ20" s="1" t="s">
        <v>5</v>
      </c>
      <c r="AR20" s="1" t="s">
        <v>5</v>
      </c>
      <c r="AS20" s="1"/>
      <c r="AT20" s="1"/>
      <c r="AU20" s="1"/>
      <c r="AV20" s="1"/>
      <c r="AW20" s="1"/>
      <c r="AX20" s="1"/>
      <c r="AY20" s="1"/>
      <c r="AZ20" s="1" t="s">
        <v>5</v>
      </c>
      <c r="BA20" s="1"/>
      <c r="BB20" s="1" t="s">
        <v>5</v>
      </c>
      <c r="BC20" s="1" t="s">
        <v>5</v>
      </c>
      <c r="BD20" s="1" t="s">
        <v>5</v>
      </c>
      <c r="BE20" s="1" t="s">
        <v>5</v>
      </c>
      <c r="BF20" s="1" t="s">
        <v>5</v>
      </c>
      <c r="BG20" s="1" t="s">
        <v>5</v>
      </c>
      <c r="BH20" s="1" t="s">
        <v>5</v>
      </c>
      <c r="BI20" s="1" t="s">
        <v>5</v>
      </c>
      <c r="BJ20" s="1" t="s">
        <v>5</v>
      </c>
      <c r="BK20" s="1" t="s">
        <v>5</v>
      </c>
      <c r="BL20" s="1" t="s">
        <v>5</v>
      </c>
      <c r="BM20" s="1" t="s">
        <v>5</v>
      </c>
      <c r="BN20" s="1" t="s">
        <v>5</v>
      </c>
      <c r="BO20" s="1" t="s">
        <v>5</v>
      </c>
      <c r="BP20" s="1" t="s">
        <v>5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5</v>
      </c>
      <c r="CJ20" s="1" t="s">
        <v>5</v>
      </c>
      <c r="CK20" t="s">
        <v>5</v>
      </c>
      <c r="CL20" t="s">
        <v>5</v>
      </c>
      <c r="CM20" t="s">
        <v>5</v>
      </c>
      <c r="CN20" t="s">
        <v>5</v>
      </c>
      <c r="CO20" t="s">
        <v>5</v>
      </c>
      <c r="CP20" t="s">
        <v>5</v>
      </c>
      <c r="CQ20" t="s">
        <v>5</v>
      </c>
    </row>
    <row r="22" spans="1:245" x14ac:dyDescent="0.2">
      <c r="A22" s="2">
        <v>52</v>
      </c>
      <c r="B22" s="2">
        <f t="shared" ref="B22:G22" si="7">B258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Посадка деревьев с комом земли 1,5х1,5х0,65 м, 1,0х1,0х0,6 м, восстановление отпада и уходные работы</v>
      </c>
      <c r="H22" s="2"/>
      <c r="I22" s="2"/>
      <c r="J22" s="2"/>
      <c r="K22" s="2"/>
      <c r="L22" s="2"/>
      <c r="M22" s="2"/>
      <c r="N22" s="2"/>
      <c r="O22" s="2">
        <f t="shared" ref="O22:AT22" si="8">O258</f>
        <v>41742345.810000002</v>
      </c>
      <c r="P22" s="2">
        <f t="shared" si="8"/>
        <v>8958172.2899999991</v>
      </c>
      <c r="Q22" s="2">
        <f t="shared" si="8"/>
        <v>7732174.5300000003</v>
      </c>
      <c r="R22" s="2">
        <f t="shared" si="8"/>
        <v>2133171.54</v>
      </c>
      <c r="S22" s="2">
        <f t="shared" si="8"/>
        <v>25051998.989999998</v>
      </c>
      <c r="T22" s="2">
        <f t="shared" si="8"/>
        <v>0</v>
      </c>
      <c r="U22" s="2">
        <f t="shared" si="8"/>
        <v>91515.808717000007</v>
      </c>
      <c r="V22" s="2">
        <f t="shared" si="8"/>
        <v>0</v>
      </c>
      <c r="W22" s="2">
        <f t="shared" si="8"/>
        <v>0</v>
      </c>
      <c r="X22" s="2">
        <f t="shared" si="8"/>
        <v>25547606.870000001</v>
      </c>
      <c r="Y22" s="2">
        <f t="shared" si="8"/>
        <v>11776069.17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82415101.170000002</v>
      </c>
      <c r="AS22" s="2">
        <f t="shared" si="8"/>
        <v>82415101.170000002</v>
      </c>
      <c r="AT22" s="2">
        <f t="shared" si="8"/>
        <v>0</v>
      </c>
      <c r="AU22" s="2">
        <f t="shared" ref="AU22:BZ22" si="9">AU258</f>
        <v>0</v>
      </c>
      <c r="AV22" s="2">
        <f t="shared" si="9"/>
        <v>8958172.2899999991</v>
      </c>
      <c r="AW22" s="2">
        <f t="shared" si="9"/>
        <v>8958172.2899999991</v>
      </c>
      <c r="AX22" s="2">
        <f t="shared" si="9"/>
        <v>0</v>
      </c>
      <c r="AY22" s="2">
        <f t="shared" si="9"/>
        <v>8958172.2899999991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CA258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DG258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EM258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FS258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ROW(A36)</f>
        <v>36</v>
      </c>
      <c r="E24" s="1"/>
      <c r="F24" s="1" t="s">
        <v>14</v>
      </c>
      <c r="G24" s="1" t="s">
        <v>15</v>
      </c>
      <c r="H24" s="1" t="s">
        <v>5</v>
      </c>
      <c r="I24" s="1">
        <v>0</v>
      </c>
      <c r="J24" s="1"/>
      <c r="K24" s="1">
        <v>0</v>
      </c>
      <c r="L24" s="1"/>
      <c r="M24" s="1" t="s">
        <v>5</v>
      </c>
      <c r="N24" s="1"/>
      <c r="O24" s="1"/>
      <c r="P24" s="1"/>
      <c r="Q24" s="1"/>
      <c r="R24" s="1"/>
      <c r="S24" s="1">
        <v>0</v>
      </c>
      <c r="T24" s="1"/>
      <c r="U24" s="1" t="s">
        <v>5</v>
      </c>
      <c r="V24" s="1">
        <v>0</v>
      </c>
      <c r="W24" s="1"/>
      <c r="X24" s="1"/>
      <c r="Y24" s="1"/>
      <c r="Z24" s="1"/>
      <c r="AA24" s="1"/>
      <c r="AB24" s="1" t="s">
        <v>5</v>
      </c>
      <c r="AC24" s="1" t="s">
        <v>5</v>
      </c>
      <c r="AD24" s="1" t="s">
        <v>5</v>
      </c>
      <c r="AE24" s="1" t="s">
        <v>5</v>
      </c>
      <c r="AF24" s="1" t="s">
        <v>5</v>
      </c>
      <c r="AG24" s="1" t="s">
        <v>5</v>
      </c>
      <c r="AH24" s="1"/>
      <c r="AI24" s="1"/>
      <c r="AJ24" s="1"/>
      <c r="AK24" s="1"/>
      <c r="AL24" s="1"/>
      <c r="AM24" s="1"/>
      <c r="AN24" s="1"/>
      <c r="AO24" s="1"/>
      <c r="AP24" s="1" t="s">
        <v>5</v>
      </c>
      <c r="AQ24" s="1" t="s">
        <v>5</v>
      </c>
      <c r="AR24" s="1" t="s">
        <v>5</v>
      </c>
      <c r="AS24" s="1"/>
      <c r="AT24" s="1"/>
      <c r="AU24" s="1"/>
      <c r="AV24" s="1"/>
      <c r="AW24" s="1"/>
      <c r="AX24" s="1"/>
      <c r="AY24" s="1"/>
      <c r="AZ24" s="1" t="s">
        <v>5</v>
      </c>
      <c r="BA24" s="1"/>
      <c r="BB24" s="1" t="s">
        <v>5</v>
      </c>
      <c r="BC24" s="1" t="s">
        <v>5</v>
      </c>
      <c r="BD24" s="1" t="s">
        <v>5</v>
      </c>
      <c r="BE24" s="1" t="s">
        <v>5</v>
      </c>
      <c r="BF24" s="1" t="s">
        <v>5</v>
      </c>
      <c r="BG24" s="1" t="s">
        <v>5</v>
      </c>
      <c r="BH24" s="1" t="s">
        <v>5</v>
      </c>
      <c r="BI24" s="1" t="s">
        <v>5</v>
      </c>
      <c r="BJ24" s="1" t="s">
        <v>5</v>
      </c>
      <c r="BK24" s="1" t="s">
        <v>5</v>
      </c>
      <c r="BL24" s="1" t="s">
        <v>5</v>
      </c>
      <c r="BM24" s="1" t="s">
        <v>5</v>
      </c>
      <c r="BN24" s="1" t="s">
        <v>5</v>
      </c>
      <c r="BO24" s="1" t="s">
        <v>5</v>
      </c>
      <c r="BP24" s="1" t="s">
        <v>5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B36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Посадка деревьев с комом земли 1,5х1,5х0,65 м - 4625 шт.</v>
      </c>
      <c r="H26" s="2"/>
      <c r="I26" s="2"/>
      <c r="J26" s="2"/>
      <c r="K26" s="2"/>
      <c r="L26" s="2"/>
      <c r="M26" s="2"/>
      <c r="N26" s="2"/>
      <c r="O26" s="2">
        <f t="shared" ref="O26:AT26" si="15">O36</f>
        <v>36487003.130000003</v>
      </c>
      <c r="P26" s="2">
        <f t="shared" si="15"/>
        <v>8716380.8300000001</v>
      </c>
      <c r="Q26" s="2">
        <f t="shared" si="15"/>
        <v>5894437.5999999996</v>
      </c>
      <c r="R26" s="2">
        <f t="shared" si="15"/>
        <v>1789369.36</v>
      </c>
      <c r="S26" s="2">
        <f t="shared" si="15"/>
        <v>21876184.699999999</v>
      </c>
      <c r="T26" s="2">
        <f t="shared" si="15"/>
        <v>0</v>
      </c>
      <c r="U26" s="2">
        <f t="shared" si="15"/>
        <v>79317.436499999996</v>
      </c>
      <c r="V26" s="2">
        <f t="shared" si="15"/>
        <v>0</v>
      </c>
      <c r="W26" s="2">
        <f t="shared" si="15"/>
        <v>0</v>
      </c>
      <c r="X26" s="2">
        <f t="shared" si="15"/>
        <v>22308334.719999999</v>
      </c>
      <c r="Y26" s="2">
        <f t="shared" si="15"/>
        <v>10283418.92</v>
      </c>
      <c r="Z26" s="2">
        <f t="shared" si="15"/>
        <v>0</v>
      </c>
      <c r="AA26" s="2">
        <f t="shared" si="15"/>
        <v>0</v>
      </c>
      <c r="AB26" s="2">
        <f t="shared" si="15"/>
        <v>36487003.130000003</v>
      </c>
      <c r="AC26" s="2">
        <f t="shared" si="15"/>
        <v>8716380.8300000001</v>
      </c>
      <c r="AD26" s="2">
        <f t="shared" si="15"/>
        <v>5894437.5999999996</v>
      </c>
      <c r="AE26" s="2">
        <f t="shared" si="15"/>
        <v>1789369.36</v>
      </c>
      <c r="AF26" s="2">
        <f t="shared" si="15"/>
        <v>21876184.699999999</v>
      </c>
      <c r="AG26" s="2">
        <f t="shared" si="15"/>
        <v>0</v>
      </c>
      <c r="AH26" s="2">
        <f t="shared" si="15"/>
        <v>79317.436499999996</v>
      </c>
      <c r="AI26" s="2">
        <f t="shared" si="15"/>
        <v>0</v>
      </c>
      <c r="AJ26" s="2">
        <f t="shared" si="15"/>
        <v>0</v>
      </c>
      <c r="AK26" s="2">
        <f t="shared" si="15"/>
        <v>22308334.719999999</v>
      </c>
      <c r="AL26" s="2">
        <f t="shared" si="15"/>
        <v>10283418.92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71888066.670000002</v>
      </c>
      <c r="AS26" s="2">
        <f t="shared" si="15"/>
        <v>71888066.670000002</v>
      </c>
      <c r="AT26" s="2">
        <f t="shared" si="15"/>
        <v>0</v>
      </c>
      <c r="AU26" s="2">
        <f t="shared" ref="AU26:BZ26" si="16">AU36</f>
        <v>0</v>
      </c>
      <c r="AV26" s="2">
        <f t="shared" si="16"/>
        <v>8716380.8300000001</v>
      </c>
      <c r="AW26" s="2">
        <f t="shared" si="16"/>
        <v>8716380.8300000001</v>
      </c>
      <c r="AX26" s="2">
        <f t="shared" si="16"/>
        <v>0</v>
      </c>
      <c r="AY26" s="2">
        <f t="shared" si="16"/>
        <v>8716380.8300000001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CA36</f>
        <v>71888066.670000002</v>
      </c>
      <c r="CB26" s="2">
        <f t="shared" si="17"/>
        <v>71888066.670000002</v>
      </c>
      <c r="CC26" s="2">
        <f t="shared" si="17"/>
        <v>0</v>
      </c>
      <c r="CD26" s="2">
        <f t="shared" si="17"/>
        <v>0</v>
      </c>
      <c r="CE26" s="2">
        <f t="shared" si="17"/>
        <v>8716380.8300000001</v>
      </c>
      <c r="CF26" s="2">
        <f t="shared" si="17"/>
        <v>8716380.8300000001</v>
      </c>
      <c r="CG26" s="2">
        <f t="shared" si="17"/>
        <v>0</v>
      </c>
      <c r="CH26" s="2">
        <f t="shared" si="17"/>
        <v>8716380.8300000001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DG36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EM36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FS36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ROW(SmtRes!A4)</f>
        <v>4</v>
      </c>
      <c r="D28">
        <f>ROW(EtalonRes!A4)</f>
        <v>4</v>
      </c>
      <c r="E28" t="s">
        <v>16</v>
      </c>
      <c r="F28" t="s">
        <v>17</v>
      </c>
      <c r="G28" t="s">
        <v>18</v>
      </c>
      <c r="H28" t="s">
        <v>19</v>
      </c>
      <c r="I28">
        <f>ROUND((4625*0.75)/10,9)</f>
        <v>346.875</v>
      </c>
      <c r="J28">
        <v>0</v>
      </c>
      <c r="O28">
        <f t="shared" ref="O28:O34" si="21">ROUND(CP28,2)</f>
        <v>6929744.1200000001</v>
      </c>
      <c r="P28">
        <f t="shared" ref="P28:P34" si="22">ROUND((ROUND((AC28*AW28*I28),2)*BC28),2)</f>
        <v>1577404.34</v>
      </c>
      <c r="Q28">
        <f t="shared" ref="Q28:Q34" si="23">(ROUND((ROUND(((ET28)*AV28*I28),2)*BB28),2)+ROUND((ROUND(((AE28-(EU28))*AV28*I28),2)*BS28),2))</f>
        <v>599499.9</v>
      </c>
      <c r="R28">
        <f t="shared" ref="R28:R34" si="24">ROUND((ROUND((AE28*AV28*I28),2)*BS28),2)</f>
        <v>366503.79</v>
      </c>
      <c r="S28">
        <f t="shared" ref="S28:S34" si="25">ROUND((ROUND((AF28*AV28*I28),2)*BA28),2)</f>
        <v>4752839.88</v>
      </c>
      <c r="T28">
        <f t="shared" ref="T28:T34" si="26">ROUND(CU28*I28,2)</f>
        <v>0</v>
      </c>
      <c r="U28">
        <f t="shared" ref="U28:U34" si="27">CV28*I28</f>
        <v>19053.84375</v>
      </c>
      <c r="V28">
        <f t="shared" ref="V28:V34" si="28">CW28*I28</f>
        <v>0</v>
      </c>
      <c r="W28">
        <f t="shared" ref="W28:W34" si="29">ROUND(CX28*I28,2)</f>
        <v>0</v>
      </c>
      <c r="X28">
        <f t="shared" ref="X28:Y34" si="30">ROUND(CY28,2)</f>
        <v>4847896.68</v>
      </c>
      <c r="Y28">
        <f t="shared" si="30"/>
        <v>2233834.7400000002</v>
      </c>
      <c r="AA28">
        <v>49688178</v>
      </c>
      <c r="AB28">
        <f t="shared" ref="AB28:AB34" si="31">ROUND((AC28+AD28+AF28),6)</f>
        <v>2610.0300000000002</v>
      </c>
      <c r="AC28">
        <f t="shared" ref="AC28:AC34" si="32">ROUND((ES28),6)</f>
        <v>1894.78</v>
      </c>
      <c r="AD28">
        <f t="shared" ref="AD28:AD34" si="33">ROUND((((ET28)-(EU28))+AE28),6)</f>
        <v>163.19999999999999</v>
      </c>
      <c r="AE28">
        <f t="shared" ref="AE28:AF34" si="34">ROUND((EU28),6)</f>
        <v>42.57</v>
      </c>
      <c r="AF28">
        <f t="shared" si="34"/>
        <v>552.04999999999995</v>
      </c>
      <c r="AG28">
        <f t="shared" ref="AG28:AG34" si="35">ROUND((AP28),6)</f>
        <v>0</v>
      </c>
      <c r="AH28">
        <f t="shared" ref="AH28:AI34" si="36">(EW28)</f>
        <v>54.93</v>
      </c>
      <c r="AI28">
        <f t="shared" si="36"/>
        <v>0</v>
      </c>
      <c r="AJ28">
        <f t="shared" ref="AJ28:AJ34" si="37">(AS28)</f>
        <v>0</v>
      </c>
      <c r="AK28">
        <v>2610.0300000000002</v>
      </c>
      <c r="AL28">
        <v>1894.78</v>
      </c>
      <c r="AM28">
        <v>163.19999999999999</v>
      </c>
      <c r="AN28">
        <v>42.57</v>
      </c>
      <c r="AO28">
        <v>552.04999999999995</v>
      </c>
      <c r="AP28">
        <v>0</v>
      </c>
      <c r="AQ28">
        <v>54.93</v>
      </c>
      <c r="AR28">
        <v>0</v>
      </c>
      <c r="AS28">
        <v>0</v>
      </c>
      <c r="AT28">
        <v>102</v>
      </c>
      <c r="AU28">
        <v>47</v>
      </c>
      <c r="AV28">
        <v>1</v>
      </c>
      <c r="AW28">
        <v>1</v>
      </c>
      <c r="AZ28">
        <v>1</v>
      </c>
      <c r="BA28">
        <v>24.82</v>
      </c>
      <c r="BB28">
        <v>10.59</v>
      </c>
      <c r="BC28">
        <v>2.4</v>
      </c>
      <c r="BD28" t="s">
        <v>5</v>
      </c>
      <c r="BE28" t="s">
        <v>5</v>
      </c>
      <c r="BF28" t="s">
        <v>5</v>
      </c>
      <c r="BG28" t="s">
        <v>5</v>
      </c>
      <c r="BH28">
        <v>0</v>
      </c>
      <c r="BI28">
        <v>1</v>
      </c>
      <c r="BJ28" t="s">
        <v>20</v>
      </c>
      <c r="BM28">
        <v>292</v>
      </c>
      <c r="BN28">
        <v>0</v>
      </c>
      <c r="BO28" t="s">
        <v>17</v>
      </c>
      <c r="BP28">
        <v>1</v>
      </c>
      <c r="BQ28">
        <v>30</v>
      </c>
      <c r="BR28">
        <v>0</v>
      </c>
      <c r="BS28">
        <v>24.82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5</v>
      </c>
      <c r="BZ28">
        <v>102</v>
      </c>
      <c r="CA28">
        <v>47</v>
      </c>
      <c r="CE28">
        <v>30</v>
      </c>
      <c r="CF28">
        <v>0</v>
      </c>
      <c r="CG28">
        <v>0</v>
      </c>
      <c r="CM28">
        <v>0</v>
      </c>
      <c r="CN28" t="s">
        <v>5</v>
      </c>
      <c r="CO28">
        <v>0</v>
      </c>
      <c r="CP28">
        <f t="shared" ref="CP28:CP34" si="38">(P28+Q28+S28)</f>
        <v>6929744.1200000001</v>
      </c>
      <c r="CQ28">
        <f t="shared" ref="CQ28:CQ34" si="39">ROUND((ROUND((AC28*AW28*1),2)*BC28),2)</f>
        <v>4547.47</v>
      </c>
      <c r="CR28">
        <f t="shared" ref="CR28:CR34" si="40">(ROUND((ROUND(((ET28)*AV28*1),2)*BB28),2)+ROUND((ROUND(((AE28-(EU28))*AV28*1),2)*BS28),2))</f>
        <v>1728.29</v>
      </c>
      <c r="CS28">
        <f t="shared" ref="CS28:CS34" si="41">ROUND((ROUND((AE28*AV28*1),2)*BS28),2)</f>
        <v>1056.5899999999999</v>
      </c>
      <c r="CT28">
        <f t="shared" ref="CT28:CT34" si="42">ROUND((ROUND((AF28*AV28*1),2)*BA28),2)</f>
        <v>13701.88</v>
      </c>
      <c r="CU28">
        <f t="shared" ref="CU28:CU34" si="43">AG28</f>
        <v>0</v>
      </c>
      <c r="CV28">
        <f t="shared" ref="CV28:CV34" si="44">(AH28*AV28)</f>
        <v>54.93</v>
      </c>
      <c r="CW28">
        <f t="shared" ref="CW28:CX34" si="45">AI28</f>
        <v>0</v>
      </c>
      <c r="CX28">
        <f t="shared" si="45"/>
        <v>0</v>
      </c>
      <c r="CY28">
        <f t="shared" ref="CY28:CY34" si="46">S28*(BZ28/100)</f>
        <v>4847896.6776000001</v>
      </c>
      <c r="CZ28">
        <f t="shared" ref="CZ28:CZ34" si="47">S28*(CA28/100)</f>
        <v>2233834.7435999997</v>
      </c>
      <c r="DC28" t="s">
        <v>5</v>
      </c>
      <c r="DD28" t="s">
        <v>5</v>
      </c>
      <c r="DE28" t="s">
        <v>5</v>
      </c>
      <c r="DF28" t="s">
        <v>5</v>
      </c>
      <c r="DG28" t="s">
        <v>5</v>
      </c>
      <c r="DH28" t="s">
        <v>5</v>
      </c>
      <c r="DI28" t="s">
        <v>5</v>
      </c>
      <c r="DJ28" t="s">
        <v>5</v>
      </c>
      <c r="DK28" t="s">
        <v>5</v>
      </c>
      <c r="DL28" t="s">
        <v>5</v>
      </c>
      <c r="DM28" t="s">
        <v>5</v>
      </c>
      <c r="DN28">
        <v>187</v>
      </c>
      <c r="DO28">
        <v>101</v>
      </c>
      <c r="DP28">
        <v>1</v>
      </c>
      <c r="DQ28">
        <v>1</v>
      </c>
      <c r="DU28">
        <v>1013</v>
      </c>
      <c r="DV28" t="s">
        <v>19</v>
      </c>
      <c r="DW28" t="s">
        <v>19</v>
      </c>
      <c r="DX28">
        <v>1</v>
      </c>
      <c r="DZ28" t="s">
        <v>5</v>
      </c>
      <c r="EA28" t="s">
        <v>5</v>
      </c>
      <c r="EB28" t="s">
        <v>5</v>
      </c>
      <c r="EC28" t="s">
        <v>5</v>
      </c>
      <c r="EE28">
        <v>49387988</v>
      </c>
      <c r="EF28">
        <v>30</v>
      </c>
      <c r="EG28" t="s">
        <v>21</v>
      </c>
      <c r="EH28">
        <v>0</v>
      </c>
      <c r="EI28" t="s">
        <v>5</v>
      </c>
      <c r="EJ28">
        <v>1</v>
      </c>
      <c r="EK28">
        <v>292</v>
      </c>
      <c r="EL28" t="s">
        <v>22</v>
      </c>
      <c r="EM28" t="s">
        <v>23</v>
      </c>
      <c r="EO28" t="s">
        <v>5</v>
      </c>
      <c r="EQ28">
        <v>0</v>
      </c>
      <c r="ER28">
        <v>2610.0300000000002</v>
      </c>
      <c r="ES28">
        <v>1894.78</v>
      </c>
      <c r="ET28">
        <v>163.19999999999999</v>
      </c>
      <c r="EU28">
        <v>42.57</v>
      </c>
      <c r="EV28">
        <v>552.04999999999995</v>
      </c>
      <c r="EW28">
        <v>54.93</v>
      </c>
      <c r="EX28">
        <v>0</v>
      </c>
      <c r="EY28">
        <v>0</v>
      </c>
      <c r="FQ28">
        <v>0</v>
      </c>
      <c r="FR28">
        <f t="shared" ref="FR28:FR34" si="48">ROUND(IF(AND(BH28=3,BI28=3),P28,0),2)</f>
        <v>0</v>
      </c>
      <c r="FS28">
        <v>0</v>
      </c>
      <c r="FX28">
        <v>187</v>
      </c>
      <c r="FY28">
        <v>101</v>
      </c>
      <c r="GA28" t="s">
        <v>5</v>
      </c>
      <c r="GD28">
        <v>0</v>
      </c>
      <c r="GF28">
        <v>-1841536563</v>
      </c>
      <c r="GG28">
        <v>2</v>
      </c>
      <c r="GH28">
        <v>1</v>
      </c>
      <c r="GI28">
        <v>2</v>
      </c>
      <c r="GJ28">
        <v>0</v>
      </c>
      <c r="GK28">
        <f>ROUND(R28*(R12)/100,2)</f>
        <v>575410.94999999995</v>
      </c>
      <c r="GL28">
        <f t="shared" ref="GL28:GL34" si="49">ROUND(IF(AND(BH28=3,BI28=3,FS28&lt;&gt;0),P28,0),2)</f>
        <v>0</v>
      </c>
      <c r="GM28">
        <f t="shared" ref="GM28:GM34" si="50">ROUND(O28+X28+Y28+GK28,2)+GX28</f>
        <v>14586886.49</v>
      </c>
      <c r="GN28">
        <f t="shared" ref="GN28:GN34" si="51">IF(OR(BI28=0,BI28=1),ROUND(O28+X28+Y28+GK28,2),0)</f>
        <v>14586886.49</v>
      </c>
      <c r="GO28">
        <f t="shared" ref="GO28:GO34" si="52">IF(BI28=2,ROUND(O28+X28+Y28+GK28,2),0)</f>
        <v>0</v>
      </c>
      <c r="GP28">
        <f t="shared" ref="GP28:GP34" si="53">IF(BI28=4,ROUND(O28+X28+Y28+GK28,2)+GX28,0)</f>
        <v>0</v>
      </c>
      <c r="GR28">
        <v>0</v>
      </c>
      <c r="GS28">
        <v>3</v>
      </c>
      <c r="GT28">
        <v>0</v>
      </c>
      <c r="GU28" t="s">
        <v>5</v>
      </c>
      <c r="GV28">
        <f t="shared" ref="GV28:GV34" si="54">ROUND((GT28),6)</f>
        <v>0</v>
      </c>
      <c r="GW28">
        <v>1</v>
      </c>
      <c r="GX28">
        <f t="shared" ref="GX28:GX34" si="55">ROUND(HC28*I28,2)</f>
        <v>0</v>
      </c>
      <c r="HA28">
        <v>0</v>
      </c>
      <c r="HB28">
        <v>0</v>
      </c>
      <c r="HC28">
        <f t="shared" ref="HC28:HC34" si="56">GV28*GW28</f>
        <v>0</v>
      </c>
      <c r="HE28" t="s">
        <v>5</v>
      </c>
      <c r="HF28" t="s">
        <v>5</v>
      </c>
      <c r="IK28">
        <v>0</v>
      </c>
    </row>
    <row r="29" spans="1:245" x14ac:dyDescent="0.2">
      <c r="A29">
        <v>18</v>
      </c>
      <c r="B29">
        <v>1</v>
      </c>
      <c r="C29">
        <v>3</v>
      </c>
      <c r="E29" t="s">
        <v>24</v>
      </c>
      <c r="F29" t="s">
        <v>25</v>
      </c>
      <c r="G29" t="s">
        <v>26</v>
      </c>
      <c r="H29" t="s">
        <v>27</v>
      </c>
      <c r="I29">
        <f>I28*J29</f>
        <v>4856.25</v>
      </c>
      <c r="J29">
        <v>14</v>
      </c>
      <c r="O29">
        <f t="shared" si="21"/>
        <v>4749191.0599999996</v>
      </c>
      <c r="P29">
        <f t="shared" si="22"/>
        <v>4749191.0599999996</v>
      </c>
      <c r="Q29">
        <f t="shared" si="23"/>
        <v>0</v>
      </c>
      <c r="R29">
        <f t="shared" si="2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0</v>
      </c>
      <c r="W29">
        <f t="shared" si="29"/>
        <v>0</v>
      </c>
      <c r="X29">
        <f t="shared" si="30"/>
        <v>0</v>
      </c>
      <c r="Y29">
        <f t="shared" si="30"/>
        <v>0</v>
      </c>
      <c r="AA29">
        <v>49688178</v>
      </c>
      <c r="AB29">
        <f t="shared" si="31"/>
        <v>146.84</v>
      </c>
      <c r="AC29">
        <f t="shared" si="32"/>
        <v>146.84</v>
      </c>
      <c r="AD29">
        <f t="shared" si="33"/>
        <v>0</v>
      </c>
      <c r="AE29">
        <f t="shared" si="34"/>
        <v>0</v>
      </c>
      <c r="AF29">
        <f t="shared" si="34"/>
        <v>0</v>
      </c>
      <c r="AG29">
        <f t="shared" si="35"/>
        <v>0</v>
      </c>
      <c r="AH29">
        <f t="shared" si="36"/>
        <v>0</v>
      </c>
      <c r="AI29">
        <f t="shared" si="36"/>
        <v>0</v>
      </c>
      <c r="AJ29">
        <f t="shared" si="37"/>
        <v>0</v>
      </c>
      <c r="AK29">
        <v>146.84</v>
      </c>
      <c r="AL29">
        <v>146.84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6.66</v>
      </c>
      <c r="BD29" t="s">
        <v>5</v>
      </c>
      <c r="BE29" t="s">
        <v>5</v>
      </c>
      <c r="BF29" t="s">
        <v>5</v>
      </c>
      <c r="BG29" t="s">
        <v>5</v>
      </c>
      <c r="BH29">
        <v>3</v>
      </c>
      <c r="BI29">
        <v>1</v>
      </c>
      <c r="BJ29" t="s">
        <v>28</v>
      </c>
      <c r="BM29">
        <v>292</v>
      </c>
      <c r="BN29">
        <v>0</v>
      </c>
      <c r="BO29" t="s">
        <v>25</v>
      </c>
      <c r="BP29">
        <v>1</v>
      </c>
      <c r="BQ29">
        <v>30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5</v>
      </c>
      <c r="BZ29">
        <v>0</v>
      </c>
      <c r="CA29">
        <v>0</v>
      </c>
      <c r="CE29">
        <v>30</v>
      </c>
      <c r="CF29">
        <v>0</v>
      </c>
      <c r="CG29">
        <v>0</v>
      </c>
      <c r="CM29">
        <v>0</v>
      </c>
      <c r="CN29" t="s">
        <v>5</v>
      </c>
      <c r="CO29">
        <v>0</v>
      </c>
      <c r="CP29">
        <f t="shared" si="38"/>
        <v>4749191.0599999996</v>
      </c>
      <c r="CQ29">
        <f t="shared" si="39"/>
        <v>977.95</v>
      </c>
      <c r="CR29">
        <f t="shared" si="40"/>
        <v>0</v>
      </c>
      <c r="CS29">
        <f t="shared" si="41"/>
        <v>0</v>
      </c>
      <c r="CT29">
        <f t="shared" si="42"/>
        <v>0</v>
      </c>
      <c r="CU29">
        <f t="shared" si="43"/>
        <v>0</v>
      </c>
      <c r="CV29">
        <f t="shared" si="44"/>
        <v>0</v>
      </c>
      <c r="CW29">
        <f t="shared" si="45"/>
        <v>0</v>
      </c>
      <c r="CX29">
        <f t="shared" si="45"/>
        <v>0</v>
      </c>
      <c r="CY29">
        <f t="shared" si="46"/>
        <v>0</v>
      </c>
      <c r="CZ29">
        <f t="shared" si="47"/>
        <v>0</v>
      </c>
      <c r="DC29" t="s">
        <v>5</v>
      </c>
      <c r="DD29" t="s">
        <v>5</v>
      </c>
      <c r="DE29" t="s">
        <v>5</v>
      </c>
      <c r="DF29" t="s">
        <v>5</v>
      </c>
      <c r="DG29" t="s">
        <v>5</v>
      </c>
      <c r="DH29" t="s">
        <v>5</v>
      </c>
      <c r="DI29" t="s">
        <v>5</v>
      </c>
      <c r="DJ29" t="s">
        <v>5</v>
      </c>
      <c r="DK29" t="s">
        <v>5</v>
      </c>
      <c r="DL29" t="s">
        <v>5</v>
      </c>
      <c r="DM29" t="s">
        <v>5</v>
      </c>
      <c r="DN29">
        <v>187</v>
      </c>
      <c r="DO29">
        <v>101</v>
      </c>
      <c r="DP29">
        <v>1</v>
      </c>
      <c r="DQ29">
        <v>1</v>
      </c>
      <c r="DU29">
        <v>1007</v>
      </c>
      <c r="DV29" t="s">
        <v>27</v>
      </c>
      <c r="DW29" t="s">
        <v>27</v>
      </c>
      <c r="DX29">
        <v>1</v>
      </c>
      <c r="DZ29" t="s">
        <v>5</v>
      </c>
      <c r="EA29" t="s">
        <v>5</v>
      </c>
      <c r="EB29" t="s">
        <v>5</v>
      </c>
      <c r="EC29" t="s">
        <v>5</v>
      </c>
      <c r="EE29">
        <v>49387988</v>
      </c>
      <c r="EF29">
        <v>30</v>
      </c>
      <c r="EG29" t="s">
        <v>21</v>
      </c>
      <c r="EH29">
        <v>0</v>
      </c>
      <c r="EI29" t="s">
        <v>5</v>
      </c>
      <c r="EJ29">
        <v>1</v>
      </c>
      <c r="EK29">
        <v>292</v>
      </c>
      <c r="EL29" t="s">
        <v>22</v>
      </c>
      <c r="EM29" t="s">
        <v>23</v>
      </c>
      <c r="EO29" t="s">
        <v>5</v>
      </c>
      <c r="EQ29">
        <v>0</v>
      </c>
      <c r="ER29">
        <v>146.84</v>
      </c>
      <c r="ES29">
        <v>146.84</v>
      </c>
      <c r="ET29">
        <v>0</v>
      </c>
      <c r="EU29">
        <v>0</v>
      </c>
      <c r="EV29">
        <v>0</v>
      </c>
      <c r="EW29">
        <v>0</v>
      </c>
      <c r="EX29">
        <v>0</v>
      </c>
      <c r="FQ29">
        <v>0</v>
      </c>
      <c r="FR29">
        <f t="shared" si="48"/>
        <v>0</v>
      </c>
      <c r="FS29">
        <v>0</v>
      </c>
      <c r="FX29">
        <v>187</v>
      </c>
      <c r="FY29">
        <v>101</v>
      </c>
      <c r="GA29" t="s">
        <v>5</v>
      </c>
      <c r="GD29">
        <v>0</v>
      </c>
      <c r="GF29">
        <v>92320855</v>
      </c>
      <c r="GG29">
        <v>2</v>
      </c>
      <c r="GH29">
        <v>1</v>
      </c>
      <c r="GI29">
        <v>2</v>
      </c>
      <c r="GJ29">
        <v>0</v>
      </c>
      <c r="GK29">
        <f>ROUND(R29*(R12)/100,2)</f>
        <v>0</v>
      </c>
      <c r="GL29">
        <f t="shared" si="49"/>
        <v>0</v>
      </c>
      <c r="GM29">
        <f t="shared" si="50"/>
        <v>4749191.0599999996</v>
      </c>
      <c r="GN29">
        <f t="shared" si="51"/>
        <v>4749191.0599999996</v>
      </c>
      <c r="GO29">
        <f t="shared" si="52"/>
        <v>0</v>
      </c>
      <c r="GP29">
        <f t="shared" si="53"/>
        <v>0</v>
      </c>
      <c r="GR29">
        <v>0</v>
      </c>
      <c r="GS29">
        <v>3</v>
      </c>
      <c r="GT29">
        <v>0</v>
      </c>
      <c r="GU29" t="s">
        <v>5</v>
      </c>
      <c r="GV29">
        <f t="shared" si="54"/>
        <v>0</v>
      </c>
      <c r="GW29">
        <v>1</v>
      </c>
      <c r="GX29">
        <f t="shared" si="55"/>
        <v>0</v>
      </c>
      <c r="HA29">
        <v>0</v>
      </c>
      <c r="HB29">
        <v>0</v>
      </c>
      <c r="HC29">
        <f t="shared" si="56"/>
        <v>0</v>
      </c>
      <c r="HE29" t="s">
        <v>5</v>
      </c>
      <c r="HF29" t="s">
        <v>5</v>
      </c>
      <c r="IK29">
        <v>0</v>
      </c>
    </row>
    <row r="30" spans="1:245" x14ac:dyDescent="0.2">
      <c r="A30">
        <v>17</v>
      </c>
      <c r="B30">
        <v>1</v>
      </c>
      <c r="C30">
        <f>ROW(SmtRes!A7)</f>
        <v>7</v>
      </c>
      <c r="D30">
        <f>ROW(EtalonRes!A7)</f>
        <v>7</v>
      </c>
      <c r="E30" t="s">
        <v>29</v>
      </c>
      <c r="F30" t="s">
        <v>30</v>
      </c>
      <c r="G30" t="s">
        <v>31</v>
      </c>
      <c r="H30" t="s">
        <v>19</v>
      </c>
      <c r="I30">
        <f>ROUND((4625*0.25)/10,9)</f>
        <v>115.625</v>
      </c>
      <c r="J30">
        <v>0</v>
      </c>
      <c r="O30">
        <f t="shared" si="21"/>
        <v>3514768.58</v>
      </c>
      <c r="P30">
        <f t="shared" si="22"/>
        <v>525801.46</v>
      </c>
      <c r="Q30">
        <f t="shared" si="23"/>
        <v>0</v>
      </c>
      <c r="R30">
        <f t="shared" si="24"/>
        <v>0</v>
      </c>
      <c r="S30">
        <f t="shared" si="25"/>
        <v>2988967.12</v>
      </c>
      <c r="T30">
        <f t="shared" si="26"/>
        <v>0</v>
      </c>
      <c r="U30">
        <f t="shared" si="27"/>
        <v>11783.34375</v>
      </c>
      <c r="V30">
        <f t="shared" si="28"/>
        <v>0</v>
      </c>
      <c r="W30">
        <f t="shared" si="29"/>
        <v>0</v>
      </c>
      <c r="X30">
        <f t="shared" si="30"/>
        <v>3048746.46</v>
      </c>
      <c r="Y30">
        <f t="shared" si="30"/>
        <v>1404814.55</v>
      </c>
      <c r="AA30">
        <v>49688178</v>
      </c>
      <c r="AB30">
        <f t="shared" si="31"/>
        <v>2936.3</v>
      </c>
      <c r="AC30">
        <f t="shared" si="32"/>
        <v>1894.78</v>
      </c>
      <c r="AD30">
        <f t="shared" si="33"/>
        <v>0</v>
      </c>
      <c r="AE30">
        <f t="shared" si="34"/>
        <v>0</v>
      </c>
      <c r="AF30">
        <f t="shared" si="34"/>
        <v>1041.52</v>
      </c>
      <c r="AG30">
        <f t="shared" si="35"/>
        <v>0</v>
      </c>
      <c r="AH30">
        <f t="shared" si="36"/>
        <v>101.91</v>
      </c>
      <c r="AI30">
        <f t="shared" si="36"/>
        <v>0</v>
      </c>
      <c r="AJ30">
        <f t="shared" si="37"/>
        <v>0</v>
      </c>
      <c r="AK30">
        <v>2936.3</v>
      </c>
      <c r="AL30">
        <v>1894.78</v>
      </c>
      <c r="AM30">
        <v>0</v>
      </c>
      <c r="AN30">
        <v>0</v>
      </c>
      <c r="AO30">
        <v>1041.52</v>
      </c>
      <c r="AP30">
        <v>0</v>
      </c>
      <c r="AQ30">
        <v>101.91</v>
      </c>
      <c r="AR30">
        <v>0</v>
      </c>
      <c r="AS30">
        <v>0</v>
      </c>
      <c r="AT30">
        <v>102</v>
      </c>
      <c r="AU30">
        <v>47</v>
      </c>
      <c r="AV30">
        <v>1</v>
      </c>
      <c r="AW30">
        <v>1</v>
      </c>
      <c r="AZ30">
        <v>1</v>
      </c>
      <c r="BA30">
        <v>24.82</v>
      </c>
      <c r="BB30">
        <v>1</v>
      </c>
      <c r="BC30">
        <v>2.4</v>
      </c>
      <c r="BD30" t="s">
        <v>5</v>
      </c>
      <c r="BE30" t="s">
        <v>5</v>
      </c>
      <c r="BF30" t="s">
        <v>5</v>
      </c>
      <c r="BG30" t="s">
        <v>5</v>
      </c>
      <c r="BH30">
        <v>0</v>
      </c>
      <c r="BI30">
        <v>1</v>
      </c>
      <c r="BJ30" t="s">
        <v>32</v>
      </c>
      <c r="BM30">
        <v>292</v>
      </c>
      <c r="BN30">
        <v>0</v>
      </c>
      <c r="BO30" t="s">
        <v>30</v>
      </c>
      <c r="BP30">
        <v>1</v>
      </c>
      <c r="BQ30">
        <v>30</v>
      </c>
      <c r="BR30">
        <v>0</v>
      </c>
      <c r="BS30">
        <v>24.82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5</v>
      </c>
      <c r="BZ30">
        <v>102</v>
      </c>
      <c r="CA30">
        <v>47</v>
      </c>
      <c r="CE30">
        <v>30</v>
      </c>
      <c r="CF30">
        <v>0</v>
      </c>
      <c r="CG30">
        <v>0</v>
      </c>
      <c r="CM30">
        <v>0</v>
      </c>
      <c r="CN30" t="s">
        <v>5</v>
      </c>
      <c r="CO30">
        <v>0</v>
      </c>
      <c r="CP30">
        <f t="shared" si="38"/>
        <v>3514768.58</v>
      </c>
      <c r="CQ30">
        <f t="shared" si="39"/>
        <v>4547.47</v>
      </c>
      <c r="CR30">
        <f t="shared" si="40"/>
        <v>0</v>
      </c>
      <c r="CS30">
        <f t="shared" si="41"/>
        <v>0</v>
      </c>
      <c r="CT30">
        <f t="shared" si="42"/>
        <v>25850.53</v>
      </c>
      <c r="CU30">
        <f t="shared" si="43"/>
        <v>0</v>
      </c>
      <c r="CV30">
        <f t="shared" si="44"/>
        <v>101.91</v>
      </c>
      <c r="CW30">
        <f t="shared" si="45"/>
        <v>0</v>
      </c>
      <c r="CX30">
        <f t="shared" si="45"/>
        <v>0</v>
      </c>
      <c r="CY30">
        <f t="shared" si="46"/>
        <v>3048746.4624000001</v>
      </c>
      <c r="CZ30">
        <f t="shared" si="47"/>
        <v>1404814.5463999999</v>
      </c>
      <c r="DC30" t="s">
        <v>5</v>
      </c>
      <c r="DD30" t="s">
        <v>5</v>
      </c>
      <c r="DE30" t="s">
        <v>5</v>
      </c>
      <c r="DF30" t="s">
        <v>5</v>
      </c>
      <c r="DG30" t="s">
        <v>5</v>
      </c>
      <c r="DH30" t="s">
        <v>5</v>
      </c>
      <c r="DI30" t="s">
        <v>5</v>
      </c>
      <c r="DJ30" t="s">
        <v>5</v>
      </c>
      <c r="DK30" t="s">
        <v>5</v>
      </c>
      <c r="DL30" t="s">
        <v>5</v>
      </c>
      <c r="DM30" t="s">
        <v>5</v>
      </c>
      <c r="DN30">
        <v>187</v>
      </c>
      <c r="DO30">
        <v>101</v>
      </c>
      <c r="DP30">
        <v>1</v>
      </c>
      <c r="DQ30">
        <v>1</v>
      </c>
      <c r="DU30">
        <v>1013</v>
      </c>
      <c r="DV30" t="s">
        <v>19</v>
      </c>
      <c r="DW30" t="s">
        <v>19</v>
      </c>
      <c r="DX30">
        <v>1</v>
      </c>
      <c r="DZ30" t="s">
        <v>5</v>
      </c>
      <c r="EA30" t="s">
        <v>5</v>
      </c>
      <c r="EB30" t="s">
        <v>5</v>
      </c>
      <c r="EC30" t="s">
        <v>5</v>
      </c>
      <c r="EE30">
        <v>49387988</v>
      </c>
      <c r="EF30">
        <v>30</v>
      </c>
      <c r="EG30" t="s">
        <v>21</v>
      </c>
      <c r="EH30">
        <v>0</v>
      </c>
      <c r="EI30" t="s">
        <v>5</v>
      </c>
      <c r="EJ30">
        <v>1</v>
      </c>
      <c r="EK30">
        <v>292</v>
      </c>
      <c r="EL30" t="s">
        <v>22</v>
      </c>
      <c r="EM30" t="s">
        <v>23</v>
      </c>
      <c r="EO30" t="s">
        <v>5</v>
      </c>
      <c r="EQ30">
        <v>0</v>
      </c>
      <c r="ER30">
        <v>2936.3</v>
      </c>
      <c r="ES30">
        <v>1894.78</v>
      </c>
      <c r="ET30">
        <v>0</v>
      </c>
      <c r="EU30">
        <v>0</v>
      </c>
      <c r="EV30">
        <v>1041.52</v>
      </c>
      <c r="EW30">
        <v>101.91</v>
      </c>
      <c r="EX30">
        <v>0</v>
      </c>
      <c r="EY30">
        <v>0</v>
      </c>
      <c r="FQ30">
        <v>0</v>
      </c>
      <c r="FR30">
        <f t="shared" si="48"/>
        <v>0</v>
      </c>
      <c r="FS30">
        <v>0</v>
      </c>
      <c r="FX30">
        <v>187</v>
      </c>
      <c r="FY30">
        <v>101</v>
      </c>
      <c r="GA30" t="s">
        <v>5</v>
      </c>
      <c r="GD30">
        <v>0</v>
      </c>
      <c r="GF30">
        <v>1650100691</v>
      </c>
      <c r="GG30">
        <v>2</v>
      </c>
      <c r="GH30">
        <v>1</v>
      </c>
      <c r="GI30">
        <v>2</v>
      </c>
      <c r="GJ30">
        <v>0</v>
      </c>
      <c r="GK30">
        <f>ROUND(R30*(R12)/100,2)</f>
        <v>0</v>
      </c>
      <c r="GL30">
        <f t="shared" si="49"/>
        <v>0</v>
      </c>
      <c r="GM30">
        <f t="shared" si="50"/>
        <v>7968329.5899999999</v>
      </c>
      <c r="GN30">
        <f t="shared" si="51"/>
        <v>7968329.5899999999</v>
      </c>
      <c r="GO30">
        <f t="shared" si="52"/>
        <v>0</v>
      </c>
      <c r="GP30">
        <f t="shared" si="53"/>
        <v>0</v>
      </c>
      <c r="GR30">
        <v>0</v>
      </c>
      <c r="GS30">
        <v>3</v>
      </c>
      <c r="GT30">
        <v>0</v>
      </c>
      <c r="GU30" t="s">
        <v>5</v>
      </c>
      <c r="GV30">
        <f t="shared" si="54"/>
        <v>0</v>
      </c>
      <c r="GW30">
        <v>1</v>
      </c>
      <c r="GX30">
        <f t="shared" si="55"/>
        <v>0</v>
      </c>
      <c r="HA30">
        <v>0</v>
      </c>
      <c r="HB30">
        <v>0</v>
      </c>
      <c r="HC30">
        <f t="shared" si="56"/>
        <v>0</v>
      </c>
      <c r="HE30" t="s">
        <v>5</v>
      </c>
      <c r="HF30" t="s">
        <v>5</v>
      </c>
      <c r="IK30">
        <v>0</v>
      </c>
    </row>
    <row r="31" spans="1:245" x14ac:dyDescent="0.2">
      <c r="A31">
        <v>18</v>
      </c>
      <c r="B31">
        <v>1</v>
      </c>
      <c r="C31">
        <v>6</v>
      </c>
      <c r="E31" t="s">
        <v>33</v>
      </c>
      <c r="F31" t="s">
        <v>25</v>
      </c>
      <c r="G31" t="s">
        <v>26</v>
      </c>
      <c r="H31" t="s">
        <v>27</v>
      </c>
      <c r="I31">
        <f>I30*J31</f>
        <v>1618.75</v>
      </c>
      <c r="J31">
        <v>14</v>
      </c>
      <c r="O31">
        <f t="shared" si="21"/>
        <v>1583063.69</v>
      </c>
      <c r="P31">
        <f t="shared" si="22"/>
        <v>1583063.69</v>
      </c>
      <c r="Q31">
        <f t="shared" si="23"/>
        <v>0</v>
      </c>
      <c r="R31">
        <f t="shared" si="24"/>
        <v>0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0</v>
      </c>
      <c r="W31">
        <f t="shared" si="29"/>
        <v>0</v>
      </c>
      <c r="X31">
        <f t="shared" si="30"/>
        <v>0</v>
      </c>
      <c r="Y31">
        <f t="shared" si="30"/>
        <v>0</v>
      </c>
      <c r="AA31">
        <v>49688178</v>
      </c>
      <c r="AB31">
        <f t="shared" si="31"/>
        <v>146.84</v>
      </c>
      <c r="AC31">
        <f t="shared" si="32"/>
        <v>146.84</v>
      </c>
      <c r="AD31">
        <f t="shared" si="33"/>
        <v>0</v>
      </c>
      <c r="AE31">
        <f t="shared" si="34"/>
        <v>0</v>
      </c>
      <c r="AF31">
        <f t="shared" si="34"/>
        <v>0</v>
      </c>
      <c r="AG31">
        <f t="shared" si="35"/>
        <v>0</v>
      </c>
      <c r="AH31">
        <f t="shared" si="36"/>
        <v>0</v>
      </c>
      <c r="AI31">
        <f t="shared" si="36"/>
        <v>0</v>
      </c>
      <c r="AJ31">
        <f t="shared" si="37"/>
        <v>0</v>
      </c>
      <c r="AK31">
        <v>146.84</v>
      </c>
      <c r="AL31">
        <v>146.84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6.66</v>
      </c>
      <c r="BD31" t="s">
        <v>5</v>
      </c>
      <c r="BE31" t="s">
        <v>5</v>
      </c>
      <c r="BF31" t="s">
        <v>5</v>
      </c>
      <c r="BG31" t="s">
        <v>5</v>
      </c>
      <c r="BH31">
        <v>3</v>
      </c>
      <c r="BI31">
        <v>1</v>
      </c>
      <c r="BJ31" t="s">
        <v>28</v>
      </c>
      <c r="BM31">
        <v>292</v>
      </c>
      <c r="BN31">
        <v>0</v>
      </c>
      <c r="BO31" t="s">
        <v>25</v>
      </c>
      <c r="BP31">
        <v>1</v>
      </c>
      <c r="BQ31">
        <v>30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5</v>
      </c>
      <c r="BZ31">
        <v>0</v>
      </c>
      <c r="CA31">
        <v>0</v>
      </c>
      <c r="CE31">
        <v>30</v>
      </c>
      <c r="CF31">
        <v>0</v>
      </c>
      <c r="CG31">
        <v>0</v>
      </c>
      <c r="CM31">
        <v>0</v>
      </c>
      <c r="CN31" t="s">
        <v>5</v>
      </c>
      <c r="CO31">
        <v>0</v>
      </c>
      <c r="CP31">
        <f t="shared" si="38"/>
        <v>1583063.69</v>
      </c>
      <c r="CQ31">
        <f t="shared" si="39"/>
        <v>977.95</v>
      </c>
      <c r="CR31">
        <f t="shared" si="40"/>
        <v>0</v>
      </c>
      <c r="CS31">
        <f t="shared" si="41"/>
        <v>0</v>
      </c>
      <c r="CT31">
        <f t="shared" si="42"/>
        <v>0</v>
      </c>
      <c r="CU31">
        <f t="shared" si="43"/>
        <v>0</v>
      </c>
      <c r="CV31">
        <f t="shared" si="44"/>
        <v>0</v>
      </c>
      <c r="CW31">
        <f t="shared" si="45"/>
        <v>0</v>
      </c>
      <c r="CX31">
        <f t="shared" si="45"/>
        <v>0</v>
      </c>
      <c r="CY31">
        <f t="shared" si="46"/>
        <v>0</v>
      </c>
      <c r="CZ31">
        <f t="shared" si="47"/>
        <v>0</v>
      </c>
      <c r="DC31" t="s">
        <v>5</v>
      </c>
      <c r="DD31" t="s">
        <v>5</v>
      </c>
      <c r="DE31" t="s">
        <v>5</v>
      </c>
      <c r="DF31" t="s">
        <v>5</v>
      </c>
      <c r="DG31" t="s">
        <v>5</v>
      </c>
      <c r="DH31" t="s">
        <v>5</v>
      </c>
      <c r="DI31" t="s">
        <v>5</v>
      </c>
      <c r="DJ31" t="s">
        <v>5</v>
      </c>
      <c r="DK31" t="s">
        <v>5</v>
      </c>
      <c r="DL31" t="s">
        <v>5</v>
      </c>
      <c r="DM31" t="s">
        <v>5</v>
      </c>
      <c r="DN31">
        <v>187</v>
      </c>
      <c r="DO31">
        <v>101</v>
      </c>
      <c r="DP31">
        <v>1</v>
      </c>
      <c r="DQ31">
        <v>1</v>
      </c>
      <c r="DU31">
        <v>1007</v>
      </c>
      <c r="DV31" t="s">
        <v>27</v>
      </c>
      <c r="DW31" t="s">
        <v>27</v>
      </c>
      <c r="DX31">
        <v>1</v>
      </c>
      <c r="DZ31" t="s">
        <v>5</v>
      </c>
      <c r="EA31" t="s">
        <v>5</v>
      </c>
      <c r="EB31" t="s">
        <v>5</v>
      </c>
      <c r="EC31" t="s">
        <v>5</v>
      </c>
      <c r="EE31">
        <v>49387988</v>
      </c>
      <c r="EF31">
        <v>30</v>
      </c>
      <c r="EG31" t="s">
        <v>21</v>
      </c>
      <c r="EH31">
        <v>0</v>
      </c>
      <c r="EI31" t="s">
        <v>5</v>
      </c>
      <c r="EJ31">
        <v>1</v>
      </c>
      <c r="EK31">
        <v>292</v>
      </c>
      <c r="EL31" t="s">
        <v>22</v>
      </c>
      <c r="EM31" t="s">
        <v>23</v>
      </c>
      <c r="EO31" t="s">
        <v>5</v>
      </c>
      <c r="EQ31">
        <v>0</v>
      </c>
      <c r="ER31">
        <v>146.84</v>
      </c>
      <c r="ES31">
        <v>146.84</v>
      </c>
      <c r="ET31">
        <v>0</v>
      </c>
      <c r="EU31">
        <v>0</v>
      </c>
      <c r="EV31">
        <v>0</v>
      </c>
      <c r="EW31">
        <v>0</v>
      </c>
      <c r="EX31">
        <v>0</v>
      </c>
      <c r="FQ31">
        <v>0</v>
      </c>
      <c r="FR31">
        <f t="shared" si="48"/>
        <v>0</v>
      </c>
      <c r="FS31">
        <v>0</v>
      </c>
      <c r="FX31">
        <v>187</v>
      </c>
      <c r="FY31">
        <v>101</v>
      </c>
      <c r="GA31" t="s">
        <v>5</v>
      </c>
      <c r="GD31">
        <v>0</v>
      </c>
      <c r="GF31">
        <v>92320855</v>
      </c>
      <c r="GG31">
        <v>2</v>
      </c>
      <c r="GH31">
        <v>1</v>
      </c>
      <c r="GI31">
        <v>2</v>
      </c>
      <c r="GJ31">
        <v>0</v>
      </c>
      <c r="GK31">
        <f>ROUND(R31*(R12)/100,2)</f>
        <v>0</v>
      </c>
      <c r="GL31">
        <f t="shared" si="49"/>
        <v>0</v>
      </c>
      <c r="GM31">
        <f t="shared" si="50"/>
        <v>1583063.69</v>
      </c>
      <c r="GN31">
        <f t="shared" si="51"/>
        <v>1583063.69</v>
      </c>
      <c r="GO31">
        <f t="shared" si="52"/>
        <v>0</v>
      </c>
      <c r="GP31">
        <f t="shared" si="53"/>
        <v>0</v>
      </c>
      <c r="GR31">
        <v>0</v>
      </c>
      <c r="GS31">
        <v>3</v>
      </c>
      <c r="GT31">
        <v>0</v>
      </c>
      <c r="GU31" t="s">
        <v>5</v>
      </c>
      <c r="GV31">
        <f t="shared" si="54"/>
        <v>0</v>
      </c>
      <c r="GW31">
        <v>1</v>
      </c>
      <c r="GX31">
        <f t="shared" si="55"/>
        <v>0</v>
      </c>
      <c r="HA31">
        <v>0</v>
      </c>
      <c r="HB31">
        <v>0</v>
      </c>
      <c r="HC31">
        <f t="shared" si="56"/>
        <v>0</v>
      </c>
      <c r="HE31" t="s">
        <v>5</v>
      </c>
      <c r="HF31" t="s">
        <v>5</v>
      </c>
      <c r="IK31">
        <v>0</v>
      </c>
    </row>
    <row r="32" spans="1:245" x14ac:dyDescent="0.2">
      <c r="A32">
        <v>17</v>
      </c>
      <c r="B32">
        <v>1</v>
      </c>
      <c r="C32">
        <f>ROW(SmtRes!A12)</f>
        <v>12</v>
      </c>
      <c r="D32">
        <f>ROW(EtalonRes!A13)</f>
        <v>13</v>
      </c>
      <c r="E32" t="s">
        <v>34</v>
      </c>
      <c r="F32" t="s">
        <v>35</v>
      </c>
      <c r="G32" t="s">
        <v>36</v>
      </c>
      <c r="H32" t="s">
        <v>37</v>
      </c>
      <c r="I32">
        <f>ROUND(4625/10,9)</f>
        <v>462.5</v>
      </c>
      <c r="J32">
        <v>0</v>
      </c>
      <c r="O32">
        <f t="shared" si="21"/>
        <v>14469536.82</v>
      </c>
      <c r="P32">
        <f t="shared" si="22"/>
        <v>280920.28000000003</v>
      </c>
      <c r="Q32">
        <f t="shared" si="23"/>
        <v>4080677.74</v>
      </c>
      <c r="R32">
        <f t="shared" si="24"/>
        <v>920980.35</v>
      </c>
      <c r="S32">
        <f t="shared" si="25"/>
        <v>10107938.800000001</v>
      </c>
      <c r="T32">
        <f t="shared" si="26"/>
        <v>0</v>
      </c>
      <c r="U32">
        <f t="shared" si="27"/>
        <v>32606.25</v>
      </c>
      <c r="V32">
        <f t="shared" si="28"/>
        <v>0</v>
      </c>
      <c r="W32">
        <f t="shared" si="29"/>
        <v>0</v>
      </c>
      <c r="X32">
        <f t="shared" si="30"/>
        <v>10310097.58</v>
      </c>
      <c r="Y32">
        <f t="shared" si="30"/>
        <v>4750731.24</v>
      </c>
      <c r="AA32">
        <v>49688178</v>
      </c>
      <c r="AB32">
        <f t="shared" si="31"/>
        <v>2071.16</v>
      </c>
      <c r="AC32">
        <f t="shared" si="32"/>
        <v>113.32</v>
      </c>
      <c r="AD32">
        <f t="shared" si="33"/>
        <v>1077.3</v>
      </c>
      <c r="AE32">
        <f t="shared" si="34"/>
        <v>80.23</v>
      </c>
      <c r="AF32">
        <f t="shared" si="34"/>
        <v>880.54</v>
      </c>
      <c r="AG32">
        <f t="shared" si="35"/>
        <v>0</v>
      </c>
      <c r="AH32">
        <f t="shared" si="36"/>
        <v>70.5</v>
      </c>
      <c r="AI32">
        <f t="shared" si="36"/>
        <v>0</v>
      </c>
      <c r="AJ32">
        <f t="shared" si="37"/>
        <v>0</v>
      </c>
      <c r="AK32">
        <v>2071.16</v>
      </c>
      <c r="AL32">
        <v>113.32</v>
      </c>
      <c r="AM32">
        <v>1077.3</v>
      </c>
      <c r="AN32">
        <v>80.23</v>
      </c>
      <c r="AO32">
        <v>880.54</v>
      </c>
      <c r="AP32">
        <v>0</v>
      </c>
      <c r="AQ32">
        <v>70.5</v>
      </c>
      <c r="AR32">
        <v>0</v>
      </c>
      <c r="AS32">
        <v>0</v>
      </c>
      <c r="AT32">
        <v>102</v>
      </c>
      <c r="AU32">
        <v>47</v>
      </c>
      <c r="AV32">
        <v>1</v>
      </c>
      <c r="AW32">
        <v>1</v>
      </c>
      <c r="AZ32">
        <v>1</v>
      </c>
      <c r="BA32">
        <v>24.82</v>
      </c>
      <c r="BB32">
        <v>8.19</v>
      </c>
      <c r="BC32">
        <v>5.36</v>
      </c>
      <c r="BD32" t="s">
        <v>5</v>
      </c>
      <c r="BE32" t="s">
        <v>5</v>
      </c>
      <c r="BF32" t="s">
        <v>5</v>
      </c>
      <c r="BG32" t="s">
        <v>5</v>
      </c>
      <c r="BH32">
        <v>0</v>
      </c>
      <c r="BI32">
        <v>1</v>
      </c>
      <c r="BJ32" t="s">
        <v>38</v>
      </c>
      <c r="BM32">
        <v>292</v>
      </c>
      <c r="BN32">
        <v>0</v>
      </c>
      <c r="BO32" t="s">
        <v>35</v>
      </c>
      <c r="BP32">
        <v>1</v>
      </c>
      <c r="BQ32">
        <v>30</v>
      </c>
      <c r="BR32">
        <v>0</v>
      </c>
      <c r="BS32">
        <v>24.82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5</v>
      </c>
      <c r="BZ32">
        <v>102</v>
      </c>
      <c r="CA32">
        <v>47</v>
      </c>
      <c r="CE32">
        <v>30</v>
      </c>
      <c r="CF32">
        <v>0</v>
      </c>
      <c r="CG32">
        <v>0</v>
      </c>
      <c r="CM32">
        <v>0</v>
      </c>
      <c r="CN32" t="s">
        <v>5</v>
      </c>
      <c r="CO32">
        <v>0</v>
      </c>
      <c r="CP32">
        <f t="shared" si="38"/>
        <v>14469536.82</v>
      </c>
      <c r="CQ32">
        <f t="shared" si="39"/>
        <v>607.4</v>
      </c>
      <c r="CR32">
        <f t="shared" si="40"/>
        <v>8823.09</v>
      </c>
      <c r="CS32">
        <f t="shared" si="41"/>
        <v>1991.31</v>
      </c>
      <c r="CT32">
        <f t="shared" si="42"/>
        <v>21855</v>
      </c>
      <c r="CU32">
        <f t="shared" si="43"/>
        <v>0</v>
      </c>
      <c r="CV32">
        <f t="shared" si="44"/>
        <v>70.5</v>
      </c>
      <c r="CW32">
        <f t="shared" si="45"/>
        <v>0</v>
      </c>
      <c r="CX32">
        <f t="shared" si="45"/>
        <v>0</v>
      </c>
      <c r="CY32">
        <f t="shared" si="46"/>
        <v>10310097.576000001</v>
      </c>
      <c r="CZ32">
        <f t="shared" si="47"/>
        <v>4750731.2360000005</v>
      </c>
      <c r="DC32" t="s">
        <v>5</v>
      </c>
      <c r="DD32" t="s">
        <v>5</v>
      </c>
      <c r="DE32" t="s">
        <v>5</v>
      </c>
      <c r="DF32" t="s">
        <v>5</v>
      </c>
      <c r="DG32" t="s">
        <v>5</v>
      </c>
      <c r="DH32" t="s">
        <v>5</v>
      </c>
      <c r="DI32" t="s">
        <v>5</v>
      </c>
      <c r="DJ32" t="s">
        <v>5</v>
      </c>
      <c r="DK32" t="s">
        <v>5</v>
      </c>
      <c r="DL32" t="s">
        <v>5</v>
      </c>
      <c r="DM32" t="s">
        <v>5</v>
      </c>
      <c r="DN32">
        <v>187</v>
      </c>
      <c r="DO32">
        <v>101</v>
      </c>
      <c r="DP32">
        <v>1</v>
      </c>
      <c r="DQ32">
        <v>1</v>
      </c>
      <c r="DU32">
        <v>1013</v>
      </c>
      <c r="DV32" t="s">
        <v>37</v>
      </c>
      <c r="DW32" t="s">
        <v>37</v>
      </c>
      <c r="DX32">
        <v>1</v>
      </c>
      <c r="DZ32" t="s">
        <v>5</v>
      </c>
      <c r="EA32" t="s">
        <v>5</v>
      </c>
      <c r="EB32" t="s">
        <v>5</v>
      </c>
      <c r="EC32" t="s">
        <v>5</v>
      </c>
      <c r="EE32">
        <v>49387988</v>
      </c>
      <c r="EF32">
        <v>30</v>
      </c>
      <c r="EG32" t="s">
        <v>21</v>
      </c>
      <c r="EH32">
        <v>0</v>
      </c>
      <c r="EI32" t="s">
        <v>5</v>
      </c>
      <c r="EJ32">
        <v>1</v>
      </c>
      <c r="EK32">
        <v>292</v>
      </c>
      <c r="EL32" t="s">
        <v>22</v>
      </c>
      <c r="EM32" t="s">
        <v>23</v>
      </c>
      <c r="EO32" t="s">
        <v>5</v>
      </c>
      <c r="EQ32">
        <v>0</v>
      </c>
      <c r="ER32">
        <v>2071.16</v>
      </c>
      <c r="ES32">
        <v>113.32</v>
      </c>
      <c r="ET32">
        <v>1077.3</v>
      </c>
      <c r="EU32">
        <v>80.23</v>
      </c>
      <c r="EV32">
        <v>880.54</v>
      </c>
      <c r="EW32">
        <v>70.5</v>
      </c>
      <c r="EX32">
        <v>0</v>
      </c>
      <c r="EY32">
        <v>0</v>
      </c>
      <c r="FQ32">
        <v>0</v>
      </c>
      <c r="FR32">
        <f t="shared" si="48"/>
        <v>0</v>
      </c>
      <c r="FS32">
        <v>0</v>
      </c>
      <c r="FX32">
        <v>187</v>
      </c>
      <c r="FY32">
        <v>101</v>
      </c>
      <c r="GA32" t="s">
        <v>5</v>
      </c>
      <c r="GD32">
        <v>0</v>
      </c>
      <c r="GF32">
        <v>-1766019294</v>
      </c>
      <c r="GG32">
        <v>2</v>
      </c>
      <c r="GH32">
        <v>1</v>
      </c>
      <c r="GI32">
        <v>2</v>
      </c>
      <c r="GJ32">
        <v>0</v>
      </c>
      <c r="GK32">
        <f>ROUND(R32*(R12)/100,2)</f>
        <v>1445939.15</v>
      </c>
      <c r="GL32">
        <f t="shared" si="49"/>
        <v>0</v>
      </c>
      <c r="GM32">
        <f t="shared" si="50"/>
        <v>30976304.789999999</v>
      </c>
      <c r="GN32">
        <f t="shared" si="51"/>
        <v>30976304.789999999</v>
      </c>
      <c r="GO32">
        <f t="shared" si="52"/>
        <v>0</v>
      </c>
      <c r="GP32">
        <f t="shared" si="53"/>
        <v>0</v>
      </c>
      <c r="GR32">
        <v>0</v>
      </c>
      <c r="GS32">
        <v>3</v>
      </c>
      <c r="GT32">
        <v>0</v>
      </c>
      <c r="GU32" t="s">
        <v>5</v>
      </c>
      <c r="GV32">
        <f t="shared" si="54"/>
        <v>0</v>
      </c>
      <c r="GW32">
        <v>1</v>
      </c>
      <c r="GX32">
        <f t="shared" si="55"/>
        <v>0</v>
      </c>
      <c r="HA32">
        <v>0</v>
      </c>
      <c r="HB32">
        <v>0</v>
      </c>
      <c r="HC32">
        <f t="shared" si="56"/>
        <v>0</v>
      </c>
      <c r="HE32" t="s">
        <v>5</v>
      </c>
      <c r="HF32" t="s">
        <v>5</v>
      </c>
      <c r="IK32">
        <v>0</v>
      </c>
    </row>
    <row r="33" spans="1:245" x14ac:dyDescent="0.2">
      <c r="A33">
        <v>17</v>
      </c>
      <c r="B33">
        <v>1</v>
      </c>
      <c r="C33">
        <f>ROW(SmtRes!A15)</f>
        <v>15</v>
      </c>
      <c r="D33">
        <f>ROW(EtalonRes!A16)</f>
        <v>16</v>
      </c>
      <c r="E33" t="s">
        <v>39</v>
      </c>
      <c r="F33" t="s">
        <v>40</v>
      </c>
      <c r="G33" t="s">
        <v>41</v>
      </c>
      <c r="H33" t="s">
        <v>42</v>
      </c>
      <c r="I33">
        <f>ROUND(15355/100,9)</f>
        <v>153.55000000000001</v>
      </c>
      <c r="J33">
        <v>0</v>
      </c>
      <c r="O33">
        <f t="shared" si="21"/>
        <v>1267996.75</v>
      </c>
      <c r="P33">
        <f t="shared" si="22"/>
        <v>0</v>
      </c>
      <c r="Q33">
        <f t="shared" si="23"/>
        <v>1214259.96</v>
      </c>
      <c r="R33">
        <f t="shared" si="24"/>
        <v>501885.22</v>
      </c>
      <c r="S33">
        <f t="shared" si="25"/>
        <v>53736.79</v>
      </c>
      <c r="T33">
        <f t="shared" si="26"/>
        <v>0</v>
      </c>
      <c r="U33">
        <f t="shared" si="27"/>
        <v>211.899</v>
      </c>
      <c r="V33">
        <f t="shared" si="28"/>
        <v>0</v>
      </c>
      <c r="W33">
        <f t="shared" si="29"/>
        <v>0</v>
      </c>
      <c r="X33">
        <f t="shared" si="30"/>
        <v>49437.85</v>
      </c>
      <c r="Y33">
        <f t="shared" si="30"/>
        <v>26868.400000000001</v>
      </c>
      <c r="AA33">
        <v>49688178</v>
      </c>
      <c r="AB33">
        <f t="shared" si="31"/>
        <v>822.68</v>
      </c>
      <c r="AC33">
        <f t="shared" si="32"/>
        <v>0</v>
      </c>
      <c r="AD33">
        <f t="shared" si="33"/>
        <v>808.58</v>
      </c>
      <c r="AE33">
        <f t="shared" si="34"/>
        <v>131.69</v>
      </c>
      <c r="AF33">
        <f t="shared" si="34"/>
        <v>14.1</v>
      </c>
      <c r="AG33">
        <f t="shared" si="35"/>
        <v>0</v>
      </c>
      <c r="AH33">
        <f t="shared" si="36"/>
        <v>1.38</v>
      </c>
      <c r="AI33">
        <f t="shared" si="36"/>
        <v>0</v>
      </c>
      <c r="AJ33">
        <f t="shared" si="37"/>
        <v>0</v>
      </c>
      <c r="AK33">
        <v>822.68</v>
      </c>
      <c r="AL33">
        <v>0</v>
      </c>
      <c r="AM33">
        <v>808.58</v>
      </c>
      <c r="AN33">
        <v>131.69</v>
      </c>
      <c r="AO33">
        <v>14.1</v>
      </c>
      <c r="AP33">
        <v>0</v>
      </c>
      <c r="AQ33">
        <v>1.38</v>
      </c>
      <c r="AR33">
        <v>0</v>
      </c>
      <c r="AS33">
        <v>0</v>
      </c>
      <c r="AT33">
        <v>92</v>
      </c>
      <c r="AU33">
        <v>50</v>
      </c>
      <c r="AV33">
        <v>1</v>
      </c>
      <c r="AW33">
        <v>1</v>
      </c>
      <c r="AZ33">
        <v>1</v>
      </c>
      <c r="BA33">
        <v>24.82</v>
      </c>
      <c r="BB33">
        <v>9.7799999999999994</v>
      </c>
      <c r="BC33">
        <v>1</v>
      </c>
      <c r="BD33" t="s">
        <v>5</v>
      </c>
      <c r="BE33" t="s">
        <v>5</v>
      </c>
      <c r="BF33" t="s">
        <v>5</v>
      </c>
      <c r="BG33" t="s">
        <v>5</v>
      </c>
      <c r="BH33">
        <v>0</v>
      </c>
      <c r="BI33">
        <v>1</v>
      </c>
      <c r="BJ33" t="s">
        <v>43</v>
      </c>
      <c r="BM33">
        <v>2</v>
      </c>
      <c r="BN33">
        <v>0</v>
      </c>
      <c r="BO33" t="s">
        <v>40</v>
      </c>
      <c r="BP33">
        <v>1</v>
      </c>
      <c r="BQ33">
        <v>30</v>
      </c>
      <c r="BR33">
        <v>0</v>
      </c>
      <c r="BS33">
        <v>24.82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5</v>
      </c>
      <c r="BZ33">
        <v>92</v>
      </c>
      <c r="CA33">
        <v>50</v>
      </c>
      <c r="CE33">
        <v>30</v>
      </c>
      <c r="CF33">
        <v>0</v>
      </c>
      <c r="CG33">
        <v>0</v>
      </c>
      <c r="CM33">
        <v>0</v>
      </c>
      <c r="CN33" t="s">
        <v>5</v>
      </c>
      <c r="CO33">
        <v>0</v>
      </c>
      <c r="CP33">
        <f t="shared" si="38"/>
        <v>1267996.75</v>
      </c>
      <c r="CQ33">
        <f t="shared" si="39"/>
        <v>0</v>
      </c>
      <c r="CR33">
        <f t="shared" si="40"/>
        <v>7907.91</v>
      </c>
      <c r="CS33">
        <f t="shared" si="41"/>
        <v>3268.55</v>
      </c>
      <c r="CT33">
        <f t="shared" si="42"/>
        <v>349.96</v>
      </c>
      <c r="CU33">
        <f t="shared" si="43"/>
        <v>0</v>
      </c>
      <c r="CV33">
        <f t="shared" si="44"/>
        <v>1.38</v>
      </c>
      <c r="CW33">
        <f t="shared" si="45"/>
        <v>0</v>
      </c>
      <c r="CX33">
        <f t="shared" si="45"/>
        <v>0</v>
      </c>
      <c r="CY33">
        <f t="shared" si="46"/>
        <v>49437.846799999999</v>
      </c>
      <c r="CZ33">
        <f t="shared" si="47"/>
        <v>26868.395</v>
      </c>
      <c r="DC33" t="s">
        <v>5</v>
      </c>
      <c r="DD33" t="s">
        <v>5</v>
      </c>
      <c r="DE33" t="s">
        <v>5</v>
      </c>
      <c r="DF33" t="s">
        <v>5</v>
      </c>
      <c r="DG33" t="s">
        <v>5</v>
      </c>
      <c r="DH33" t="s">
        <v>5</v>
      </c>
      <c r="DI33" t="s">
        <v>5</v>
      </c>
      <c r="DJ33" t="s">
        <v>5</v>
      </c>
      <c r="DK33" t="s">
        <v>5</v>
      </c>
      <c r="DL33" t="s">
        <v>5</v>
      </c>
      <c r="DM33" t="s">
        <v>5</v>
      </c>
      <c r="DN33">
        <v>98</v>
      </c>
      <c r="DO33">
        <v>77</v>
      </c>
      <c r="DP33">
        <v>1</v>
      </c>
      <c r="DQ33">
        <v>1</v>
      </c>
      <c r="DU33">
        <v>1013</v>
      </c>
      <c r="DV33" t="s">
        <v>42</v>
      </c>
      <c r="DW33" t="s">
        <v>42</v>
      </c>
      <c r="DX33">
        <v>1</v>
      </c>
      <c r="DZ33" t="s">
        <v>5</v>
      </c>
      <c r="EA33" t="s">
        <v>5</v>
      </c>
      <c r="EB33" t="s">
        <v>5</v>
      </c>
      <c r="EC33" t="s">
        <v>5</v>
      </c>
      <c r="EE33">
        <v>49387742</v>
      </c>
      <c r="EF33">
        <v>30</v>
      </c>
      <c r="EG33" t="s">
        <v>21</v>
      </c>
      <c r="EH33">
        <v>0</v>
      </c>
      <c r="EI33" t="s">
        <v>5</v>
      </c>
      <c r="EJ33">
        <v>1</v>
      </c>
      <c r="EK33">
        <v>2</v>
      </c>
      <c r="EL33" t="s">
        <v>44</v>
      </c>
      <c r="EM33" t="s">
        <v>45</v>
      </c>
      <c r="EO33" t="s">
        <v>5</v>
      </c>
      <c r="EQ33">
        <v>0</v>
      </c>
      <c r="ER33">
        <v>822.68</v>
      </c>
      <c r="ES33">
        <v>0</v>
      </c>
      <c r="ET33">
        <v>808.58</v>
      </c>
      <c r="EU33">
        <v>131.69</v>
      </c>
      <c r="EV33">
        <v>14.1</v>
      </c>
      <c r="EW33">
        <v>1.38</v>
      </c>
      <c r="EX33">
        <v>0</v>
      </c>
      <c r="EY33">
        <v>0</v>
      </c>
      <c r="FQ33">
        <v>0</v>
      </c>
      <c r="FR33">
        <f t="shared" si="48"/>
        <v>0</v>
      </c>
      <c r="FS33">
        <v>0</v>
      </c>
      <c r="FX33">
        <v>98</v>
      </c>
      <c r="FY33">
        <v>77</v>
      </c>
      <c r="GA33" t="s">
        <v>5</v>
      </c>
      <c r="GD33">
        <v>0</v>
      </c>
      <c r="GF33">
        <v>1525498573</v>
      </c>
      <c r="GG33">
        <v>2</v>
      </c>
      <c r="GH33">
        <v>1</v>
      </c>
      <c r="GI33">
        <v>2</v>
      </c>
      <c r="GJ33">
        <v>0</v>
      </c>
      <c r="GK33">
        <f>ROUND(R33*(R12)/100,2)</f>
        <v>787959.8</v>
      </c>
      <c r="GL33">
        <f t="shared" si="49"/>
        <v>0</v>
      </c>
      <c r="GM33">
        <f t="shared" si="50"/>
        <v>2132262.7999999998</v>
      </c>
      <c r="GN33">
        <f t="shared" si="51"/>
        <v>2132262.7999999998</v>
      </c>
      <c r="GO33">
        <f t="shared" si="52"/>
        <v>0</v>
      </c>
      <c r="GP33">
        <f t="shared" si="53"/>
        <v>0</v>
      </c>
      <c r="GR33">
        <v>0</v>
      </c>
      <c r="GS33">
        <v>3</v>
      </c>
      <c r="GT33">
        <v>0</v>
      </c>
      <c r="GU33" t="s">
        <v>5</v>
      </c>
      <c r="GV33">
        <f t="shared" si="54"/>
        <v>0</v>
      </c>
      <c r="GW33">
        <v>1</v>
      </c>
      <c r="GX33">
        <f t="shared" si="55"/>
        <v>0</v>
      </c>
      <c r="HA33">
        <v>0</v>
      </c>
      <c r="HB33">
        <v>0</v>
      </c>
      <c r="HC33">
        <f t="shared" si="56"/>
        <v>0</v>
      </c>
      <c r="HE33" t="s">
        <v>5</v>
      </c>
      <c r="HF33" t="s">
        <v>5</v>
      </c>
      <c r="IK33">
        <v>0</v>
      </c>
    </row>
    <row r="34" spans="1:245" x14ac:dyDescent="0.2">
      <c r="A34">
        <v>17</v>
      </c>
      <c r="B34">
        <v>1</v>
      </c>
      <c r="C34">
        <f>ROW(SmtRes!A16)</f>
        <v>16</v>
      </c>
      <c r="D34">
        <f>ROW(EtalonRes!A17)</f>
        <v>17</v>
      </c>
      <c r="E34" t="s">
        <v>46</v>
      </c>
      <c r="F34" t="s">
        <v>47</v>
      </c>
      <c r="G34" t="s">
        <v>48</v>
      </c>
      <c r="H34" t="s">
        <v>49</v>
      </c>
      <c r="I34">
        <f>ROUND((15355/0.1)/100,9)</f>
        <v>1535.5</v>
      </c>
      <c r="J34">
        <v>0</v>
      </c>
      <c r="O34">
        <f t="shared" si="21"/>
        <v>3972702.11</v>
      </c>
      <c r="P34">
        <f t="shared" si="22"/>
        <v>0</v>
      </c>
      <c r="Q34">
        <f t="shared" si="23"/>
        <v>0</v>
      </c>
      <c r="R34">
        <f t="shared" si="24"/>
        <v>0</v>
      </c>
      <c r="S34">
        <f t="shared" si="25"/>
        <v>3972702.11</v>
      </c>
      <c r="T34">
        <f t="shared" si="26"/>
        <v>0</v>
      </c>
      <c r="U34">
        <f t="shared" si="27"/>
        <v>15662.099999999999</v>
      </c>
      <c r="V34">
        <f t="shared" si="28"/>
        <v>0</v>
      </c>
      <c r="W34">
        <f t="shared" si="29"/>
        <v>0</v>
      </c>
      <c r="X34">
        <f t="shared" si="30"/>
        <v>4052156.15</v>
      </c>
      <c r="Y34">
        <f t="shared" si="30"/>
        <v>1867169.99</v>
      </c>
      <c r="AA34">
        <v>49688178</v>
      </c>
      <c r="AB34">
        <f t="shared" si="31"/>
        <v>104.24</v>
      </c>
      <c r="AC34">
        <f t="shared" si="32"/>
        <v>0</v>
      </c>
      <c r="AD34">
        <f t="shared" si="33"/>
        <v>0</v>
      </c>
      <c r="AE34">
        <f t="shared" si="34"/>
        <v>0</v>
      </c>
      <c r="AF34">
        <f t="shared" si="34"/>
        <v>104.24</v>
      </c>
      <c r="AG34">
        <f t="shared" si="35"/>
        <v>0</v>
      </c>
      <c r="AH34">
        <f t="shared" si="36"/>
        <v>10.199999999999999</v>
      </c>
      <c r="AI34">
        <f t="shared" si="36"/>
        <v>0</v>
      </c>
      <c r="AJ34">
        <f t="shared" si="37"/>
        <v>0</v>
      </c>
      <c r="AK34">
        <v>104.24</v>
      </c>
      <c r="AL34">
        <v>0</v>
      </c>
      <c r="AM34">
        <v>0</v>
      </c>
      <c r="AN34">
        <v>0</v>
      </c>
      <c r="AO34">
        <v>104.24</v>
      </c>
      <c r="AP34">
        <v>0</v>
      </c>
      <c r="AQ34">
        <v>10.199999999999999</v>
      </c>
      <c r="AR34">
        <v>0</v>
      </c>
      <c r="AS34">
        <v>0</v>
      </c>
      <c r="AT34">
        <v>102</v>
      </c>
      <c r="AU34">
        <v>47</v>
      </c>
      <c r="AV34">
        <v>1</v>
      </c>
      <c r="AW34">
        <v>1</v>
      </c>
      <c r="AZ34">
        <v>1</v>
      </c>
      <c r="BA34">
        <v>24.82</v>
      </c>
      <c r="BB34">
        <v>1</v>
      </c>
      <c r="BC34">
        <v>1</v>
      </c>
      <c r="BD34" t="s">
        <v>5</v>
      </c>
      <c r="BE34" t="s">
        <v>5</v>
      </c>
      <c r="BF34" t="s">
        <v>5</v>
      </c>
      <c r="BG34" t="s">
        <v>5</v>
      </c>
      <c r="BH34">
        <v>0</v>
      </c>
      <c r="BI34">
        <v>1</v>
      </c>
      <c r="BJ34" t="s">
        <v>50</v>
      </c>
      <c r="BM34">
        <v>292</v>
      </c>
      <c r="BN34">
        <v>0</v>
      </c>
      <c r="BO34" t="s">
        <v>47</v>
      </c>
      <c r="BP34">
        <v>1</v>
      </c>
      <c r="BQ34">
        <v>30</v>
      </c>
      <c r="BR34">
        <v>0</v>
      </c>
      <c r="BS34">
        <v>24.82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5</v>
      </c>
      <c r="BZ34">
        <v>102</v>
      </c>
      <c r="CA34">
        <v>47</v>
      </c>
      <c r="CE34">
        <v>30</v>
      </c>
      <c r="CF34">
        <v>0</v>
      </c>
      <c r="CG34">
        <v>0</v>
      </c>
      <c r="CM34">
        <v>0</v>
      </c>
      <c r="CN34" t="s">
        <v>5</v>
      </c>
      <c r="CO34">
        <v>0</v>
      </c>
      <c r="CP34">
        <f t="shared" si="38"/>
        <v>3972702.11</v>
      </c>
      <c r="CQ34">
        <f t="shared" si="39"/>
        <v>0</v>
      </c>
      <c r="CR34">
        <f t="shared" si="40"/>
        <v>0</v>
      </c>
      <c r="CS34">
        <f t="shared" si="41"/>
        <v>0</v>
      </c>
      <c r="CT34">
        <f t="shared" si="42"/>
        <v>2587.2399999999998</v>
      </c>
      <c r="CU34">
        <f t="shared" si="43"/>
        <v>0</v>
      </c>
      <c r="CV34">
        <f t="shared" si="44"/>
        <v>10.199999999999999</v>
      </c>
      <c r="CW34">
        <f t="shared" si="45"/>
        <v>0</v>
      </c>
      <c r="CX34">
        <f t="shared" si="45"/>
        <v>0</v>
      </c>
      <c r="CY34">
        <f t="shared" si="46"/>
        <v>4052156.1521999999</v>
      </c>
      <c r="CZ34">
        <f t="shared" si="47"/>
        <v>1867169.9916999999</v>
      </c>
      <c r="DC34" t="s">
        <v>5</v>
      </c>
      <c r="DD34" t="s">
        <v>5</v>
      </c>
      <c r="DE34" t="s">
        <v>5</v>
      </c>
      <c r="DF34" t="s">
        <v>5</v>
      </c>
      <c r="DG34" t="s">
        <v>5</v>
      </c>
      <c r="DH34" t="s">
        <v>5</v>
      </c>
      <c r="DI34" t="s">
        <v>5</v>
      </c>
      <c r="DJ34" t="s">
        <v>5</v>
      </c>
      <c r="DK34" t="s">
        <v>5</v>
      </c>
      <c r="DL34" t="s">
        <v>5</v>
      </c>
      <c r="DM34" t="s">
        <v>5</v>
      </c>
      <c r="DN34">
        <v>187</v>
      </c>
      <c r="DO34">
        <v>101</v>
      </c>
      <c r="DP34">
        <v>1</v>
      </c>
      <c r="DQ34">
        <v>1</v>
      </c>
      <c r="DU34">
        <v>1005</v>
      </c>
      <c r="DV34" t="s">
        <v>49</v>
      </c>
      <c r="DW34" t="s">
        <v>49</v>
      </c>
      <c r="DX34">
        <v>100</v>
      </c>
      <c r="DZ34" t="s">
        <v>5</v>
      </c>
      <c r="EA34" t="s">
        <v>5</v>
      </c>
      <c r="EB34" t="s">
        <v>5</v>
      </c>
      <c r="EC34" t="s">
        <v>5</v>
      </c>
      <c r="EE34">
        <v>49387988</v>
      </c>
      <c r="EF34">
        <v>30</v>
      </c>
      <c r="EG34" t="s">
        <v>21</v>
      </c>
      <c r="EH34">
        <v>0</v>
      </c>
      <c r="EI34" t="s">
        <v>5</v>
      </c>
      <c r="EJ34">
        <v>1</v>
      </c>
      <c r="EK34">
        <v>292</v>
      </c>
      <c r="EL34" t="s">
        <v>22</v>
      </c>
      <c r="EM34" t="s">
        <v>23</v>
      </c>
      <c r="EO34" t="s">
        <v>5</v>
      </c>
      <c r="EQ34">
        <v>0</v>
      </c>
      <c r="ER34">
        <v>104.24</v>
      </c>
      <c r="ES34">
        <v>0</v>
      </c>
      <c r="ET34">
        <v>0</v>
      </c>
      <c r="EU34">
        <v>0</v>
      </c>
      <c r="EV34">
        <v>104.24</v>
      </c>
      <c r="EW34">
        <v>10.199999999999999</v>
      </c>
      <c r="EX34">
        <v>0</v>
      </c>
      <c r="EY34">
        <v>0</v>
      </c>
      <c r="FQ34">
        <v>0</v>
      </c>
      <c r="FR34">
        <f t="shared" si="48"/>
        <v>0</v>
      </c>
      <c r="FS34">
        <v>0</v>
      </c>
      <c r="FX34">
        <v>187</v>
      </c>
      <c r="FY34">
        <v>101</v>
      </c>
      <c r="GA34" t="s">
        <v>5</v>
      </c>
      <c r="GD34">
        <v>0</v>
      </c>
      <c r="GF34">
        <v>400990801</v>
      </c>
      <c r="GG34">
        <v>2</v>
      </c>
      <c r="GH34">
        <v>1</v>
      </c>
      <c r="GI34">
        <v>2</v>
      </c>
      <c r="GJ34">
        <v>0</v>
      </c>
      <c r="GK34">
        <f>ROUND(R34*(R12)/100,2)</f>
        <v>0</v>
      </c>
      <c r="GL34">
        <f t="shared" si="49"/>
        <v>0</v>
      </c>
      <c r="GM34">
        <f t="shared" si="50"/>
        <v>9892028.25</v>
      </c>
      <c r="GN34">
        <f t="shared" si="51"/>
        <v>9892028.25</v>
      </c>
      <c r="GO34">
        <f t="shared" si="52"/>
        <v>0</v>
      </c>
      <c r="GP34">
        <f t="shared" si="53"/>
        <v>0</v>
      </c>
      <c r="GR34">
        <v>0</v>
      </c>
      <c r="GS34">
        <v>3</v>
      </c>
      <c r="GT34">
        <v>0</v>
      </c>
      <c r="GU34" t="s">
        <v>5</v>
      </c>
      <c r="GV34">
        <f t="shared" si="54"/>
        <v>0</v>
      </c>
      <c r="GW34">
        <v>1</v>
      </c>
      <c r="GX34">
        <f t="shared" si="55"/>
        <v>0</v>
      </c>
      <c r="HA34">
        <v>0</v>
      </c>
      <c r="HB34">
        <v>0</v>
      </c>
      <c r="HC34">
        <f t="shared" si="56"/>
        <v>0</v>
      </c>
      <c r="HE34" t="s">
        <v>5</v>
      </c>
      <c r="HF34" t="s">
        <v>5</v>
      </c>
      <c r="IK34">
        <v>0</v>
      </c>
    </row>
    <row r="36" spans="1:245" x14ac:dyDescent="0.2">
      <c r="A36" s="2">
        <v>51</v>
      </c>
      <c r="B36" s="2">
        <f>B24</f>
        <v>1</v>
      </c>
      <c r="C36" s="2">
        <f>A24</f>
        <v>4</v>
      </c>
      <c r="D36" s="2">
        <f>ROW(A24)</f>
        <v>24</v>
      </c>
      <c r="E36" s="2"/>
      <c r="F36" s="2" t="str">
        <f>IF(F24&lt;&gt;"",F24,"")</f>
        <v>Новый раздел</v>
      </c>
      <c r="G36" s="2" t="str">
        <f>IF(G24&lt;&gt;"",G24,"")</f>
        <v>Посадка деревьев с комом земли 1,5х1,5х0,65 м - 4625 шт.</v>
      </c>
      <c r="H36" s="2">
        <v>0</v>
      </c>
      <c r="I36" s="2"/>
      <c r="J36" s="2"/>
      <c r="K36" s="2"/>
      <c r="L36" s="2"/>
      <c r="M36" s="2"/>
      <c r="N36" s="2"/>
      <c r="O36" s="2">
        <f t="shared" ref="O36:T36" si="57">ROUND(AB36,2)</f>
        <v>36487003.130000003</v>
      </c>
      <c r="P36" s="2">
        <f t="shared" si="57"/>
        <v>8716380.8300000001</v>
      </c>
      <c r="Q36" s="2">
        <f t="shared" si="57"/>
        <v>5894437.5999999996</v>
      </c>
      <c r="R36" s="2">
        <f t="shared" si="57"/>
        <v>1789369.36</v>
      </c>
      <c r="S36" s="2">
        <f t="shared" si="57"/>
        <v>21876184.699999999</v>
      </c>
      <c r="T36" s="2">
        <f t="shared" si="57"/>
        <v>0</v>
      </c>
      <c r="U36" s="2">
        <f>AH36</f>
        <v>79317.436499999996</v>
      </c>
      <c r="V36" s="2">
        <f>AI36</f>
        <v>0</v>
      </c>
      <c r="W36" s="2">
        <f>ROUND(AJ36,2)</f>
        <v>0</v>
      </c>
      <c r="X36" s="2">
        <f>ROUND(AK36,2)</f>
        <v>22308334.719999999</v>
      </c>
      <c r="Y36" s="2">
        <f>ROUND(AL36,2)</f>
        <v>10283418.92</v>
      </c>
      <c r="Z36" s="2"/>
      <c r="AA36" s="2"/>
      <c r="AB36" s="2">
        <f>ROUND(SUMIF(AA28:AA34,"=49688178",O28:O34),2)</f>
        <v>36487003.130000003</v>
      </c>
      <c r="AC36" s="2">
        <f>ROUND(SUMIF(AA28:AA34,"=49688178",P28:P34),2)</f>
        <v>8716380.8300000001</v>
      </c>
      <c r="AD36" s="2">
        <f>ROUND(SUMIF(AA28:AA34,"=49688178",Q28:Q34),2)</f>
        <v>5894437.5999999996</v>
      </c>
      <c r="AE36" s="2">
        <f>ROUND(SUMIF(AA28:AA34,"=49688178",R28:R34),2)</f>
        <v>1789369.36</v>
      </c>
      <c r="AF36" s="2">
        <f>ROUND(SUMIF(AA28:AA34,"=49688178",S28:S34),2)</f>
        <v>21876184.699999999</v>
      </c>
      <c r="AG36" s="2">
        <f>ROUND(SUMIF(AA28:AA34,"=49688178",T28:T34),2)</f>
        <v>0</v>
      </c>
      <c r="AH36" s="2">
        <f>SUMIF(AA28:AA34,"=49688178",U28:U34)</f>
        <v>79317.436499999996</v>
      </c>
      <c r="AI36" s="2">
        <f>SUMIF(AA28:AA34,"=49688178",V28:V34)</f>
        <v>0</v>
      </c>
      <c r="AJ36" s="2">
        <f>ROUND(SUMIF(AA28:AA34,"=49688178",W28:W34),2)</f>
        <v>0</v>
      </c>
      <c r="AK36" s="2">
        <f>ROUND(SUMIF(AA28:AA34,"=49688178",X28:X34),2)</f>
        <v>22308334.719999999</v>
      </c>
      <c r="AL36" s="2">
        <f>ROUND(SUMIF(AA28:AA34,"=49688178",Y28:Y34),2)</f>
        <v>10283418.92</v>
      </c>
      <c r="AM36" s="2"/>
      <c r="AN36" s="2"/>
      <c r="AO36" s="2">
        <f t="shared" ref="AO36:BD36" si="58">ROUND(BX36,2)</f>
        <v>0</v>
      </c>
      <c r="AP36" s="2">
        <f t="shared" si="58"/>
        <v>0</v>
      </c>
      <c r="AQ36" s="2">
        <f t="shared" si="58"/>
        <v>0</v>
      </c>
      <c r="AR36" s="2">
        <f t="shared" si="58"/>
        <v>71888066.670000002</v>
      </c>
      <c r="AS36" s="2">
        <f t="shared" si="58"/>
        <v>71888066.670000002</v>
      </c>
      <c r="AT36" s="2">
        <f t="shared" si="58"/>
        <v>0</v>
      </c>
      <c r="AU36" s="2">
        <f t="shared" si="58"/>
        <v>0</v>
      </c>
      <c r="AV36" s="2">
        <f t="shared" si="58"/>
        <v>8716380.8300000001</v>
      </c>
      <c r="AW36" s="2">
        <f t="shared" si="58"/>
        <v>8716380.8300000001</v>
      </c>
      <c r="AX36" s="2">
        <f t="shared" si="58"/>
        <v>0</v>
      </c>
      <c r="AY36" s="2">
        <f t="shared" si="58"/>
        <v>8716380.8300000001</v>
      </c>
      <c r="AZ36" s="2">
        <f t="shared" si="58"/>
        <v>0</v>
      </c>
      <c r="BA36" s="2">
        <f t="shared" si="58"/>
        <v>0</v>
      </c>
      <c r="BB36" s="2">
        <f t="shared" si="58"/>
        <v>0</v>
      </c>
      <c r="BC36" s="2">
        <f t="shared" si="58"/>
        <v>0</v>
      </c>
      <c r="BD36" s="2">
        <f t="shared" si="58"/>
        <v>0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>
        <f>ROUND(SUMIF(AA28:AA34,"=49688178",FQ28:FQ34),2)</f>
        <v>0</v>
      </c>
      <c r="BY36" s="2">
        <f>ROUND(SUMIF(AA28:AA34,"=49688178",FR28:FR34),2)</f>
        <v>0</v>
      </c>
      <c r="BZ36" s="2">
        <f>ROUND(SUMIF(AA28:AA34,"=49688178",GL28:GL34),2)</f>
        <v>0</v>
      </c>
      <c r="CA36" s="2">
        <f>ROUND(SUMIF(AA28:AA34,"=49688178",GM28:GM34),2)</f>
        <v>71888066.670000002</v>
      </c>
      <c r="CB36" s="2">
        <f>ROUND(SUMIF(AA28:AA34,"=49688178",GN28:GN34),2)</f>
        <v>71888066.670000002</v>
      </c>
      <c r="CC36" s="2">
        <f>ROUND(SUMIF(AA28:AA34,"=49688178",GO28:GO34),2)</f>
        <v>0</v>
      </c>
      <c r="CD36" s="2">
        <f>ROUND(SUMIF(AA28:AA34,"=49688178",GP28:GP34),2)</f>
        <v>0</v>
      </c>
      <c r="CE36" s="2">
        <f>AC36-BX36</f>
        <v>8716380.8300000001</v>
      </c>
      <c r="CF36" s="2">
        <f>AC36-BY36</f>
        <v>8716380.8300000001</v>
      </c>
      <c r="CG36" s="2">
        <f>BX36-BZ36</f>
        <v>0</v>
      </c>
      <c r="CH36" s="2">
        <f>AC36-BX36-BY36+BZ36</f>
        <v>8716380.8300000001</v>
      </c>
      <c r="CI36" s="2">
        <f>BY36-BZ36</f>
        <v>0</v>
      </c>
      <c r="CJ36" s="2">
        <f>ROUND(SUMIF(AA28:AA34,"=49688178",GX28:GX34),2)</f>
        <v>0</v>
      </c>
      <c r="CK36" s="2">
        <f>ROUND(SUMIF(AA28:AA34,"=49688178",GY28:GY34),2)</f>
        <v>0</v>
      </c>
      <c r="CL36" s="2">
        <f>ROUND(SUMIF(AA28:AA34,"=49688178",GZ28:GZ34),2)</f>
        <v>0</v>
      </c>
      <c r="CM36" s="2">
        <f>ROUND(SUMIF(AA28:AA34,"=49688178",HD28:HD34),2)</f>
        <v>0</v>
      </c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>
        <v>0</v>
      </c>
    </row>
    <row r="38" spans="1:245" x14ac:dyDescent="0.2">
      <c r="A38" s="4">
        <v>50</v>
      </c>
      <c r="B38" s="4">
        <v>0</v>
      </c>
      <c r="C38" s="4">
        <v>0</v>
      </c>
      <c r="D38" s="4">
        <v>1</v>
      </c>
      <c r="E38" s="4">
        <v>201</v>
      </c>
      <c r="F38" s="4">
        <f>ROUND(Source!O36,O38)</f>
        <v>36487003.130000003</v>
      </c>
      <c r="G38" s="4" t="s">
        <v>51</v>
      </c>
      <c r="H38" s="4" t="s">
        <v>52</v>
      </c>
      <c r="I38" s="4"/>
      <c r="J38" s="4"/>
      <c r="K38" s="4">
        <v>201</v>
      </c>
      <c r="L38" s="4">
        <v>1</v>
      </c>
      <c r="M38" s="4">
        <v>3</v>
      </c>
      <c r="N38" s="4" t="s">
        <v>5</v>
      </c>
      <c r="O38" s="4">
        <v>2</v>
      </c>
      <c r="P38" s="4"/>
      <c r="Q38" s="4"/>
      <c r="R38" s="4"/>
      <c r="S38" s="4"/>
      <c r="T38" s="4"/>
      <c r="U38" s="4"/>
      <c r="V38" s="4"/>
      <c r="W38" s="4"/>
    </row>
    <row r="39" spans="1:245" x14ac:dyDescent="0.2">
      <c r="A39" s="4">
        <v>50</v>
      </c>
      <c r="B39" s="4">
        <v>0</v>
      </c>
      <c r="C39" s="4">
        <v>0</v>
      </c>
      <c r="D39" s="4">
        <v>1</v>
      </c>
      <c r="E39" s="4">
        <v>202</v>
      </c>
      <c r="F39" s="4">
        <f>ROUND(Source!P36,O39)</f>
        <v>8716380.8300000001</v>
      </c>
      <c r="G39" s="4" t="s">
        <v>53</v>
      </c>
      <c r="H39" s="4" t="s">
        <v>54</v>
      </c>
      <c r="I39" s="4"/>
      <c r="J39" s="4"/>
      <c r="K39" s="4">
        <v>202</v>
      </c>
      <c r="L39" s="4">
        <v>2</v>
      </c>
      <c r="M39" s="4">
        <v>3</v>
      </c>
      <c r="N39" s="4" t="s">
        <v>5</v>
      </c>
      <c r="O39" s="4">
        <v>2</v>
      </c>
      <c r="P39" s="4"/>
      <c r="Q39" s="4"/>
      <c r="R39" s="4"/>
      <c r="S39" s="4"/>
      <c r="T39" s="4"/>
      <c r="U39" s="4"/>
      <c r="V39" s="4"/>
      <c r="W39" s="4"/>
    </row>
    <row r="40" spans="1:245" x14ac:dyDescent="0.2">
      <c r="A40" s="4">
        <v>50</v>
      </c>
      <c r="B40" s="4">
        <v>0</v>
      </c>
      <c r="C40" s="4">
        <v>0</v>
      </c>
      <c r="D40" s="4">
        <v>1</v>
      </c>
      <c r="E40" s="4">
        <v>222</v>
      </c>
      <c r="F40" s="4">
        <f>ROUND(Source!AO36,O40)</f>
        <v>0</v>
      </c>
      <c r="G40" s="4" t="s">
        <v>55</v>
      </c>
      <c r="H40" s="4" t="s">
        <v>56</v>
      </c>
      <c r="I40" s="4"/>
      <c r="J40" s="4"/>
      <c r="K40" s="4">
        <v>222</v>
      </c>
      <c r="L40" s="4">
        <v>3</v>
      </c>
      <c r="M40" s="4">
        <v>3</v>
      </c>
      <c r="N40" s="4" t="s">
        <v>5</v>
      </c>
      <c r="O40" s="4">
        <v>2</v>
      </c>
      <c r="P40" s="4"/>
      <c r="Q40" s="4"/>
      <c r="R40" s="4"/>
      <c r="S40" s="4"/>
      <c r="T40" s="4"/>
      <c r="U40" s="4"/>
      <c r="V40" s="4"/>
      <c r="W40" s="4"/>
    </row>
    <row r="41" spans="1:245" x14ac:dyDescent="0.2">
      <c r="A41" s="4">
        <v>50</v>
      </c>
      <c r="B41" s="4">
        <v>0</v>
      </c>
      <c r="C41" s="4">
        <v>0</v>
      </c>
      <c r="D41" s="4">
        <v>1</v>
      </c>
      <c r="E41" s="4">
        <v>225</v>
      </c>
      <c r="F41" s="4">
        <f>ROUND(Source!AV36,O41)</f>
        <v>8716380.8300000001</v>
      </c>
      <c r="G41" s="4" t="s">
        <v>57</v>
      </c>
      <c r="H41" s="4" t="s">
        <v>58</v>
      </c>
      <c r="I41" s="4"/>
      <c r="J41" s="4"/>
      <c r="K41" s="4">
        <v>225</v>
      </c>
      <c r="L41" s="4">
        <v>4</v>
      </c>
      <c r="M41" s="4">
        <v>3</v>
      </c>
      <c r="N41" s="4" t="s">
        <v>5</v>
      </c>
      <c r="O41" s="4">
        <v>2</v>
      </c>
      <c r="P41" s="4"/>
      <c r="Q41" s="4"/>
      <c r="R41" s="4"/>
      <c r="S41" s="4"/>
      <c r="T41" s="4"/>
      <c r="U41" s="4"/>
      <c r="V41" s="4"/>
      <c r="W41" s="4"/>
    </row>
    <row r="42" spans="1:245" x14ac:dyDescent="0.2">
      <c r="A42" s="4">
        <v>50</v>
      </c>
      <c r="B42" s="4">
        <v>0</v>
      </c>
      <c r="C42" s="4">
        <v>0</v>
      </c>
      <c r="D42" s="4">
        <v>1</v>
      </c>
      <c r="E42" s="4">
        <v>226</v>
      </c>
      <c r="F42" s="4">
        <f>ROUND(Source!AW36,O42)</f>
        <v>8716380.8300000001</v>
      </c>
      <c r="G42" s="4" t="s">
        <v>59</v>
      </c>
      <c r="H42" s="4" t="s">
        <v>60</v>
      </c>
      <c r="I42" s="4"/>
      <c r="J42" s="4"/>
      <c r="K42" s="4">
        <v>226</v>
      </c>
      <c r="L42" s="4">
        <v>5</v>
      </c>
      <c r="M42" s="4">
        <v>3</v>
      </c>
      <c r="N42" s="4" t="s">
        <v>5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227</v>
      </c>
      <c r="F43" s="4">
        <f>ROUND(Source!AX36,O43)</f>
        <v>0</v>
      </c>
      <c r="G43" s="4" t="s">
        <v>61</v>
      </c>
      <c r="H43" s="4" t="s">
        <v>62</v>
      </c>
      <c r="I43" s="4"/>
      <c r="J43" s="4"/>
      <c r="K43" s="4">
        <v>227</v>
      </c>
      <c r="L43" s="4">
        <v>6</v>
      </c>
      <c r="M43" s="4">
        <v>3</v>
      </c>
      <c r="N43" s="4" t="s">
        <v>5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228</v>
      </c>
      <c r="F44" s="4">
        <f>ROUND(Source!AY36,O44)</f>
        <v>8716380.8300000001</v>
      </c>
      <c r="G44" s="4" t="s">
        <v>63</v>
      </c>
      <c r="H44" s="4" t="s">
        <v>64</v>
      </c>
      <c r="I44" s="4"/>
      <c r="J44" s="4"/>
      <c r="K44" s="4">
        <v>228</v>
      </c>
      <c r="L44" s="4">
        <v>7</v>
      </c>
      <c r="M44" s="4">
        <v>3</v>
      </c>
      <c r="N44" s="4" t="s">
        <v>5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216</v>
      </c>
      <c r="F45" s="4">
        <f>ROUND(Source!AP36,O45)</f>
        <v>0</v>
      </c>
      <c r="G45" s="4" t="s">
        <v>65</v>
      </c>
      <c r="H45" s="4" t="s">
        <v>66</v>
      </c>
      <c r="I45" s="4"/>
      <c r="J45" s="4"/>
      <c r="K45" s="4">
        <v>216</v>
      </c>
      <c r="L45" s="4">
        <v>8</v>
      </c>
      <c r="M45" s="4">
        <v>3</v>
      </c>
      <c r="N45" s="4" t="s">
        <v>5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223</v>
      </c>
      <c r="F46" s="4">
        <f>ROUND(Source!AQ36,O46)</f>
        <v>0</v>
      </c>
      <c r="G46" s="4" t="s">
        <v>67</v>
      </c>
      <c r="H46" s="4" t="s">
        <v>68</v>
      </c>
      <c r="I46" s="4"/>
      <c r="J46" s="4"/>
      <c r="K46" s="4">
        <v>223</v>
      </c>
      <c r="L46" s="4">
        <v>9</v>
      </c>
      <c r="M46" s="4">
        <v>3</v>
      </c>
      <c r="N46" s="4" t="s">
        <v>5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229</v>
      </c>
      <c r="F47" s="4">
        <f>ROUND(Source!AZ36,O47)</f>
        <v>0</v>
      </c>
      <c r="G47" s="4" t="s">
        <v>69</v>
      </c>
      <c r="H47" s="4" t="s">
        <v>70</v>
      </c>
      <c r="I47" s="4"/>
      <c r="J47" s="4"/>
      <c r="K47" s="4">
        <v>229</v>
      </c>
      <c r="L47" s="4">
        <v>10</v>
      </c>
      <c r="M47" s="4">
        <v>3</v>
      </c>
      <c r="N47" s="4" t="s">
        <v>5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203</v>
      </c>
      <c r="F48" s="4">
        <f>ROUND(Source!Q36,O48)</f>
        <v>5894437.5999999996</v>
      </c>
      <c r="G48" s="4" t="s">
        <v>71</v>
      </c>
      <c r="H48" s="4" t="s">
        <v>72</v>
      </c>
      <c r="I48" s="4"/>
      <c r="J48" s="4"/>
      <c r="K48" s="4">
        <v>203</v>
      </c>
      <c r="L48" s="4">
        <v>11</v>
      </c>
      <c r="M48" s="4">
        <v>3</v>
      </c>
      <c r="N48" s="4" t="s">
        <v>5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231</v>
      </c>
      <c r="F49" s="4">
        <f>ROUND(Source!BB36,O49)</f>
        <v>0</v>
      </c>
      <c r="G49" s="4" t="s">
        <v>73</v>
      </c>
      <c r="H49" s="4" t="s">
        <v>74</v>
      </c>
      <c r="I49" s="4"/>
      <c r="J49" s="4"/>
      <c r="K49" s="4">
        <v>231</v>
      </c>
      <c r="L49" s="4">
        <v>12</v>
      </c>
      <c r="M49" s="4">
        <v>3</v>
      </c>
      <c r="N49" s="4" t="s">
        <v>5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204</v>
      </c>
      <c r="F50" s="4">
        <f>ROUND(Source!R36,O50)</f>
        <v>1789369.36</v>
      </c>
      <c r="G50" s="4" t="s">
        <v>75</v>
      </c>
      <c r="H50" s="4" t="s">
        <v>76</v>
      </c>
      <c r="I50" s="4"/>
      <c r="J50" s="4"/>
      <c r="K50" s="4">
        <v>204</v>
      </c>
      <c r="L50" s="4">
        <v>13</v>
      </c>
      <c r="M50" s="4">
        <v>3</v>
      </c>
      <c r="N50" s="4" t="s">
        <v>5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205</v>
      </c>
      <c r="F51" s="4">
        <f>ROUND(Source!S36,O51)</f>
        <v>21876184.699999999</v>
      </c>
      <c r="G51" s="4" t="s">
        <v>77</v>
      </c>
      <c r="H51" s="4" t="s">
        <v>78</v>
      </c>
      <c r="I51" s="4"/>
      <c r="J51" s="4"/>
      <c r="K51" s="4">
        <v>205</v>
      </c>
      <c r="L51" s="4">
        <v>14</v>
      </c>
      <c r="M51" s="4">
        <v>3</v>
      </c>
      <c r="N51" s="4" t="s">
        <v>5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232</v>
      </c>
      <c r="F52" s="4">
        <f>ROUND(Source!BC36,O52)</f>
        <v>0</v>
      </c>
      <c r="G52" s="4" t="s">
        <v>79</v>
      </c>
      <c r="H52" s="4" t="s">
        <v>80</v>
      </c>
      <c r="I52" s="4"/>
      <c r="J52" s="4"/>
      <c r="K52" s="4">
        <v>232</v>
      </c>
      <c r="L52" s="4">
        <v>15</v>
      </c>
      <c r="M52" s="4">
        <v>3</v>
      </c>
      <c r="N52" s="4" t="s">
        <v>5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214</v>
      </c>
      <c r="F53" s="4">
        <f>ROUND(Source!AS36,O53)</f>
        <v>71888066.670000002</v>
      </c>
      <c r="G53" s="4" t="s">
        <v>81</v>
      </c>
      <c r="H53" s="4" t="s">
        <v>82</v>
      </c>
      <c r="I53" s="4"/>
      <c r="J53" s="4"/>
      <c r="K53" s="4">
        <v>214</v>
      </c>
      <c r="L53" s="4">
        <v>16</v>
      </c>
      <c r="M53" s="4">
        <v>3</v>
      </c>
      <c r="N53" s="4" t="s">
        <v>5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215</v>
      </c>
      <c r="F54" s="4">
        <f>ROUND(Source!AT36,O54)</f>
        <v>0</v>
      </c>
      <c r="G54" s="4" t="s">
        <v>83</v>
      </c>
      <c r="H54" s="4" t="s">
        <v>84</v>
      </c>
      <c r="I54" s="4"/>
      <c r="J54" s="4"/>
      <c r="K54" s="4">
        <v>215</v>
      </c>
      <c r="L54" s="4">
        <v>17</v>
      </c>
      <c r="M54" s="4">
        <v>3</v>
      </c>
      <c r="N54" s="4" t="s">
        <v>5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217</v>
      </c>
      <c r="F55" s="4">
        <f>ROUND(Source!AU36,O55)</f>
        <v>0</v>
      </c>
      <c r="G55" s="4" t="s">
        <v>85</v>
      </c>
      <c r="H55" s="4" t="s">
        <v>86</v>
      </c>
      <c r="I55" s="4"/>
      <c r="J55" s="4"/>
      <c r="K55" s="4">
        <v>217</v>
      </c>
      <c r="L55" s="4">
        <v>18</v>
      </c>
      <c r="M55" s="4">
        <v>3</v>
      </c>
      <c r="N55" s="4" t="s">
        <v>5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230</v>
      </c>
      <c r="F56" s="4">
        <f>ROUND(Source!BA36,O56)</f>
        <v>0</v>
      </c>
      <c r="G56" s="4" t="s">
        <v>87</v>
      </c>
      <c r="H56" s="4" t="s">
        <v>88</v>
      </c>
      <c r="I56" s="4"/>
      <c r="J56" s="4"/>
      <c r="K56" s="4">
        <v>230</v>
      </c>
      <c r="L56" s="4">
        <v>19</v>
      </c>
      <c r="M56" s="4">
        <v>3</v>
      </c>
      <c r="N56" s="4" t="s">
        <v>5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206</v>
      </c>
      <c r="F57" s="4">
        <f>ROUND(Source!T36,O57)</f>
        <v>0</v>
      </c>
      <c r="G57" s="4" t="s">
        <v>89</v>
      </c>
      <c r="H57" s="4" t="s">
        <v>90</v>
      </c>
      <c r="I57" s="4"/>
      <c r="J57" s="4"/>
      <c r="K57" s="4">
        <v>206</v>
      </c>
      <c r="L57" s="4">
        <v>20</v>
      </c>
      <c r="M57" s="4">
        <v>3</v>
      </c>
      <c r="N57" s="4" t="s">
        <v>5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207</v>
      </c>
      <c r="F58" s="4">
        <f>Source!U36</f>
        <v>79317.436499999996</v>
      </c>
      <c r="G58" s="4" t="s">
        <v>91</v>
      </c>
      <c r="H58" s="4" t="s">
        <v>92</v>
      </c>
      <c r="I58" s="4"/>
      <c r="J58" s="4"/>
      <c r="K58" s="4">
        <v>207</v>
      </c>
      <c r="L58" s="4">
        <v>21</v>
      </c>
      <c r="M58" s="4">
        <v>3</v>
      </c>
      <c r="N58" s="4" t="s">
        <v>5</v>
      </c>
      <c r="O58" s="4">
        <v>-1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208</v>
      </c>
      <c r="F59" s="4">
        <f>Source!V36</f>
        <v>0</v>
      </c>
      <c r="G59" s="4" t="s">
        <v>93</v>
      </c>
      <c r="H59" s="4" t="s">
        <v>94</v>
      </c>
      <c r="I59" s="4"/>
      <c r="J59" s="4"/>
      <c r="K59" s="4">
        <v>208</v>
      </c>
      <c r="L59" s="4">
        <v>22</v>
      </c>
      <c r="M59" s="4">
        <v>3</v>
      </c>
      <c r="N59" s="4" t="s">
        <v>5</v>
      </c>
      <c r="O59" s="4">
        <v>-1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209</v>
      </c>
      <c r="F60" s="4">
        <f>ROUND(Source!W36,O60)</f>
        <v>0</v>
      </c>
      <c r="G60" s="4" t="s">
        <v>95</v>
      </c>
      <c r="H60" s="4" t="s">
        <v>96</v>
      </c>
      <c r="I60" s="4"/>
      <c r="J60" s="4"/>
      <c r="K60" s="4">
        <v>209</v>
      </c>
      <c r="L60" s="4">
        <v>23</v>
      </c>
      <c r="M60" s="4">
        <v>3</v>
      </c>
      <c r="N60" s="4" t="s">
        <v>5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233</v>
      </c>
      <c r="F61" s="4">
        <f>ROUND(Source!BD36,O61)</f>
        <v>0</v>
      </c>
      <c r="G61" s="4" t="s">
        <v>97</v>
      </c>
      <c r="H61" s="4" t="s">
        <v>98</v>
      </c>
      <c r="I61" s="4"/>
      <c r="J61" s="4"/>
      <c r="K61" s="4">
        <v>233</v>
      </c>
      <c r="L61" s="4">
        <v>24</v>
      </c>
      <c r="M61" s="4">
        <v>3</v>
      </c>
      <c r="N61" s="4" t="s">
        <v>5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210</v>
      </c>
      <c r="F62" s="4">
        <f>ROUND(Source!X36,O62)</f>
        <v>22308334.719999999</v>
      </c>
      <c r="G62" s="4" t="s">
        <v>99</v>
      </c>
      <c r="H62" s="4" t="s">
        <v>100</v>
      </c>
      <c r="I62" s="4"/>
      <c r="J62" s="4"/>
      <c r="K62" s="4">
        <v>210</v>
      </c>
      <c r="L62" s="4">
        <v>25</v>
      </c>
      <c r="M62" s="4">
        <v>3</v>
      </c>
      <c r="N62" s="4" t="s">
        <v>5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211</v>
      </c>
      <c r="F63" s="4">
        <f>ROUND(Source!Y36,O63)</f>
        <v>10283418.92</v>
      </c>
      <c r="G63" s="4" t="s">
        <v>101</v>
      </c>
      <c r="H63" s="4" t="s">
        <v>102</v>
      </c>
      <c r="I63" s="4"/>
      <c r="J63" s="4"/>
      <c r="K63" s="4">
        <v>211</v>
      </c>
      <c r="L63" s="4">
        <v>26</v>
      </c>
      <c r="M63" s="4">
        <v>3</v>
      </c>
      <c r="N63" s="4" t="s">
        <v>5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224</v>
      </c>
      <c r="F64" s="4">
        <f>ROUND(Source!AR36,O64)</f>
        <v>71888066.670000002</v>
      </c>
      <c r="G64" s="4" t="s">
        <v>103</v>
      </c>
      <c r="H64" s="4" t="s">
        <v>104</v>
      </c>
      <c r="I64" s="4"/>
      <c r="J64" s="4"/>
      <c r="K64" s="4">
        <v>224</v>
      </c>
      <c r="L64" s="4">
        <v>27</v>
      </c>
      <c r="M64" s="4">
        <v>3</v>
      </c>
      <c r="N64" s="4" t="s">
        <v>5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6" spans="1:245" x14ac:dyDescent="0.2">
      <c r="A66" s="1">
        <v>4</v>
      </c>
      <c r="B66" s="1">
        <v>1</v>
      </c>
      <c r="C66" s="1"/>
      <c r="D66" s="1">
        <f>ROW(A74)</f>
        <v>74</v>
      </c>
      <c r="E66" s="1"/>
      <c r="F66" s="1" t="s">
        <v>14</v>
      </c>
      <c r="G66" s="1" t="s">
        <v>105</v>
      </c>
      <c r="H66" s="1" t="s">
        <v>5</v>
      </c>
      <c r="I66" s="1">
        <v>0</v>
      </c>
      <c r="J66" s="1"/>
      <c r="K66" s="1">
        <v>0</v>
      </c>
      <c r="L66" s="1"/>
      <c r="M66" s="1" t="s">
        <v>5</v>
      </c>
      <c r="N66" s="1"/>
      <c r="O66" s="1"/>
      <c r="P66" s="1"/>
      <c r="Q66" s="1"/>
      <c r="R66" s="1"/>
      <c r="S66" s="1">
        <v>0</v>
      </c>
      <c r="T66" s="1"/>
      <c r="U66" s="1" t="s">
        <v>5</v>
      </c>
      <c r="V66" s="1">
        <v>0</v>
      </c>
      <c r="W66" s="1"/>
      <c r="X66" s="1"/>
      <c r="Y66" s="1"/>
      <c r="Z66" s="1"/>
      <c r="AA66" s="1"/>
      <c r="AB66" s="1" t="s">
        <v>5</v>
      </c>
      <c r="AC66" s="1" t="s">
        <v>5</v>
      </c>
      <c r="AD66" s="1" t="s">
        <v>5</v>
      </c>
      <c r="AE66" s="1" t="s">
        <v>5</v>
      </c>
      <c r="AF66" s="1" t="s">
        <v>5</v>
      </c>
      <c r="AG66" s="1" t="s">
        <v>5</v>
      </c>
      <c r="AH66" s="1"/>
      <c r="AI66" s="1"/>
      <c r="AJ66" s="1"/>
      <c r="AK66" s="1"/>
      <c r="AL66" s="1"/>
      <c r="AM66" s="1"/>
      <c r="AN66" s="1"/>
      <c r="AO66" s="1"/>
      <c r="AP66" s="1" t="s">
        <v>5</v>
      </c>
      <c r="AQ66" s="1" t="s">
        <v>5</v>
      </c>
      <c r="AR66" s="1" t="s">
        <v>5</v>
      </c>
      <c r="AS66" s="1"/>
      <c r="AT66" s="1"/>
      <c r="AU66" s="1"/>
      <c r="AV66" s="1"/>
      <c r="AW66" s="1"/>
      <c r="AX66" s="1"/>
      <c r="AY66" s="1"/>
      <c r="AZ66" s="1" t="s">
        <v>5</v>
      </c>
      <c r="BA66" s="1"/>
      <c r="BB66" s="1" t="s">
        <v>5</v>
      </c>
      <c r="BC66" s="1" t="s">
        <v>5</v>
      </c>
      <c r="BD66" s="1" t="s">
        <v>5</v>
      </c>
      <c r="BE66" s="1" t="s">
        <v>5</v>
      </c>
      <c r="BF66" s="1" t="s">
        <v>5</v>
      </c>
      <c r="BG66" s="1" t="s">
        <v>5</v>
      </c>
      <c r="BH66" s="1" t="s">
        <v>5</v>
      </c>
      <c r="BI66" s="1" t="s">
        <v>5</v>
      </c>
      <c r="BJ66" s="1" t="s">
        <v>5</v>
      </c>
      <c r="BK66" s="1" t="s">
        <v>5</v>
      </c>
      <c r="BL66" s="1" t="s">
        <v>5</v>
      </c>
      <c r="BM66" s="1" t="s">
        <v>5</v>
      </c>
      <c r="BN66" s="1" t="s">
        <v>5</v>
      </c>
      <c r="BO66" s="1" t="s">
        <v>5</v>
      </c>
      <c r="BP66" s="1" t="s">
        <v>5</v>
      </c>
      <c r="BQ66" s="1"/>
      <c r="BR66" s="1"/>
      <c r="BS66" s="1"/>
      <c r="BT66" s="1"/>
      <c r="BU66" s="1"/>
      <c r="BV66" s="1"/>
      <c r="BW66" s="1"/>
      <c r="BX66" s="1">
        <v>0</v>
      </c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>
        <v>0</v>
      </c>
    </row>
    <row r="68" spans="1:245" x14ac:dyDescent="0.2">
      <c r="A68" s="2">
        <v>52</v>
      </c>
      <c r="B68" s="2">
        <f t="shared" ref="B68:G68" si="59">B74</f>
        <v>1</v>
      </c>
      <c r="C68" s="2">
        <f t="shared" si="59"/>
        <v>4</v>
      </c>
      <c r="D68" s="2">
        <f t="shared" si="59"/>
        <v>66</v>
      </c>
      <c r="E68" s="2">
        <f t="shared" si="59"/>
        <v>0</v>
      </c>
      <c r="F68" s="2" t="str">
        <f t="shared" si="59"/>
        <v>Новый раздел</v>
      </c>
      <c r="G68" s="2" t="str">
        <f t="shared" si="59"/>
        <v>Восстановление отпада деревьев с комом земли 1,5х1,5х0,65 м - 229 шт.</v>
      </c>
      <c r="H68" s="2"/>
      <c r="I68" s="2"/>
      <c r="J68" s="2"/>
      <c r="K68" s="2"/>
      <c r="L68" s="2"/>
      <c r="M68" s="2"/>
      <c r="N68" s="2"/>
      <c r="O68" s="2">
        <f t="shared" ref="O68:AT68" si="60">O74</f>
        <v>965081.61</v>
      </c>
      <c r="P68" s="2">
        <f t="shared" si="60"/>
        <v>13909.36</v>
      </c>
      <c r="Q68" s="2">
        <f t="shared" si="60"/>
        <v>231732.04</v>
      </c>
      <c r="R68" s="2">
        <f t="shared" si="60"/>
        <v>63747.93</v>
      </c>
      <c r="S68" s="2">
        <f t="shared" si="60"/>
        <v>719440.21</v>
      </c>
      <c r="T68" s="2">
        <f t="shared" si="60"/>
        <v>0</v>
      </c>
      <c r="U68" s="2">
        <f t="shared" si="60"/>
        <v>2485.16525</v>
      </c>
      <c r="V68" s="2">
        <f t="shared" si="60"/>
        <v>0</v>
      </c>
      <c r="W68" s="2">
        <f t="shared" si="60"/>
        <v>0</v>
      </c>
      <c r="X68" s="2">
        <f t="shared" si="60"/>
        <v>733829.02</v>
      </c>
      <c r="Y68" s="2">
        <f t="shared" si="60"/>
        <v>338136.9</v>
      </c>
      <c r="Z68" s="2">
        <f t="shared" si="60"/>
        <v>0</v>
      </c>
      <c r="AA68" s="2">
        <f t="shared" si="60"/>
        <v>0</v>
      </c>
      <c r="AB68" s="2">
        <f t="shared" si="60"/>
        <v>965081.61</v>
      </c>
      <c r="AC68" s="2">
        <f t="shared" si="60"/>
        <v>13909.36</v>
      </c>
      <c r="AD68" s="2">
        <f t="shared" si="60"/>
        <v>231732.04</v>
      </c>
      <c r="AE68" s="2">
        <f t="shared" si="60"/>
        <v>63747.93</v>
      </c>
      <c r="AF68" s="2">
        <f t="shared" si="60"/>
        <v>719440.21</v>
      </c>
      <c r="AG68" s="2">
        <f t="shared" si="60"/>
        <v>0</v>
      </c>
      <c r="AH68" s="2">
        <f t="shared" si="60"/>
        <v>2485.16525</v>
      </c>
      <c r="AI68" s="2">
        <f t="shared" si="60"/>
        <v>0</v>
      </c>
      <c r="AJ68" s="2">
        <f t="shared" si="60"/>
        <v>0</v>
      </c>
      <c r="AK68" s="2">
        <f t="shared" si="60"/>
        <v>733829.02</v>
      </c>
      <c r="AL68" s="2">
        <f t="shared" si="60"/>
        <v>338136.9</v>
      </c>
      <c r="AM68" s="2">
        <f t="shared" si="60"/>
        <v>0</v>
      </c>
      <c r="AN68" s="2">
        <f t="shared" si="60"/>
        <v>0</v>
      </c>
      <c r="AO68" s="2">
        <f t="shared" si="60"/>
        <v>0</v>
      </c>
      <c r="AP68" s="2">
        <f t="shared" si="60"/>
        <v>0</v>
      </c>
      <c r="AQ68" s="2">
        <f t="shared" si="60"/>
        <v>0</v>
      </c>
      <c r="AR68" s="2">
        <f t="shared" si="60"/>
        <v>2137131.7799999998</v>
      </c>
      <c r="AS68" s="2">
        <f t="shared" si="60"/>
        <v>2137131.7799999998</v>
      </c>
      <c r="AT68" s="2">
        <f t="shared" si="60"/>
        <v>0</v>
      </c>
      <c r="AU68" s="2">
        <f t="shared" ref="AU68:BZ68" si="61">AU74</f>
        <v>0</v>
      </c>
      <c r="AV68" s="2">
        <f t="shared" si="61"/>
        <v>13909.36</v>
      </c>
      <c r="AW68" s="2">
        <f t="shared" si="61"/>
        <v>13909.36</v>
      </c>
      <c r="AX68" s="2">
        <f t="shared" si="61"/>
        <v>0</v>
      </c>
      <c r="AY68" s="2">
        <f t="shared" si="61"/>
        <v>13909.36</v>
      </c>
      <c r="AZ68" s="2">
        <f t="shared" si="61"/>
        <v>0</v>
      </c>
      <c r="BA68" s="2">
        <f t="shared" si="61"/>
        <v>0</v>
      </c>
      <c r="BB68" s="2">
        <f t="shared" si="61"/>
        <v>0</v>
      </c>
      <c r="BC68" s="2">
        <f t="shared" si="61"/>
        <v>0</v>
      </c>
      <c r="BD68" s="2">
        <f t="shared" si="61"/>
        <v>0</v>
      </c>
      <c r="BE68" s="2">
        <f t="shared" si="61"/>
        <v>0</v>
      </c>
      <c r="BF68" s="2">
        <f t="shared" si="61"/>
        <v>0</v>
      </c>
      <c r="BG68" s="2">
        <f t="shared" si="61"/>
        <v>0</v>
      </c>
      <c r="BH68" s="2">
        <f t="shared" si="61"/>
        <v>0</v>
      </c>
      <c r="BI68" s="2">
        <f t="shared" si="61"/>
        <v>0</v>
      </c>
      <c r="BJ68" s="2">
        <f t="shared" si="61"/>
        <v>0</v>
      </c>
      <c r="BK68" s="2">
        <f t="shared" si="61"/>
        <v>0</v>
      </c>
      <c r="BL68" s="2">
        <f t="shared" si="61"/>
        <v>0</v>
      </c>
      <c r="BM68" s="2">
        <f t="shared" si="61"/>
        <v>0</v>
      </c>
      <c r="BN68" s="2">
        <f t="shared" si="61"/>
        <v>0</v>
      </c>
      <c r="BO68" s="2">
        <f t="shared" si="61"/>
        <v>0</v>
      </c>
      <c r="BP68" s="2">
        <f t="shared" si="61"/>
        <v>0</v>
      </c>
      <c r="BQ68" s="2">
        <f t="shared" si="61"/>
        <v>0</v>
      </c>
      <c r="BR68" s="2">
        <f t="shared" si="61"/>
        <v>0</v>
      </c>
      <c r="BS68" s="2">
        <f t="shared" si="61"/>
        <v>0</v>
      </c>
      <c r="BT68" s="2">
        <f t="shared" si="61"/>
        <v>0</v>
      </c>
      <c r="BU68" s="2">
        <f t="shared" si="61"/>
        <v>0</v>
      </c>
      <c r="BV68" s="2">
        <f t="shared" si="61"/>
        <v>0</v>
      </c>
      <c r="BW68" s="2">
        <f t="shared" si="61"/>
        <v>0</v>
      </c>
      <c r="BX68" s="2">
        <f t="shared" si="61"/>
        <v>0</v>
      </c>
      <c r="BY68" s="2">
        <f t="shared" si="61"/>
        <v>0</v>
      </c>
      <c r="BZ68" s="2">
        <f t="shared" si="61"/>
        <v>0</v>
      </c>
      <c r="CA68" s="2">
        <f t="shared" ref="CA68:DF68" si="62">CA74</f>
        <v>2137131.7799999998</v>
      </c>
      <c r="CB68" s="2">
        <f t="shared" si="62"/>
        <v>2137131.7799999998</v>
      </c>
      <c r="CC68" s="2">
        <f t="shared" si="62"/>
        <v>0</v>
      </c>
      <c r="CD68" s="2">
        <f t="shared" si="62"/>
        <v>0</v>
      </c>
      <c r="CE68" s="2">
        <f t="shared" si="62"/>
        <v>13909.36</v>
      </c>
      <c r="CF68" s="2">
        <f t="shared" si="62"/>
        <v>13909.36</v>
      </c>
      <c r="CG68" s="2">
        <f t="shared" si="62"/>
        <v>0</v>
      </c>
      <c r="CH68" s="2">
        <f t="shared" si="62"/>
        <v>13909.36</v>
      </c>
      <c r="CI68" s="2">
        <f t="shared" si="62"/>
        <v>0</v>
      </c>
      <c r="CJ68" s="2">
        <f t="shared" si="62"/>
        <v>0</v>
      </c>
      <c r="CK68" s="2">
        <f t="shared" si="62"/>
        <v>0</v>
      </c>
      <c r="CL68" s="2">
        <f t="shared" si="62"/>
        <v>0</v>
      </c>
      <c r="CM68" s="2">
        <f t="shared" si="62"/>
        <v>0</v>
      </c>
      <c r="CN68" s="2">
        <f t="shared" si="62"/>
        <v>0</v>
      </c>
      <c r="CO68" s="2">
        <f t="shared" si="62"/>
        <v>0</v>
      </c>
      <c r="CP68" s="2">
        <f t="shared" si="62"/>
        <v>0</v>
      </c>
      <c r="CQ68" s="2">
        <f t="shared" si="62"/>
        <v>0</v>
      </c>
      <c r="CR68" s="2">
        <f t="shared" si="62"/>
        <v>0</v>
      </c>
      <c r="CS68" s="2">
        <f t="shared" si="62"/>
        <v>0</v>
      </c>
      <c r="CT68" s="2">
        <f t="shared" si="62"/>
        <v>0</v>
      </c>
      <c r="CU68" s="2">
        <f t="shared" si="62"/>
        <v>0</v>
      </c>
      <c r="CV68" s="2">
        <f t="shared" si="62"/>
        <v>0</v>
      </c>
      <c r="CW68" s="2">
        <f t="shared" si="62"/>
        <v>0</v>
      </c>
      <c r="CX68" s="2">
        <f t="shared" si="62"/>
        <v>0</v>
      </c>
      <c r="CY68" s="2">
        <f t="shared" si="62"/>
        <v>0</v>
      </c>
      <c r="CZ68" s="2">
        <f t="shared" si="62"/>
        <v>0</v>
      </c>
      <c r="DA68" s="2">
        <f t="shared" si="62"/>
        <v>0</v>
      </c>
      <c r="DB68" s="2">
        <f t="shared" si="62"/>
        <v>0</v>
      </c>
      <c r="DC68" s="2">
        <f t="shared" si="62"/>
        <v>0</v>
      </c>
      <c r="DD68" s="2">
        <f t="shared" si="62"/>
        <v>0</v>
      </c>
      <c r="DE68" s="2">
        <f t="shared" si="62"/>
        <v>0</v>
      </c>
      <c r="DF68" s="2">
        <f t="shared" si="62"/>
        <v>0</v>
      </c>
      <c r="DG68" s="3">
        <f t="shared" ref="DG68:EL68" si="63">DG74</f>
        <v>0</v>
      </c>
      <c r="DH68" s="3">
        <f t="shared" si="63"/>
        <v>0</v>
      </c>
      <c r="DI68" s="3">
        <f t="shared" si="63"/>
        <v>0</v>
      </c>
      <c r="DJ68" s="3">
        <f t="shared" si="63"/>
        <v>0</v>
      </c>
      <c r="DK68" s="3">
        <f t="shared" si="63"/>
        <v>0</v>
      </c>
      <c r="DL68" s="3">
        <f t="shared" si="63"/>
        <v>0</v>
      </c>
      <c r="DM68" s="3">
        <f t="shared" si="63"/>
        <v>0</v>
      </c>
      <c r="DN68" s="3">
        <f t="shared" si="63"/>
        <v>0</v>
      </c>
      <c r="DO68" s="3">
        <f t="shared" si="63"/>
        <v>0</v>
      </c>
      <c r="DP68" s="3">
        <f t="shared" si="63"/>
        <v>0</v>
      </c>
      <c r="DQ68" s="3">
        <f t="shared" si="63"/>
        <v>0</v>
      </c>
      <c r="DR68" s="3">
        <f t="shared" si="63"/>
        <v>0</v>
      </c>
      <c r="DS68" s="3">
        <f t="shared" si="63"/>
        <v>0</v>
      </c>
      <c r="DT68" s="3">
        <f t="shared" si="63"/>
        <v>0</v>
      </c>
      <c r="DU68" s="3">
        <f t="shared" si="63"/>
        <v>0</v>
      </c>
      <c r="DV68" s="3">
        <f t="shared" si="63"/>
        <v>0</v>
      </c>
      <c r="DW68" s="3">
        <f t="shared" si="63"/>
        <v>0</v>
      </c>
      <c r="DX68" s="3">
        <f t="shared" si="63"/>
        <v>0</v>
      </c>
      <c r="DY68" s="3">
        <f t="shared" si="63"/>
        <v>0</v>
      </c>
      <c r="DZ68" s="3">
        <f t="shared" si="63"/>
        <v>0</v>
      </c>
      <c r="EA68" s="3">
        <f t="shared" si="63"/>
        <v>0</v>
      </c>
      <c r="EB68" s="3">
        <f t="shared" si="63"/>
        <v>0</v>
      </c>
      <c r="EC68" s="3">
        <f t="shared" si="63"/>
        <v>0</v>
      </c>
      <c r="ED68" s="3">
        <f t="shared" si="63"/>
        <v>0</v>
      </c>
      <c r="EE68" s="3">
        <f t="shared" si="63"/>
        <v>0</v>
      </c>
      <c r="EF68" s="3">
        <f t="shared" si="63"/>
        <v>0</v>
      </c>
      <c r="EG68" s="3">
        <f t="shared" si="63"/>
        <v>0</v>
      </c>
      <c r="EH68" s="3">
        <f t="shared" si="63"/>
        <v>0</v>
      </c>
      <c r="EI68" s="3">
        <f t="shared" si="63"/>
        <v>0</v>
      </c>
      <c r="EJ68" s="3">
        <f t="shared" si="63"/>
        <v>0</v>
      </c>
      <c r="EK68" s="3">
        <f t="shared" si="63"/>
        <v>0</v>
      </c>
      <c r="EL68" s="3">
        <f t="shared" si="63"/>
        <v>0</v>
      </c>
      <c r="EM68" s="3">
        <f t="shared" ref="EM68:FR68" si="64">EM74</f>
        <v>0</v>
      </c>
      <c r="EN68" s="3">
        <f t="shared" si="64"/>
        <v>0</v>
      </c>
      <c r="EO68" s="3">
        <f t="shared" si="64"/>
        <v>0</v>
      </c>
      <c r="EP68" s="3">
        <f t="shared" si="64"/>
        <v>0</v>
      </c>
      <c r="EQ68" s="3">
        <f t="shared" si="64"/>
        <v>0</v>
      </c>
      <c r="ER68" s="3">
        <f t="shared" si="64"/>
        <v>0</v>
      </c>
      <c r="ES68" s="3">
        <f t="shared" si="64"/>
        <v>0</v>
      </c>
      <c r="ET68" s="3">
        <f t="shared" si="64"/>
        <v>0</v>
      </c>
      <c r="EU68" s="3">
        <f t="shared" si="64"/>
        <v>0</v>
      </c>
      <c r="EV68" s="3">
        <f t="shared" si="64"/>
        <v>0</v>
      </c>
      <c r="EW68" s="3">
        <f t="shared" si="64"/>
        <v>0</v>
      </c>
      <c r="EX68" s="3">
        <f t="shared" si="64"/>
        <v>0</v>
      </c>
      <c r="EY68" s="3">
        <f t="shared" si="64"/>
        <v>0</v>
      </c>
      <c r="EZ68" s="3">
        <f t="shared" si="64"/>
        <v>0</v>
      </c>
      <c r="FA68" s="3">
        <f t="shared" si="64"/>
        <v>0</v>
      </c>
      <c r="FB68" s="3">
        <f t="shared" si="64"/>
        <v>0</v>
      </c>
      <c r="FC68" s="3">
        <f t="shared" si="64"/>
        <v>0</v>
      </c>
      <c r="FD68" s="3">
        <f t="shared" si="64"/>
        <v>0</v>
      </c>
      <c r="FE68" s="3">
        <f t="shared" si="64"/>
        <v>0</v>
      </c>
      <c r="FF68" s="3">
        <f t="shared" si="64"/>
        <v>0</v>
      </c>
      <c r="FG68" s="3">
        <f t="shared" si="64"/>
        <v>0</v>
      </c>
      <c r="FH68" s="3">
        <f t="shared" si="64"/>
        <v>0</v>
      </c>
      <c r="FI68" s="3">
        <f t="shared" si="64"/>
        <v>0</v>
      </c>
      <c r="FJ68" s="3">
        <f t="shared" si="64"/>
        <v>0</v>
      </c>
      <c r="FK68" s="3">
        <f t="shared" si="64"/>
        <v>0</v>
      </c>
      <c r="FL68" s="3">
        <f t="shared" si="64"/>
        <v>0</v>
      </c>
      <c r="FM68" s="3">
        <f t="shared" si="64"/>
        <v>0</v>
      </c>
      <c r="FN68" s="3">
        <f t="shared" si="64"/>
        <v>0</v>
      </c>
      <c r="FO68" s="3">
        <f t="shared" si="64"/>
        <v>0</v>
      </c>
      <c r="FP68" s="3">
        <f t="shared" si="64"/>
        <v>0</v>
      </c>
      <c r="FQ68" s="3">
        <f t="shared" si="64"/>
        <v>0</v>
      </c>
      <c r="FR68" s="3">
        <f t="shared" si="64"/>
        <v>0</v>
      </c>
      <c r="FS68" s="3">
        <f t="shared" ref="FS68:GX68" si="65">FS74</f>
        <v>0</v>
      </c>
      <c r="FT68" s="3">
        <f t="shared" si="65"/>
        <v>0</v>
      </c>
      <c r="FU68" s="3">
        <f t="shared" si="65"/>
        <v>0</v>
      </c>
      <c r="FV68" s="3">
        <f t="shared" si="65"/>
        <v>0</v>
      </c>
      <c r="FW68" s="3">
        <f t="shared" si="65"/>
        <v>0</v>
      </c>
      <c r="FX68" s="3">
        <f t="shared" si="65"/>
        <v>0</v>
      </c>
      <c r="FY68" s="3">
        <f t="shared" si="65"/>
        <v>0</v>
      </c>
      <c r="FZ68" s="3">
        <f t="shared" si="65"/>
        <v>0</v>
      </c>
      <c r="GA68" s="3">
        <f t="shared" si="65"/>
        <v>0</v>
      </c>
      <c r="GB68" s="3">
        <f t="shared" si="65"/>
        <v>0</v>
      </c>
      <c r="GC68" s="3">
        <f t="shared" si="65"/>
        <v>0</v>
      </c>
      <c r="GD68" s="3">
        <f t="shared" si="65"/>
        <v>0</v>
      </c>
      <c r="GE68" s="3">
        <f t="shared" si="65"/>
        <v>0</v>
      </c>
      <c r="GF68" s="3">
        <f t="shared" si="65"/>
        <v>0</v>
      </c>
      <c r="GG68" s="3">
        <f t="shared" si="65"/>
        <v>0</v>
      </c>
      <c r="GH68" s="3">
        <f t="shared" si="65"/>
        <v>0</v>
      </c>
      <c r="GI68" s="3">
        <f t="shared" si="65"/>
        <v>0</v>
      </c>
      <c r="GJ68" s="3">
        <f t="shared" si="65"/>
        <v>0</v>
      </c>
      <c r="GK68" s="3">
        <f t="shared" si="65"/>
        <v>0</v>
      </c>
      <c r="GL68" s="3">
        <f t="shared" si="65"/>
        <v>0</v>
      </c>
      <c r="GM68" s="3">
        <f t="shared" si="65"/>
        <v>0</v>
      </c>
      <c r="GN68" s="3">
        <f t="shared" si="65"/>
        <v>0</v>
      </c>
      <c r="GO68" s="3">
        <f t="shared" si="65"/>
        <v>0</v>
      </c>
      <c r="GP68" s="3">
        <f t="shared" si="65"/>
        <v>0</v>
      </c>
      <c r="GQ68" s="3">
        <f t="shared" si="65"/>
        <v>0</v>
      </c>
      <c r="GR68" s="3">
        <f t="shared" si="65"/>
        <v>0</v>
      </c>
      <c r="GS68" s="3">
        <f t="shared" si="65"/>
        <v>0</v>
      </c>
      <c r="GT68" s="3">
        <f t="shared" si="65"/>
        <v>0</v>
      </c>
      <c r="GU68" s="3">
        <f t="shared" si="65"/>
        <v>0</v>
      </c>
      <c r="GV68" s="3">
        <f t="shared" si="65"/>
        <v>0</v>
      </c>
      <c r="GW68" s="3">
        <f t="shared" si="65"/>
        <v>0</v>
      </c>
      <c r="GX68" s="3">
        <f t="shared" si="65"/>
        <v>0</v>
      </c>
    </row>
    <row r="70" spans="1:245" x14ac:dyDescent="0.2">
      <c r="A70">
        <v>17</v>
      </c>
      <c r="B70">
        <v>1</v>
      </c>
      <c r="C70">
        <f>ROW(SmtRes!A18)</f>
        <v>18</v>
      </c>
      <c r="D70">
        <f>ROW(EtalonRes!A19)</f>
        <v>19</v>
      </c>
      <c r="E70" t="s">
        <v>106</v>
      </c>
      <c r="F70" t="s">
        <v>107</v>
      </c>
      <c r="G70" t="s">
        <v>108</v>
      </c>
      <c r="H70" t="s">
        <v>19</v>
      </c>
      <c r="I70">
        <f>ROUND((229*0.75)/10,9)</f>
        <v>17.175000000000001</v>
      </c>
      <c r="J70">
        <v>0</v>
      </c>
      <c r="O70">
        <f>ROUND(CP70,2)</f>
        <v>142269.1</v>
      </c>
      <c r="P70">
        <f>ROUND((ROUND((AC70*AW70*I70),2)*BC70),2)</f>
        <v>0</v>
      </c>
      <c r="Q70">
        <f>(ROUND((ROUND(((ET70)*AV70*I70),2)*BB70),2)+ROUND((ROUND(((AE70-(EU70))*AV70*I70),2)*BS70),2))</f>
        <v>29683.35</v>
      </c>
      <c r="R70">
        <f>ROUND((ROUND((AE70*AV70*I70),2)*BS70),2)</f>
        <v>18146.89</v>
      </c>
      <c r="S70">
        <f>ROUND((ROUND((AF70*AV70*I70),2)*BA70),2)</f>
        <v>112585.75</v>
      </c>
      <c r="T70">
        <f>ROUND(CU70*I70,2)</f>
        <v>0</v>
      </c>
      <c r="U70">
        <f>CV70*I70</f>
        <v>451.35900000000004</v>
      </c>
      <c r="V70">
        <f>CW70*I70</f>
        <v>0</v>
      </c>
      <c r="W70">
        <f>ROUND(CX70*I70,2)</f>
        <v>0</v>
      </c>
      <c r="X70">
        <f t="shared" ref="X70:Y72" si="66">ROUND(CY70,2)</f>
        <v>114837.47</v>
      </c>
      <c r="Y70">
        <f t="shared" si="66"/>
        <v>52915.3</v>
      </c>
      <c r="AA70">
        <v>49688178</v>
      </c>
      <c r="AB70">
        <f>ROUND((AC70+AD70+AF70),6)</f>
        <v>427.31</v>
      </c>
      <c r="AC70">
        <f>ROUND((ES70),6)</f>
        <v>0</v>
      </c>
      <c r="AD70">
        <f>ROUND((((ET70)-(EU70))+AE70),6)</f>
        <v>163.19999999999999</v>
      </c>
      <c r="AE70">
        <f t="shared" ref="AE70:AF72" si="67">ROUND((EU70),6)</f>
        <v>42.57</v>
      </c>
      <c r="AF70">
        <f t="shared" si="67"/>
        <v>264.11</v>
      </c>
      <c r="AG70">
        <f>ROUND((AP70),6)</f>
        <v>0</v>
      </c>
      <c r="AH70">
        <f t="shared" ref="AH70:AI72" si="68">(EW70)</f>
        <v>26.28</v>
      </c>
      <c r="AI70">
        <f t="shared" si="68"/>
        <v>0</v>
      </c>
      <c r="AJ70">
        <f>(AS70)</f>
        <v>0</v>
      </c>
      <c r="AK70">
        <v>427.31</v>
      </c>
      <c r="AL70">
        <v>0</v>
      </c>
      <c r="AM70">
        <v>163.19999999999999</v>
      </c>
      <c r="AN70">
        <v>42.57</v>
      </c>
      <c r="AO70">
        <v>264.11</v>
      </c>
      <c r="AP70">
        <v>0</v>
      </c>
      <c r="AQ70">
        <v>26.28</v>
      </c>
      <c r="AR70">
        <v>0</v>
      </c>
      <c r="AS70">
        <v>0</v>
      </c>
      <c r="AT70">
        <v>102</v>
      </c>
      <c r="AU70">
        <v>47</v>
      </c>
      <c r="AV70">
        <v>1</v>
      </c>
      <c r="AW70">
        <v>1</v>
      </c>
      <c r="AZ70">
        <v>1</v>
      </c>
      <c r="BA70">
        <v>24.82</v>
      </c>
      <c r="BB70">
        <v>10.59</v>
      </c>
      <c r="BC70">
        <v>1</v>
      </c>
      <c r="BD70" t="s">
        <v>5</v>
      </c>
      <c r="BE70" t="s">
        <v>5</v>
      </c>
      <c r="BF70" t="s">
        <v>5</v>
      </c>
      <c r="BG70" t="s">
        <v>5</v>
      </c>
      <c r="BH70">
        <v>0</v>
      </c>
      <c r="BI70">
        <v>1</v>
      </c>
      <c r="BJ70" t="s">
        <v>109</v>
      </c>
      <c r="BM70">
        <v>292</v>
      </c>
      <c r="BN70">
        <v>0</v>
      </c>
      <c r="BO70" t="s">
        <v>107</v>
      </c>
      <c r="BP70">
        <v>1</v>
      </c>
      <c r="BQ70">
        <v>30</v>
      </c>
      <c r="BR70">
        <v>0</v>
      </c>
      <c r="BS70">
        <v>24.82</v>
      </c>
      <c r="BT70">
        <v>1</v>
      </c>
      <c r="BU70">
        <v>1</v>
      </c>
      <c r="BV70">
        <v>1</v>
      </c>
      <c r="BW70">
        <v>1</v>
      </c>
      <c r="BX70">
        <v>1</v>
      </c>
      <c r="BY70" t="s">
        <v>5</v>
      </c>
      <c r="BZ70">
        <v>102</v>
      </c>
      <c r="CA70">
        <v>47</v>
      </c>
      <c r="CE70">
        <v>30</v>
      </c>
      <c r="CF70">
        <v>0</v>
      </c>
      <c r="CG70">
        <v>0</v>
      </c>
      <c r="CM70">
        <v>0</v>
      </c>
      <c r="CN70" t="s">
        <v>5</v>
      </c>
      <c r="CO70">
        <v>0</v>
      </c>
      <c r="CP70">
        <f>(P70+Q70+S70)</f>
        <v>142269.1</v>
      </c>
      <c r="CQ70">
        <f>ROUND((ROUND((AC70*AW70*1),2)*BC70),2)</f>
        <v>0</v>
      </c>
      <c r="CR70">
        <f>(ROUND((ROUND(((ET70)*AV70*1),2)*BB70),2)+ROUND((ROUND(((AE70-(EU70))*AV70*1),2)*BS70),2))</f>
        <v>1728.29</v>
      </c>
      <c r="CS70">
        <f>ROUND((ROUND((AE70*AV70*1),2)*BS70),2)</f>
        <v>1056.5899999999999</v>
      </c>
      <c r="CT70">
        <f>ROUND((ROUND((AF70*AV70*1),2)*BA70),2)</f>
        <v>6555.21</v>
      </c>
      <c r="CU70">
        <f>AG70</f>
        <v>0</v>
      </c>
      <c r="CV70">
        <f>(AH70*AV70)</f>
        <v>26.28</v>
      </c>
      <c r="CW70">
        <f t="shared" ref="CW70:CX72" si="69">AI70</f>
        <v>0</v>
      </c>
      <c r="CX70">
        <f t="shared" si="69"/>
        <v>0</v>
      </c>
      <c r="CY70">
        <f>S70*(BZ70/100)</f>
        <v>114837.465</v>
      </c>
      <c r="CZ70">
        <f>S70*(CA70/100)</f>
        <v>52915.302499999998</v>
      </c>
      <c r="DC70" t="s">
        <v>5</v>
      </c>
      <c r="DD70" t="s">
        <v>5</v>
      </c>
      <c r="DE70" t="s">
        <v>5</v>
      </c>
      <c r="DF70" t="s">
        <v>5</v>
      </c>
      <c r="DG70" t="s">
        <v>5</v>
      </c>
      <c r="DH70" t="s">
        <v>5</v>
      </c>
      <c r="DI70" t="s">
        <v>5</v>
      </c>
      <c r="DJ70" t="s">
        <v>5</v>
      </c>
      <c r="DK70" t="s">
        <v>5</v>
      </c>
      <c r="DL70" t="s">
        <v>5</v>
      </c>
      <c r="DM70" t="s">
        <v>5</v>
      </c>
      <c r="DN70">
        <v>187</v>
      </c>
      <c r="DO70">
        <v>101</v>
      </c>
      <c r="DP70">
        <v>1</v>
      </c>
      <c r="DQ70">
        <v>1</v>
      </c>
      <c r="DU70">
        <v>1013</v>
      </c>
      <c r="DV70" t="s">
        <v>19</v>
      </c>
      <c r="DW70" t="s">
        <v>19</v>
      </c>
      <c r="DX70">
        <v>1</v>
      </c>
      <c r="DZ70" t="s">
        <v>5</v>
      </c>
      <c r="EA70" t="s">
        <v>5</v>
      </c>
      <c r="EB70" t="s">
        <v>5</v>
      </c>
      <c r="EC70" t="s">
        <v>5</v>
      </c>
      <c r="EE70">
        <v>49387988</v>
      </c>
      <c r="EF70">
        <v>30</v>
      </c>
      <c r="EG70" t="s">
        <v>21</v>
      </c>
      <c r="EH70">
        <v>0</v>
      </c>
      <c r="EI70" t="s">
        <v>5</v>
      </c>
      <c r="EJ70">
        <v>1</v>
      </c>
      <c r="EK70">
        <v>292</v>
      </c>
      <c r="EL70" t="s">
        <v>22</v>
      </c>
      <c r="EM70" t="s">
        <v>23</v>
      </c>
      <c r="EO70" t="s">
        <v>5</v>
      </c>
      <c r="EQ70">
        <v>0</v>
      </c>
      <c r="ER70">
        <v>427.31</v>
      </c>
      <c r="ES70">
        <v>0</v>
      </c>
      <c r="ET70">
        <v>163.19999999999999</v>
      </c>
      <c r="EU70">
        <v>42.57</v>
      </c>
      <c r="EV70">
        <v>264.11</v>
      </c>
      <c r="EW70">
        <v>26.28</v>
      </c>
      <c r="EX70">
        <v>0</v>
      </c>
      <c r="EY70">
        <v>0</v>
      </c>
      <c r="FQ70">
        <v>0</v>
      </c>
      <c r="FR70">
        <f>ROUND(IF(AND(BH70=3,BI70=3),P70,0),2)</f>
        <v>0</v>
      </c>
      <c r="FS70">
        <v>0</v>
      </c>
      <c r="FX70">
        <v>187</v>
      </c>
      <c r="FY70">
        <v>101</v>
      </c>
      <c r="GA70" t="s">
        <v>5</v>
      </c>
      <c r="GD70">
        <v>0</v>
      </c>
      <c r="GF70">
        <v>1942674095</v>
      </c>
      <c r="GG70">
        <v>2</v>
      </c>
      <c r="GH70">
        <v>1</v>
      </c>
      <c r="GI70">
        <v>2</v>
      </c>
      <c r="GJ70">
        <v>0</v>
      </c>
      <c r="GK70">
        <f>ROUND(R70*(R12)/100,2)</f>
        <v>28490.62</v>
      </c>
      <c r="GL70">
        <f>ROUND(IF(AND(BH70=3,BI70=3,FS70&lt;&gt;0),P70,0),2)</f>
        <v>0</v>
      </c>
      <c r="GM70">
        <f>ROUND(O70+X70+Y70+GK70,2)+GX70</f>
        <v>338512.49</v>
      </c>
      <c r="GN70">
        <f>IF(OR(BI70=0,BI70=1),ROUND(O70+X70+Y70+GK70,2),0)</f>
        <v>338512.49</v>
      </c>
      <c r="GO70">
        <f>IF(BI70=2,ROUND(O70+X70+Y70+GK70,2),0)</f>
        <v>0</v>
      </c>
      <c r="GP70">
        <f>IF(BI70=4,ROUND(O70+X70+Y70+GK70,2)+GX70,0)</f>
        <v>0</v>
      </c>
      <c r="GR70">
        <v>0</v>
      </c>
      <c r="GS70">
        <v>3</v>
      </c>
      <c r="GT70">
        <v>0</v>
      </c>
      <c r="GU70" t="s">
        <v>5</v>
      </c>
      <c r="GV70">
        <f>ROUND((GT70),6)</f>
        <v>0</v>
      </c>
      <c r="GW70">
        <v>1</v>
      </c>
      <c r="GX70">
        <f>ROUND(HC70*I70,2)</f>
        <v>0</v>
      </c>
      <c r="HA70">
        <v>0</v>
      </c>
      <c r="HB70">
        <v>0</v>
      </c>
      <c r="HC70">
        <f>GV70*GW70</f>
        <v>0</v>
      </c>
      <c r="HE70" t="s">
        <v>5</v>
      </c>
      <c r="HF70" t="s">
        <v>5</v>
      </c>
      <c r="IK70">
        <v>0</v>
      </c>
    </row>
    <row r="71" spans="1:245" x14ac:dyDescent="0.2">
      <c r="A71">
        <v>17</v>
      </c>
      <c r="B71">
        <v>1</v>
      </c>
      <c r="C71">
        <f>ROW(SmtRes!A19)</f>
        <v>19</v>
      </c>
      <c r="D71">
        <f>ROW(EtalonRes!A20)</f>
        <v>20</v>
      </c>
      <c r="E71" t="s">
        <v>110</v>
      </c>
      <c r="F71" t="s">
        <v>111</v>
      </c>
      <c r="G71" t="s">
        <v>112</v>
      </c>
      <c r="H71" t="s">
        <v>19</v>
      </c>
      <c r="I71">
        <f>ROUND((229*0.25)/10,9)</f>
        <v>5.7249999999999996</v>
      </c>
      <c r="J71">
        <v>0</v>
      </c>
      <c r="O71">
        <f>ROUND(CP71,2)</f>
        <v>106374.8</v>
      </c>
      <c r="P71">
        <f>ROUND((ROUND((AC71*AW71*I71),2)*BC71),2)</f>
        <v>0</v>
      </c>
      <c r="Q71">
        <f>(ROUND((ROUND(((ET71)*AV71*I71),2)*BB71),2)+ROUND((ROUND(((AE71-(EU71))*AV71*I71),2)*BS71),2))</f>
        <v>0</v>
      </c>
      <c r="R71">
        <f>ROUND((ROUND((AE71*AV71*I71),2)*BS71),2)</f>
        <v>0</v>
      </c>
      <c r="S71">
        <f>ROUND((ROUND((AF71*AV71*I71),2)*BA71),2)</f>
        <v>106374.8</v>
      </c>
      <c r="T71">
        <f>ROUND(CU71*I71,2)</f>
        <v>0</v>
      </c>
      <c r="U71">
        <f>CV71*I71</f>
        <v>419.35624999999999</v>
      </c>
      <c r="V71">
        <f>CW71*I71</f>
        <v>0</v>
      </c>
      <c r="W71">
        <f>ROUND(CX71*I71,2)</f>
        <v>0</v>
      </c>
      <c r="X71">
        <f t="shared" si="66"/>
        <v>108502.3</v>
      </c>
      <c r="Y71">
        <f t="shared" si="66"/>
        <v>49996.160000000003</v>
      </c>
      <c r="AA71">
        <v>49688178</v>
      </c>
      <c r="AB71">
        <f>ROUND((AC71+AD71+AF71),6)</f>
        <v>748.62</v>
      </c>
      <c r="AC71">
        <f>ROUND((ES71),6)</f>
        <v>0</v>
      </c>
      <c r="AD71">
        <f>ROUND((((ET71)-(EU71))+AE71),6)</f>
        <v>0</v>
      </c>
      <c r="AE71">
        <f t="shared" si="67"/>
        <v>0</v>
      </c>
      <c r="AF71">
        <f t="shared" si="67"/>
        <v>748.62</v>
      </c>
      <c r="AG71">
        <f>ROUND((AP71),6)</f>
        <v>0</v>
      </c>
      <c r="AH71">
        <f t="shared" si="68"/>
        <v>73.25</v>
      </c>
      <c r="AI71">
        <f t="shared" si="68"/>
        <v>0</v>
      </c>
      <c r="AJ71">
        <f>(AS71)</f>
        <v>0</v>
      </c>
      <c r="AK71">
        <v>748.62</v>
      </c>
      <c r="AL71">
        <v>0</v>
      </c>
      <c r="AM71">
        <v>0</v>
      </c>
      <c r="AN71">
        <v>0</v>
      </c>
      <c r="AO71">
        <v>748.62</v>
      </c>
      <c r="AP71">
        <v>0</v>
      </c>
      <c r="AQ71">
        <v>73.25</v>
      </c>
      <c r="AR71">
        <v>0</v>
      </c>
      <c r="AS71">
        <v>0</v>
      </c>
      <c r="AT71">
        <v>102</v>
      </c>
      <c r="AU71">
        <v>47</v>
      </c>
      <c r="AV71">
        <v>1</v>
      </c>
      <c r="AW71">
        <v>1</v>
      </c>
      <c r="AZ71">
        <v>1</v>
      </c>
      <c r="BA71">
        <v>24.82</v>
      </c>
      <c r="BB71">
        <v>1</v>
      </c>
      <c r="BC71">
        <v>1</v>
      </c>
      <c r="BD71" t="s">
        <v>5</v>
      </c>
      <c r="BE71" t="s">
        <v>5</v>
      </c>
      <c r="BF71" t="s">
        <v>5</v>
      </c>
      <c r="BG71" t="s">
        <v>5</v>
      </c>
      <c r="BH71">
        <v>0</v>
      </c>
      <c r="BI71">
        <v>1</v>
      </c>
      <c r="BJ71" t="s">
        <v>113</v>
      </c>
      <c r="BM71">
        <v>292</v>
      </c>
      <c r="BN71">
        <v>0</v>
      </c>
      <c r="BO71" t="s">
        <v>111</v>
      </c>
      <c r="BP71">
        <v>1</v>
      </c>
      <c r="BQ71">
        <v>30</v>
      </c>
      <c r="BR71">
        <v>0</v>
      </c>
      <c r="BS71">
        <v>24.82</v>
      </c>
      <c r="BT71">
        <v>1</v>
      </c>
      <c r="BU71">
        <v>1</v>
      </c>
      <c r="BV71">
        <v>1</v>
      </c>
      <c r="BW71">
        <v>1</v>
      </c>
      <c r="BX71">
        <v>1</v>
      </c>
      <c r="BY71" t="s">
        <v>5</v>
      </c>
      <c r="BZ71">
        <v>102</v>
      </c>
      <c r="CA71">
        <v>47</v>
      </c>
      <c r="CE71">
        <v>30</v>
      </c>
      <c r="CF71">
        <v>0</v>
      </c>
      <c r="CG71">
        <v>0</v>
      </c>
      <c r="CM71">
        <v>0</v>
      </c>
      <c r="CN71" t="s">
        <v>5</v>
      </c>
      <c r="CO71">
        <v>0</v>
      </c>
      <c r="CP71">
        <f>(P71+Q71+S71)</f>
        <v>106374.8</v>
      </c>
      <c r="CQ71">
        <f>ROUND((ROUND((AC71*AW71*1),2)*BC71),2)</f>
        <v>0</v>
      </c>
      <c r="CR71">
        <f>(ROUND((ROUND(((ET71)*AV71*1),2)*BB71),2)+ROUND((ROUND(((AE71-(EU71))*AV71*1),2)*BS71),2))</f>
        <v>0</v>
      </c>
      <c r="CS71">
        <f>ROUND((ROUND((AE71*AV71*1),2)*BS71),2)</f>
        <v>0</v>
      </c>
      <c r="CT71">
        <f>ROUND((ROUND((AF71*AV71*1),2)*BA71),2)</f>
        <v>18580.75</v>
      </c>
      <c r="CU71">
        <f>AG71</f>
        <v>0</v>
      </c>
      <c r="CV71">
        <f>(AH71*AV71)</f>
        <v>73.25</v>
      </c>
      <c r="CW71">
        <f t="shared" si="69"/>
        <v>0</v>
      </c>
      <c r="CX71">
        <f t="shared" si="69"/>
        <v>0</v>
      </c>
      <c r="CY71">
        <f>S71*(BZ71/100)</f>
        <v>108502.296</v>
      </c>
      <c r="CZ71">
        <f>S71*(CA71/100)</f>
        <v>49996.155999999995</v>
      </c>
      <c r="DC71" t="s">
        <v>5</v>
      </c>
      <c r="DD71" t="s">
        <v>5</v>
      </c>
      <c r="DE71" t="s">
        <v>5</v>
      </c>
      <c r="DF71" t="s">
        <v>5</v>
      </c>
      <c r="DG71" t="s">
        <v>5</v>
      </c>
      <c r="DH71" t="s">
        <v>5</v>
      </c>
      <c r="DI71" t="s">
        <v>5</v>
      </c>
      <c r="DJ71" t="s">
        <v>5</v>
      </c>
      <c r="DK71" t="s">
        <v>5</v>
      </c>
      <c r="DL71" t="s">
        <v>5</v>
      </c>
      <c r="DM71" t="s">
        <v>5</v>
      </c>
      <c r="DN71">
        <v>187</v>
      </c>
      <c r="DO71">
        <v>101</v>
      </c>
      <c r="DP71">
        <v>1</v>
      </c>
      <c r="DQ71">
        <v>1</v>
      </c>
      <c r="DU71">
        <v>1013</v>
      </c>
      <c r="DV71" t="s">
        <v>19</v>
      </c>
      <c r="DW71" t="s">
        <v>19</v>
      </c>
      <c r="DX71">
        <v>1</v>
      </c>
      <c r="DZ71" t="s">
        <v>5</v>
      </c>
      <c r="EA71" t="s">
        <v>5</v>
      </c>
      <c r="EB71" t="s">
        <v>5</v>
      </c>
      <c r="EC71" t="s">
        <v>5</v>
      </c>
      <c r="EE71">
        <v>49387988</v>
      </c>
      <c r="EF71">
        <v>30</v>
      </c>
      <c r="EG71" t="s">
        <v>21</v>
      </c>
      <c r="EH71">
        <v>0</v>
      </c>
      <c r="EI71" t="s">
        <v>5</v>
      </c>
      <c r="EJ71">
        <v>1</v>
      </c>
      <c r="EK71">
        <v>292</v>
      </c>
      <c r="EL71" t="s">
        <v>22</v>
      </c>
      <c r="EM71" t="s">
        <v>23</v>
      </c>
      <c r="EO71" t="s">
        <v>5</v>
      </c>
      <c r="EQ71">
        <v>0</v>
      </c>
      <c r="ER71">
        <v>748.62</v>
      </c>
      <c r="ES71">
        <v>0</v>
      </c>
      <c r="ET71">
        <v>0</v>
      </c>
      <c r="EU71">
        <v>0</v>
      </c>
      <c r="EV71">
        <v>748.62</v>
      </c>
      <c r="EW71">
        <v>73.25</v>
      </c>
      <c r="EX71">
        <v>0</v>
      </c>
      <c r="EY71">
        <v>0</v>
      </c>
      <c r="FQ71">
        <v>0</v>
      </c>
      <c r="FR71">
        <f>ROUND(IF(AND(BH71=3,BI71=3),P71,0),2)</f>
        <v>0</v>
      </c>
      <c r="FS71">
        <v>0</v>
      </c>
      <c r="FX71">
        <v>187</v>
      </c>
      <c r="FY71">
        <v>101</v>
      </c>
      <c r="GA71" t="s">
        <v>5</v>
      </c>
      <c r="GD71">
        <v>0</v>
      </c>
      <c r="GF71">
        <v>1869522313</v>
      </c>
      <c r="GG71">
        <v>2</v>
      </c>
      <c r="GH71">
        <v>1</v>
      </c>
      <c r="GI71">
        <v>2</v>
      </c>
      <c r="GJ71">
        <v>0</v>
      </c>
      <c r="GK71">
        <f>ROUND(R71*(R12)/100,2)</f>
        <v>0</v>
      </c>
      <c r="GL71">
        <f>ROUND(IF(AND(BH71=3,BI71=3,FS71&lt;&gt;0),P71,0),2)</f>
        <v>0</v>
      </c>
      <c r="GM71">
        <f>ROUND(O71+X71+Y71+GK71,2)+GX71</f>
        <v>264873.26</v>
      </c>
      <c r="GN71">
        <f>IF(OR(BI71=0,BI71=1),ROUND(O71+X71+Y71+GK71,2),0)</f>
        <v>264873.26</v>
      </c>
      <c r="GO71">
        <f>IF(BI71=2,ROUND(O71+X71+Y71+GK71,2),0)</f>
        <v>0</v>
      </c>
      <c r="GP71">
        <f>IF(BI71=4,ROUND(O71+X71+Y71+GK71,2)+GX71,0)</f>
        <v>0</v>
      </c>
      <c r="GR71">
        <v>0</v>
      </c>
      <c r="GS71">
        <v>3</v>
      </c>
      <c r="GT71">
        <v>0</v>
      </c>
      <c r="GU71" t="s">
        <v>5</v>
      </c>
      <c r="GV71">
        <f>ROUND((GT71),6)</f>
        <v>0</v>
      </c>
      <c r="GW71">
        <v>1</v>
      </c>
      <c r="GX71">
        <f>ROUND(HC71*I71,2)</f>
        <v>0</v>
      </c>
      <c r="HA71">
        <v>0</v>
      </c>
      <c r="HB71">
        <v>0</v>
      </c>
      <c r="HC71">
        <f>GV71*GW71</f>
        <v>0</v>
      </c>
      <c r="HE71" t="s">
        <v>5</v>
      </c>
      <c r="HF71" t="s">
        <v>5</v>
      </c>
      <c r="IK71">
        <v>0</v>
      </c>
    </row>
    <row r="72" spans="1:245" x14ac:dyDescent="0.2">
      <c r="A72">
        <v>17</v>
      </c>
      <c r="B72">
        <v>1</v>
      </c>
      <c r="C72">
        <f>ROW(SmtRes!A24)</f>
        <v>24</v>
      </c>
      <c r="D72">
        <f>ROW(EtalonRes!A26)</f>
        <v>26</v>
      </c>
      <c r="E72" t="s">
        <v>114</v>
      </c>
      <c r="F72" t="s">
        <v>35</v>
      </c>
      <c r="G72" t="s">
        <v>36</v>
      </c>
      <c r="H72" t="s">
        <v>37</v>
      </c>
      <c r="I72">
        <f>ROUND(229/10,9)</f>
        <v>22.9</v>
      </c>
      <c r="J72">
        <v>0</v>
      </c>
      <c r="O72">
        <f>ROUND(CP72,2)</f>
        <v>716437.71</v>
      </c>
      <c r="P72">
        <f>ROUND((ROUND((AC72*AW72*I72),2)*BC72),2)</f>
        <v>13909.36</v>
      </c>
      <c r="Q72">
        <f>(ROUND((ROUND(((ET72)*AV72*I72),2)*BB72),2)+ROUND((ROUND(((AE72-(EU72))*AV72*I72),2)*BS72),2))</f>
        <v>202048.69</v>
      </c>
      <c r="R72">
        <f>ROUND((ROUND((AE72*AV72*I72),2)*BS72),2)</f>
        <v>45601.04</v>
      </c>
      <c r="S72">
        <f>ROUND((ROUND((AF72*AV72*I72),2)*BA72),2)</f>
        <v>500479.66</v>
      </c>
      <c r="T72">
        <f>ROUND(CU72*I72,2)</f>
        <v>0</v>
      </c>
      <c r="U72">
        <f>CV72*I72</f>
        <v>1614.4499999999998</v>
      </c>
      <c r="V72">
        <f>CW72*I72</f>
        <v>0</v>
      </c>
      <c r="W72">
        <f>ROUND(CX72*I72,2)</f>
        <v>0</v>
      </c>
      <c r="X72">
        <f t="shared" si="66"/>
        <v>510489.25</v>
      </c>
      <c r="Y72">
        <f t="shared" si="66"/>
        <v>235225.44</v>
      </c>
      <c r="AA72">
        <v>49688178</v>
      </c>
      <c r="AB72">
        <f>ROUND((AC72+AD72+AF72),6)</f>
        <v>2071.16</v>
      </c>
      <c r="AC72">
        <f>ROUND((ES72),6)</f>
        <v>113.32</v>
      </c>
      <c r="AD72">
        <f>ROUND((((ET72)-(EU72))+AE72),6)</f>
        <v>1077.3</v>
      </c>
      <c r="AE72">
        <f t="shared" si="67"/>
        <v>80.23</v>
      </c>
      <c r="AF72">
        <f t="shared" si="67"/>
        <v>880.54</v>
      </c>
      <c r="AG72">
        <f>ROUND((AP72),6)</f>
        <v>0</v>
      </c>
      <c r="AH72">
        <f t="shared" si="68"/>
        <v>70.5</v>
      </c>
      <c r="AI72">
        <f t="shared" si="68"/>
        <v>0</v>
      </c>
      <c r="AJ72">
        <f>(AS72)</f>
        <v>0</v>
      </c>
      <c r="AK72">
        <v>2071.16</v>
      </c>
      <c r="AL72">
        <v>113.32</v>
      </c>
      <c r="AM72">
        <v>1077.3</v>
      </c>
      <c r="AN72">
        <v>80.23</v>
      </c>
      <c r="AO72">
        <v>880.54</v>
      </c>
      <c r="AP72">
        <v>0</v>
      </c>
      <c r="AQ72">
        <v>70.5</v>
      </c>
      <c r="AR72">
        <v>0</v>
      </c>
      <c r="AS72">
        <v>0</v>
      </c>
      <c r="AT72">
        <v>102</v>
      </c>
      <c r="AU72">
        <v>47</v>
      </c>
      <c r="AV72">
        <v>1</v>
      </c>
      <c r="AW72">
        <v>1</v>
      </c>
      <c r="AZ72">
        <v>1</v>
      </c>
      <c r="BA72">
        <v>24.82</v>
      </c>
      <c r="BB72">
        <v>8.19</v>
      </c>
      <c r="BC72">
        <v>5.36</v>
      </c>
      <c r="BD72" t="s">
        <v>5</v>
      </c>
      <c r="BE72" t="s">
        <v>5</v>
      </c>
      <c r="BF72" t="s">
        <v>5</v>
      </c>
      <c r="BG72" t="s">
        <v>5</v>
      </c>
      <c r="BH72">
        <v>0</v>
      </c>
      <c r="BI72">
        <v>1</v>
      </c>
      <c r="BJ72" t="s">
        <v>38</v>
      </c>
      <c r="BM72">
        <v>292</v>
      </c>
      <c r="BN72">
        <v>0</v>
      </c>
      <c r="BO72" t="s">
        <v>35</v>
      </c>
      <c r="BP72">
        <v>1</v>
      </c>
      <c r="BQ72">
        <v>30</v>
      </c>
      <c r="BR72">
        <v>0</v>
      </c>
      <c r="BS72">
        <v>24.82</v>
      </c>
      <c r="BT72">
        <v>1</v>
      </c>
      <c r="BU72">
        <v>1</v>
      </c>
      <c r="BV72">
        <v>1</v>
      </c>
      <c r="BW72">
        <v>1</v>
      </c>
      <c r="BX72">
        <v>1</v>
      </c>
      <c r="BY72" t="s">
        <v>5</v>
      </c>
      <c r="BZ72">
        <v>102</v>
      </c>
      <c r="CA72">
        <v>47</v>
      </c>
      <c r="CE72">
        <v>30</v>
      </c>
      <c r="CF72">
        <v>0</v>
      </c>
      <c r="CG72">
        <v>0</v>
      </c>
      <c r="CM72">
        <v>0</v>
      </c>
      <c r="CN72" t="s">
        <v>5</v>
      </c>
      <c r="CO72">
        <v>0</v>
      </c>
      <c r="CP72">
        <f>(P72+Q72+S72)</f>
        <v>716437.71</v>
      </c>
      <c r="CQ72">
        <f>ROUND((ROUND((AC72*AW72*1),2)*BC72),2)</f>
        <v>607.4</v>
      </c>
      <c r="CR72">
        <f>(ROUND((ROUND(((ET72)*AV72*1),2)*BB72),2)+ROUND((ROUND(((AE72-(EU72))*AV72*1),2)*BS72),2))</f>
        <v>8823.09</v>
      </c>
      <c r="CS72">
        <f>ROUND((ROUND((AE72*AV72*1),2)*BS72),2)</f>
        <v>1991.31</v>
      </c>
      <c r="CT72">
        <f>ROUND((ROUND((AF72*AV72*1),2)*BA72),2)</f>
        <v>21855</v>
      </c>
      <c r="CU72">
        <f>AG72</f>
        <v>0</v>
      </c>
      <c r="CV72">
        <f>(AH72*AV72)</f>
        <v>70.5</v>
      </c>
      <c r="CW72">
        <f t="shared" si="69"/>
        <v>0</v>
      </c>
      <c r="CX72">
        <f t="shared" si="69"/>
        <v>0</v>
      </c>
      <c r="CY72">
        <f>S72*(BZ72/100)</f>
        <v>510489.25319999998</v>
      </c>
      <c r="CZ72">
        <f>S72*(CA72/100)</f>
        <v>235225.44019999998</v>
      </c>
      <c r="DC72" t="s">
        <v>5</v>
      </c>
      <c r="DD72" t="s">
        <v>5</v>
      </c>
      <c r="DE72" t="s">
        <v>5</v>
      </c>
      <c r="DF72" t="s">
        <v>5</v>
      </c>
      <c r="DG72" t="s">
        <v>5</v>
      </c>
      <c r="DH72" t="s">
        <v>5</v>
      </c>
      <c r="DI72" t="s">
        <v>5</v>
      </c>
      <c r="DJ72" t="s">
        <v>5</v>
      </c>
      <c r="DK72" t="s">
        <v>5</v>
      </c>
      <c r="DL72" t="s">
        <v>5</v>
      </c>
      <c r="DM72" t="s">
        <v>5</v>
      </c>
      <c r="DN72">
        <v>187</v>
      </c>
      <c r="DO72">
        <v>101</v>
      </c>
      <c r="DP72">
        <v>1</v>
      </c>
      <c r="DQ72">
        <v>1</v>
      </c>
      <c r="DU72">
        <v>1013</v>
      </c>
      <c r="DV72" t="s">
        <v>37</v>
      </c>
      <c r="DW72" t="s">
        <v>37</v>
      </c>
      <c r="DX72">
        <v>1</v>
      </c>
      <c r="DZ72" t="s">
        <v>5</v>
      </c>
      <c r="EA72" t="s">
        <v>5</v>
      </c>
      <c r="EB72" t="s">
        <v>5</v>
      </c>
      <c r="EC72" t="s">
        <v>5</v>
      </c>
      <c r="EE72">
        <v>49387988</v>
      </c>
      <c r="EF72">
        <v>30</v>
      </c>
      <c r="EG72" t="s">
        <v>21</v>
      </c>
      <c r="EH72">
        <v>0</v>
      </c>
      <c r="EI72" t="s">
        <v>5</v>
      </c>
      <c r="EJ72">
        <v>1</v>
      </c>
      <c r="EK72">
        <v>292</v>
      </c>
      <c r="EL72" t="s">
        <v>22</v>
      </c>
      <c r="EM72" t="s">
        <v>23</v>
      </c>
      <c r="EO72" t="s">
        <v>5</v>
      </c>
      <c r="EQ72">
        <v>0</v>
      </c>
      <c r="ER72">
        <v>2071.16</v>
      </c>
      <c r="ES72">
        <v>113.32</v>
      </c>
      <c r="ET72">
        <v>1077.3</v>
      </c>
      <c r="EU72">
        <v>80.23</v>
      </c>
      <c r="EV72">
        <v>880.54</v>
      </c>
      <c r="EW72">
        <v>70.5</v>
      </c>
      <c r="EX72">
        <v>0</v>
      </c>
      <c r="EY72">
        <v>0</v>
      </c>
      <c r="FQ72">
        <v>0</v>
      </c>
      <c r="FR72">
        <f>ROUND(IF(AND(BH72=3,BI72=3),P72,0),2)</f>
        <v>0</v>
      </c>
      <c r="FS72">
        <v>0</v>
      </c>
      <c r="FX72">
        <v>187</v>
      </c>
      <c r="FY72">
        <v>101</v>
      </c>
      <c r="GA72" t="s">
        <v>5</v>
      </c>
      <c r="GD72">
        <v>0</v>
      </c>
      <c r="GF72">
        <v>-1766019294</v>
      </c>
      <c r="GG72">
        <v>2</v>
      </c>
      <c r="GH72">
        <v>1</v>
      </c>
      <c r="GI72">
        <v>2</v>
      </c>
      <c r="GJ72">
        <v>0</v>
      </c>
      <c r="GK72">
        <f>ROUND(R72*(R12)/100,2)</f>
        <v>71593.63</v>
      </c>
      <c r="GL72">
        <f>ROUND(IF(AND(BH72=3,BI72=3,FS72&lt;&gt;0),P72,0),2)</f>
        <v>0</v>
      </c>
      <c r="GM72">
        <f>ROUND(O72+X72+Y72+GK72,2)+GX72</f>
        <v>1533746.03</v>
      </c>
      <c r="GN72">
        <f>IF(OR(BI72=0,BI72=1),ROUND(O72+X72+Y72+GK72,2),0)</f>
        <v>1533746.03</v>
      </c>
      <c r="GO72">
        <f>IF(BI72=2,ROUND(O72+X72+Y72+GK72,2),0)</f>
        <v>0</v>
      </c>
      <c r="GP72">
        <f>IF(BI72=4,ROUND(O72+X72+Y72+GK72,2)+GX72,0)</f>
        <v>0</v>
      </c>
      <c r="GR72">
        <v>0</v>
      </c>
      <c r="GS72">
        <v>3</v>
      </c>
      <c r="GT72">
        <v>0</v>
      </c>
      <c r="GU72" t="s">
        <v>5</v>
      </c>
      <c r="GV72">
        <f>ROUND((GT72),6)</f>
        <v>0</v>
      </c>
      <c r="GW72">
        <v>1</v>
      </c>
      <c r="GX72">
        <f>ROUND(HC72*I72,2)</f>
        <v>0</v>
      </c>
      <c r="HA72">
        <v>0</v>
      </c>
      <c r="HB72">
        <v>0</v>
      </c>
      <c r="HC72">
        <f>GV72*GW72</f>
        <v>0</v>
      </c>
      <c r="HE72" t="s">
        <v>5</v>
      </c>
      <c r="HF72" t="s">
        <v>5</v>
      </c>
      <c r="IK72">
        <v>0</v>
      </c>
    </row>
    <row r="74" spans="1:245" x14ac:dyDescent="0.2">
      <c r="A74" s="2">
        <v>51</v>
      </c>
      <c r="B74" s="2">
        <f>B66</f>
        <v>1</v>
      </c>
      <c r="C74" s="2">
        <f>A66</f>
        <v>4</v>
      </c>
      <c r="D74" s="2">
        <f>ROW(A66)</f>
        <v>66</v>
      </c>
      <c r="E74" s="2"/>
      <c r="F74" s="2" t="str">
        <f>IF(F66&lt;&gt;"",F66,"")</f>
        <v>Новый раздел</v>
      </c>
      <c r="G74" s="2" t="str">
        <f>IF(G66&lt;&gt;"",G66,"")</f>
        <v>Восстановление отпада деревьев с комом земли 1,5х1,5х0,65 м - 229 шт.</v>
      </c>
      <c r="H74" s="2">
        <v>0</v>
      </c>
      <c r="I74" s="2"/>
      <c r="J74" s="2"/>
      <c r="K74" s="2"/>
      <c r="L74" s="2"/>
      <c r="M74" s="2"/>
      <c r="N74" s="2"/>
      <c r="O74" s="2">
        <f t="shared" ref="O74:T74" si="70">ROUND(AB74,2)</f>
        <v>965081.61</v>
      </c>
      <c r="P74" s="2">
        <f t="shared" si="70"/>
        <v>13909.36</v>
      </c>
      <c r="Q74" s="2">
        <f t="shared" si="70"/>
        <v>231732.04</v>
      </c>
      <c r="R74" s="2">
        <f t="shared" si="70"/>
        <v>63747.93</v>
      </c>
      <c r="S74" s="2">
        <f t="shared" si="70"/>
        <v>719440.21</v>
      </c>
      <c r="T74" s="2">
        <f t="shared" si="70"/>
        <v>0</v>
      </c>
      <c r="U74" s="2">
        <f>AH74</f>
        <v>2485.16525</v>
      </c>
      <c r="V74" s="2">
        <f>AI74</f>
        <v>0</v>
      </c>
      <c r="W74" s="2">
        <f>ROUND(AJ74,2)</f>
        <v>0</v>
      </c>
      <c r="X74" s="2">
        <f>ROUND(AK74,2)</f>
        <v>733829.02</v>
      </c>
      <c r="Y74" s="2">
        <f>ROUND(AL74,2)</f>
        <v>338136.9</v>
      </c>
      <c r="Z74" s="2"/>
      <c r="AA74" s="2"/>
      <c r="AB74" s="2">
        <f>ROUND(SUMIF(AA70:AA72,"=49688178",O70:O72),2)</f>
        <v>965081.61</v>
      </c>
      <c r="AC74" s="2">
        <f>ROUND(SUMIF(AA70:AA72,"=49688178",P70:P72),2)</f>
        <v>13909.36</v>
      </c>
      <c r="AD74" s="2">
        <f>ROUND(SUMIF(AA70:AA72,"=49688178",Q70:Q72),2)</f>
        <v>231732.04</v>
      </c>
      <c r="AE74" s="2">
        <f>ROUND(SUMIF(AA70:AA72,"=49688178",R70:R72),2)</f>
        <v>63747.93</v>
      </c>
      <c r="AF74" s="2">
        <f>ROUND(SUMIF(AA70:AA72,"=49688178",S70:S72),2)</f>
        <v>719440.21</v>
      </c>
      <c r="AG74" s="2">
        <f>ROUND(SUMIF(AA70:AA72,"=49688178",T70:T72),2)</f>
        <v>0</v>
      </c>
      <c r="AH74" s="2">
        <f>SUMIF(AA70:AA72,"=49688178",U70:U72)</f>
        <v>2485.16525</v>
      </c>
      <c r="AI74" s="2">
        <f>SUMIF(AA70:AA72,"=49688178",V70:V72)</f>
        <v>0</v>
      </c>
      <c r="AJ74" s="2">
        <f>ROUND(SUMIF(AA70:AA72,"=49688178",W70:W72),2)</f>
        <v>0</v>
      </c>
      <c r="AK74" s="2">
        <f>ROUND(SUMIF(AA70:AA72,"=49688178",X70:X72),2)</f>
        <v>733829.02</v>
      </c>
      <c r="AL74" s="2">
        <f>ROUND(SUMIF(AA70:AA72,"=49688178",Y70:Y72),2)</f>
        <v>338136.9</v>
      </c>
      <c r="AM74" s="2"/>
      <c r="AN74" s="2"/>
      <c r="AO74" s="2">
        <f t="shared" ref="AO74:BD74" si="71">ROUND(BX74,2)</f>
        <v>0</v>
      </c>
      <c r="AP74" s="2">
        <f t="shared" si="71"/>
        <v>0</v>
      </c>
      <c r="AQ74" s="2">
        <f t="shared" si="71"/>
        <v>0</v>
      </c>
      <c r="AR74" s="2">
        <f t="shared" si="71"/>
        <v>2137131.7799999998</v>
      </c>
      <c r="AS74" s="2">
        <f t="shared" si="71"/>
        <v>2137131.7799999998</v>
      </c>
      <c r="AT74" s="2">
        <f t="shared" si="71"/>
        <v>0</v>
      </c>
      <c r="AU74" s="2">
        <f t="shared" si="71"/>
        <v>0</v>
      </c>
      <c r="AV74" s="2">
        <f t="shared" si="71"/>
        <v>13909.36</v>
      </c>
      <c r="AW74" s="2">
        <f t="shared" si="71"/>
        <v>13909.36</v>
      </c>
      <c r="AX74" s="2">
        <f t="shared" si="71"/>
        <v>0</v>
      </c>
      <c r="AY74" s="2">
        <f t="shared" si="71"/>
        <v>13909.36</v>
      </c>
      <c r="AZ74" s="2">
        <f t="shared" si="71"/>
        <v>0</v>
      </c>
      <c r="BA74" s="2">
        <f t="shared" si="71"/>
        <v>0</v>
      </c>
      <c r="BB74" s="2">
        <f t="shared" si="71"/>
        <v>0</v>
      </c>
      <c r="BC74" s="2">
        <f t="shared" si="71"/>
        <v>0</v>
      </c>
      <c r="BD74" s="2">
        <f t="shared" si="71"/>
        <v>0</v>
      </c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>
        <f>ROUND(SUMIF(AA70:AA72,"=49688178",FQ70:FQ72),2)</f>
        <v>0</v>
      </c>
      <c r="BY74" s="2">
        <f>ROUND(SUMIF(AA70:AA72,"=49688178",FR70:FR72),2)</f>
        <v>0</v>
      </c>
      <c r="BZ74" s="2">
        <f>ROUND(SUMIF(AA70:AA72,"=49688178",GL70:GL72),2)</f>
        <v>0</v>
      </c>
      <c r="CA74" s="2">
        <f>ROUND(SUMIF(AA70:AA72,"=49688178",GM70:GM72),2)</f>
        <v>2137131.7799999998</v>
      </c>
      <c r="CB74" s="2">
        <f>ROUND(SUMIF(AA70:AA72,"=49688178",GN70:GN72),2)</f>
        <v>2137131.7799999998</v>
      </c>
      <c r="CC74" s="2">
        <f>ROUND(SUMIF(AA70:AA72,"=49688178",GO70:GO72),2)</f>
        <v>0</v>
      </c>
      <c r="CD74" s="2">
        <f>ROUND(SUMIF(AA70:AA72,"=49688178",GP70:GP72),2)</f>
        <v>0</v>
      </c>
      <c r="CE74" s="2">
        <f>AC74-BX74</f>
        <v>13909.36</v>
      </c>
      <c r="CF74" s="2">
        <f>AC74-BY74</f>
        <v>13909.36</v>
      </c>
      <c r="CG74" s="2">
        <f>BX74-BZ74</f>
        <v>0</v>
      </c>
      <c r="CH74" s="2">
        <f>AC74-BX74-BY74+BZ74</f>
        <v>13909.36</v>
      </c>
      <c r="CI74" s="2">
        <f>BY74-BZ74</f>
        <v>0</v>
      </c>
      <c r="CJ74" s="2">
        <f>ROUND(SUMIF(AA70:AA72,"=49688178",GX70:GX72),2)</f>
        <v>0</v>
      </c>
      <c r="CK74" s="2">
        <f>ROUND(SUMIF(AA70:AA72,"=49688178",GY70:GY72),2)</f>
        <v>0</v>
      </c>
      <c r="CL74" s="2">
        <f>ROUND(SUMIF(AA70:AA72,"=49688178",GZ70:GZ72),2)</f>
        <v>0</v>
      </c>
      <c r="CM74" s="2">
        <f>ROUND(SUMIF(AA70:AA72,"=49688178",HD70:HD72),2)</f>
        <v>0</v>
      </c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>
        <v>0</v>
      </c>
    </row>
    <row r="76" spans="1:245" x14ac:dyDescent="0.2">
      <c r="A76" s="4">
        <v>50</v>
      </c>
      <c r="B76" s="4">
        <v>0</v>
      </c>
      <c r="C76" s="4">
        <v>0</v>
      </c>
      <c r="D76" s="4">
        <v>1</v>
      </c>
      <c r="E76" s="4">
        <v>201</v>
      </c>
      <c r="F76" s="4">
        <f>ROUND(Source!O74,O76)</f>
        <v>965081.61</v>
      </c>
      <c r="G76" s="4" t="s">
        <v>51</v>
      </c>
      <c r="H76" s="4" t="s">
        <v>52</v>
      </c>
      <c r="I76" s="4"/>
      <c r="J76" s="4"/>
      <c r="K76" s="4">
        <v>201</v>
      </c>
      <c r="L76" s="4">
        <v>1</v>
      </c>
      <c r="M76" s="4">
        <v>3</v>
      </c>
      <c r="N76" s="4" t="s">
        <v>5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45" x14ac:dyDescent="0.2">
      <c r="A77" s="4">
        <v>50</v>
      </c>
      <c r="B77" s="4">
        <v>0</v>
      </c>
      <c r="C77" s="4">
        <v>0</v>
      </c>
      <c r="D77" s="4">
        <v>1</v>
      </c>
      <c r="E77" s="4">
        <v>202</v>
      </c>
      <c r="F77" s="4">
        <f>ROUND(Source!P74,O77)</f>
        <v>13909.36</v>
      </c>
      <c r="G77" s="4" t="s">
        <v>53</v>
      </c>
      <c r="H77" s="4" t="s">
        <v>54</v>
      </c>
      <c r="I77" s="4"/>
      <c r="J77" s="4"/>
      <c r="K77" s="4">
        <v>202</v>
      </c>
      <c r="L77" s="4">
        <v>2</v>
      </c>
      <c r="M77" s="4">
        <v>3</v>
      </c>
      <c r="N77" s="4" t="s">
        <v>5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45" x14ac:dyDescent="0.2">
      <c r="A78" s="4">
        <v>50</v>
      </c>
      <c r="B78" s="4">
        <v>0</v>
      </c>
      <c r="C78" s="4">
        <v>0</v>
      </c>
      <c r="D78" s="4">
        <v>1</v>
      </c>
      <c r="E78" s="4">
        <v>222</v>
      </c>
      <c r="F78" s="4">
        <f>ROUND(Source!AO74,O78)</f>
        <v>0</v>
      </c>
      <c r="G78" s="4" t="s">
        <v>55</v>
      </c>
      <c r="H78" s="4" t="s">
        <v>56</v>
      </c>
      <c r="I78" s="4"/>
      <c r="J78" s="4"/>
      <c r="K78" s="4">
        <v>222</v>
      </c>
      <c r="L78" s="4">
        <v>3</v>
      </c>
      <c r="M78" s="4">
        <v>3</v>
      </c>
      <c r="N78" s="4" t="s">
        <v>5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45" x14ac:dyDescent="0.2">
      <c r="A79" s="4">
        <v>50</v>
      </c>
      <c r="B79" s="4">
        <v>0</v>
      </c>
      <c r="C79" s="4">
        <v>0</v>
      </c>
      <c r="D79" s="4">
        <v>1</v>
      </c>
      <c r="E79" s="4">
        <v>225</v>
      </c>
      <c r="F79" s="4">
        <f>ROUND(Source!AV74,O79)</f>
        <v>13909.36</v>
      </c>
      <c r="G79" s="4" t="s">
        <v>57</v>
      </c>
      <c r="H79" s="4" t="s">
        <v>58</v>
      </c>
      <c r="I79" s="4"/>
      <c r="J79" s="4"/>
      <c r="K79" s="4">
        <v>225</v>
      </c>
      <c r="L79" s="4">
        <v>4</v>
      </c>
      <c r="M79" s="4">
        <v>3</v>
      </c>
      <c r="N79" s="4" t="s">
        <v>5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45" x14ac:dyDescent="0.2">
      <c r="A80" s="4">
        <v>50</v>
      </c>
      <c r="B80" s="4">
        <v>0</v>
      </c>
      <c r="C80" s="4">
        <v>0</v>
      </c>
      <c r="D80" s="4">
        <v>1</v>
      </c>
      <c r="E80" s="4">
        <v>226</v>
      </c>
      <c r="F80" s="4">
        <f>ROUND(Source!AW74,O80)</f>
        <v>13909.36</v>
      </c>
      <c r="G80" s="4" t="s">
        <v>59</v>
      </c>
      <c r="H80" s="4" t="s">
        <v>60</v>
      </c>
      <c r="I80" s="4"/>
      <c r="J80" s="4"/>
      <c r="K80" s="4">
        <v>226</v>
      </c>
      <c r="L80" s="4">
        <v>5</v>
      </c>
      <c r="M80" s="4">
        <v>3</v>
      </c>
      <c r="N80" s="4" t="s">
        <v>5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>
        <v>50</v>
      </c>
      <c r="B81" s="4">
        <v>0</v>
      </c>
      <c r="C81" s="4">
        <v>0</v>
      </c>
      <c r="D81" s="4">
        <v>1</v>
      </c>
      <c r="E81" s="4">
        <v>227</v>
      </c>
      <c r="F81" s="4">
        <f>ROUND(Source!AX74,O81)</f>
        <v>0</v>
      </c>
      <c r="G81" s="4" t="s">
        <v>61</v>
      </c>
      <c r="H81" s="4" t="s">
        <v>62</v>
      </c>
      <c r="I81" s="4"/>
      <c r="J81" s="4"/>
      <c r="K81" s="4">
        <v>227</v>
      </c>
      <c r="L81" s="4">
        <v>6</v>
      </c>
      <c r="M81" s="4">
        <v>3</v>
      </c>
      <c r="N81" s="4" t="s">
        <v>5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>
        <v>50</v>
      </c>
      <c r="B82" s="4">
        <v>0</v>
      </c>
      <c r="C82" s="4">
        <v>0</v>
      </c>
      <c r="D82" s="4">
        <v>1</v>
      </c>
      <c r="E82" s="4">
        <v>228</v>
      </c>
      <c r="F82" s="4">
        <f>ROUND(Source!AY74,O82)</f>
        <v>13909.36</v>
      </c>
      <c r="G82" s="4" t="s">
        <v>63</v>
      </c>
      <c r="H82" s="4" t="s">
        <v>64</v>
      </c>
      <c r="I82" s="4"/>
      <c r="J82" s="4"/>
      <c r="K82" s="4">
        <v>228</v>
      </c>
      <c r="L82" s="4">
        <v>7</v>
      </c>
      <c r="M82" s="4">
        <v>3</v>
      </c>
      <c r="N82" s="4" t="s">
        <v>5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>
        <v>50</v>
      </c>
      <c r="B83" s="4">
        <v>0</v>
      </c>
      <c r="C83" s="4">
        <v>0</v>
      </c>
      <c r="D83" s="4">
        <v>1</v>
      </c>
      <c r="E83" s="4">
        <v>216</v>
      </c>
      <c r="F83" s="4">
        <f>ROUND(Source!AP74,O83)</f>
        <v>0</v>
      </c>
      <c r="G83" s="4" t="s">
        <v>65</v>
      </c>
      <c r="H83" s="4" t="s">
        <v>66</v>
      </c>
      <c r="I83" s="4"/>
      <c r="J83" s="4"/>
      <c r="K83" s="4">
        <v>216</v>
      </c>
      <c r="L83" s="4">
        <v>8</v>
      </c>
      <c r="M83" s="4">
        <v>3</v>
      </c>
      <c r="N83" s="4" t="s">
        <v>5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>
        <v>50</v>
      </c>
      <c r="B84" s="4">
        <v>0</v>
      </c>
      <c r="C84" s="4">
        <v>0</v>
      </c>
      <c r="D84" s="4">
        <v>1</v>
      </c>
      <c r="E84" s="4">
        <v>223</v>
      </c>
      <c r="F84" s="4">
        <f>ROUND(Source!AQ74,O84)</f>
        <v>0</v>
      </c>
      <c r="G84" s="4" t="s">
        <v>67</v>
      </c>
      <c r="H84" s="4" t="s">
        <v>68</v>
      </c>
      <c r="I84" s="4"/>
      <c r="J84" s="4"/>
      <c r="K84" s="4">
        <v>223</v>
      </c>
      <c r="L84" s="4">
        <v>9</v>
      </c>
      <c r="M84" s="4">
        <v>3</v>
      </c>
      <c r="N84" s="4" t="s">
        <v>5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>
        <v>50</v>
      </c>
      <c r="B85" s="4">
        <v>0</v>
      </c>
      <c r="C85" s="4">
        <v>0</v>
      </c>
      <c r="D85" s="4">
        <v>1</v>
      </c>
      <c r="E85" s="4">
        <v>229</v>
      </c>
      <c r="F85" s="4">
        <f>ROUND(Source!AZ74,O85)</f>
        <v>0</v>
      </c>
      <c r="G85" s="4" t="s">
        <v>69</v>
      </c>
      <c r="H85" s="4" t="s">
        <v>70</v>
      </c>
      <c r="I85" s="4"/>
      <c r="J85" s="4"/>
      <c r="K85" s="4">
        <v>229</v>
      </c>
      <c r="L85" s="4">
        <v>10</v>
      </c>
      <c r="M85" s="4">
        <v>3</v>
      </c>
      <c r="N85" s="4" t="s">
        <v>5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>
        <v>50</v>
      </c>
      <c r="B86" s="4">
        <v>0</v>
      </c>
      <c r="C86" s="4">
        <v>0</v>
      </c>
      <c r="D86" s="4">
        <v>1</v>
      </c>
      <c r="E86" s="4">
        <v>203</v>
      </c>
      <c r="F86" s="4">
        <f>ROUND(Source!Q74,O86)</f>
        <v>231732.04</v>
      </c>
      <c r="G86" s="4" t="s">
        <v>71</v>
      </c>
      <c r="H86" s="4" t="s">
        <v>72</v>
      </c>
      <c r="I86" s="4"/>
      <c r="J86" s="4"/>
      <c r="K86" s="4">
        <v>203</v>
      </c>
      <c r="L86" s="4">
        <v>11</v>
      </c>
      <c r="M86" s="4">
        <v>3</v>
      </c>
      <c r="N86" s="4" t="s">
        <v>5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>
        <v>50</v>
      </c>
      <c r="B87" s="4">
        <v>0</v>
      </c>
      <c r="C87" s="4">
        <v>0</v>
      </c>
      <c r="D87" s="4">
        <v>1</v>
      </c>
      <c r="E87" s="4">
        <v>231</v>
      </c>
      <c r="F87" s="4">
        <f>ROUND(Source!BB74,O87)</f>
        <v>0</v>
      </c>
      <c r="G87" s="4" t="s">
        <v>73</v>
      </c>
      <c r="H87" s="4" t="s">
        <v>74</v>
      </c>
      <c r="I87" s="4"/>
      <c r="J87" s="4"/>
      <c r="K87" s="4">
        <v>231</v>
      </c>
      <c r="L87" s="4">
        <v>12</v>
      </c>
      <c r="M87" s="4">
        <v>3</v>
      </c>
      <c r="N87" s="4" t="s">
        <v>5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>
        <v>50</v>
      </c>
      <c r="B88" s="4">
        <v>0</v>
      </c>
      <c r="C88" s="4">
        <v>0</v>
      </c>
      <c r="D88" s="4">
        <v>1</v>
      </c>
      <c r="E88" s="4">
        <v>204</v>
      </c>
      <c r="F88" s="4">
        <f>ROUND(Source!R74,O88)</f>
        <v>63747.93</v>
      </c>
      <c r="G88" s="4" t="s">
        <v>75</v>
      </c>
      <c r="H88" s="4" t="s">
        <v>76</v>
      </c>
      <c r="I88" s="4"/>
      <c r="J88" s="4"/>
      <c r="K88" s="4">
        <v>204</v>
      </c>
      <c r="L88" s="4">
        <v>13</v>
      </c>
      <c r="M88" s="4">
        <v>3</v>
      </c>
      <c r="N88" s="4" t="s">
        <v>5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>
        <v>50</v>
      </c>
      <c r="B89" s="4">
        <v>0</v>
      </c>
      <c r="C89" s="4">
        <v>0</v>
      </c>
      <c r="D89" s="4">
        <v>1</v>
      </c>
      <c r="E89" s="4">
        <v>205</v>
      </c>
      <c r="F89" s="4">
        <f>ROUND(Source!S74,O89)</f>
        <v>719440.21</v>
      </c>
      <c r="G89" s="4" t="s">
        <v>77</v>
      </c>
      <c r="H89" s="4" t="s">
        <v>78</v>
      </c>
      <c r="I89" s="4"/>
      <c r="J89" s="4"/>
      <c r="K89" s="4">
        <v>205</v>
      </c>
      <c r="L89" s="4">
        <v>14</v>
      </c>
      <c r="M89" s="4">
        <v>3</v>
      </c>
      <c r="N89" s="4" t="s">
        <v>5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>
        <v>50</v>
      </c>
      <c r="B90" s="4">
        <v>0</v>
      </c>
      <c r="C90" s="4">
        <v>0</v>
      </c>
      <c r="D90" s="4">
        <v>1</v>
      </c>
      <c r="E90" s="4">
        <v>232</v>
      </c>
      <c r="F90" s="4">
        <f>ROUND(Source!BC74,O90)</f>
        <v>0</v>
      </c>
      <c r="G90" s="4" t="s">
        <v>79</v>
      </c>
      <c r="H90" s="4" t="s">
        <v>80</v>
      </c>
      <c r="I90" s="4"/>
      <c r="J90" s="4"/>
      <c r="K90" s="4">
        <v>232</v>
      </c>
      <c r="L90" s="4">
        <v>15</v>
      </c>
      <c r="M90" s="4">
        <v>3</v>
      </c>
      <c r="N90" s="4" t="s">
        <v>5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>
        <v>50</v>
      </c>
      <c r="B91" s="4">
        <v>0</v>
      </c>
      <c r="C91" s="4">
        <v>0</v>
      </c>
      <c r="D91" s="4">
        <v>1</v>
      </c>
      <c r="E91" s="4">
        <v>214</v>
      </c>
      <c r="F91" s="4">
        <f>ROUND(Source!AS74,O91)</f>
        <v>2137131.7799999998</v>
      </c>
      <c r="G91" s="4" t="s">
        <v>81</v>
      </c>
      <c r="H91" s="4" t="s">
        <v>82</v>
      </c>
      <c r="I91" s="4"/>
      <c r="J91" s="4"/>
      <c r="K91" s="4">
        <v>214</v>
      </c>
      <c r="L91" s="4">
        <v>16</v>
      </c>
      <c r="M91" s="4">
        <v>3</v>
      </c>
      <c r="N91" s="4" t="s">
        <v>5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>
        <v>50</v>
      </c>
      <c r="B92" s="4">
        <v>0</v>
      </c>
      <c r="C92" s="4">
        <v>0</v>
      </c>
      <c r="D92" s="4">
        <v>1</v>
      </c>
      <c r="E92" s="4">
        <v>215</v>
      </c>
      <c r="F92" s="4">
        <f>ROUND(Source!AT74,O92)</f>
        <v>0</v>
      </c>
      <c r="G92" s="4" t="s">
        <v>83</v>
      </c>
      <c r="H92" s="4" t="s">
        <v>84</v>
      </c>
      <c r="I92" s="4"/>
      <c r="J92" s="4"/>
      <c r="K92" s="4">
        <v>215</v>
      </c>
      <c r="L92" s="4">
        <v>17</v>
      </c>
      <c r="M92" s="4">
        <v>3</v>
      </c>
      <c r="N92" s="4" t="s">
        <v>5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>
        <v>50</v>
      </c>
      <c r="B93" s="4">
        <v>0</v>
      </c>
      <c r="C93" s="4">
        <v>0</v>
      </c>
      <c r="D93" s="4">
        <v>1</v>
      </c>
      <c r="E93" s="4">
        <v>217</v>
      </c>
      <c r="F93" s="4">
        <f>ROUND(Source!AU74,O93)</f>
        <v>0</v>
      </c>
      <c r="G93" s="4" t="s">
        <v>85</v>
      </c>
      <c r="H93" s="4" t="s">
        <v>86</v>
      </c>
      <c r="I93" s="4"/>
      <c r="J93" s="4"/>
      <c r="K93" s="4">
        <v>217</v>
      </c>
      <c r="L93" s="4">
        <v>18</v>
      </c>
      <c r="M93" s="4">
        <v>3</v>
      </c>
      <c r="N93" s="4" t="s">
        <v>5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>
        <v>50</v>
      </c>
      <c r="B94" s="4">
        <v>0</v>
      </c>
      <c r="C94" s="4">
        <v>0</v>
      </c>
      <c r="D94" s="4">
        <v>1</v>
      </c>
      <c r="E94" s="4">
        <v>230</v>
      </c>
      <c r="F94" s="4">
        <f>ROUND(Source!BA74,O94)</f>
        <v>0</v>
      </c>
      <c r="G94" s="4" t="s">
        <v>87</v>
      </c>
      <c r="H94" s="4" t="s">
        <v>88</v>
      </c>
      <c r="I94" s="4"/>
      <c r="J94" s="4"/>
      <c r="K94" s="4">
        <v>230</v>
      </c>
      <c r="L94" s="4">
        <v>19</v>
      </c>
      <c r="M94" s="4">
        <v>3</v>
      </c>
      <c r="N94" s="4" t="s">
        <v>5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>
        <v>50</v>
      </c>
      <c r="B95" s="4">
        <v>0</v>
      </c>
      <c r="C95" s="4">
        <v>0</v>
      </c>
      <c r="D95" s="4">
        <v>1</v>
      </c>
      <c r="E95" s="4">
        <v>206</v>
      </c>
      <c r="F95" s="4">
        <f>ROUND(Source!T74,O95)</f>
        <v>0</v>
      </c>
      <c r="G95" s="4" t="s">
        <v>89</v>
      </c>
      <c r="H95" s="4" t="s">
        <v>90</v>
      </c>
      <c r="I95" s="4"/>
      <c r="J95" s="4"/>
      <c r="K95" s="4">
        <v>206</v>
      </c>
      <c r="L95" s="4">
        <v>20</v>
      </c>
      <c r="M95" s="4">
        <v>3</v>
      </c>
      <c r="N95" s="4" t="s">
        <v>5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>
        <v>50</v>
      </c>
      <c r="B96" s="4">
        <v>0</v>
      </c>
      <c r="C96" s="4">
        <v>0</v>
      </c>
      <c r="D96" s="4">
        <v>1</v>
      </c>
      <c r="E96" s="4">
        <v>207</v>
      </c>
      <c r="F96" s="4">
        <f>Source!U74</f>
        <v>2485.16525</v>
      </c>
      <c r="G96" s="4" t="s">
        <v>91</v>
      </c>
      <c r="H96" s="4" t="s">
        <v>92</v>
      </c>
      <c r="I96" s="4"/>
      <c r="J96" s="4"/>
      <c r="K96" s="4">
        <v>207</v>
      </c>
      <c r="L96" s="4">
        <v>21</v>
      </c>
      <c r="M96" s="4">
        <v>3</v>
      </c>
      <c r="N96" s="4" t="s">
        <v>5</v>
      </c>
      <c r="O96" s="4">
        <v>-1</v>
      </c>
      <c r="P96" s="4"/>
      <c r="Q96" s="4"/>
      <c r="R96" s="4"/>
      <c r="S96" s="4"/>
      <c r="T96" s="4"/>
      <c r="U96" s="4"/>
      <c r="V96" s="4"/>
      <c r="W96" s="4"/>
    </row>
    <row r="97" spans="1:245" x14ac:dyDescent="0.2">
      <c r="A97" s="4">
        <v>50</v>
      </c>
      <c r="B97" s="4">
        <v>0</v>
      </c>
      <c r="C97" s="4">
        <v>0</v>
      </c>
      <c r="D97" s="4">
        <v>1</v>
      </c>
      <c r="E97" s="4">
        <v>208</v>
      </c>
      <c r="F97" s="4">
        <f>Source!V74</f>
        <v>0</v>
      </c>
      <c r="G97" s="4" t="s">
        <v>93</v>
      </c>
      <c r="H97" s="4" t="s">
        <v>94</v>
      </c>
      <c r="I97" s="4"/>
      <c r="J97" s="4"/>
      <c r="K97" s="4">
        <v>208</v>
      </c>
      <c r="L97" s="4">
        <v>22</v>
      </c>
      <c r="M97" s="4">
        <v>3</v>
      </c>
      <c r="N97" s="4" t="s">
        <v>5</v>
      </c>
      <c r="O97" s="4">
        <v>-1</v>
      </c>
      <c r="P97" s="4"/>
      <c r="Q97" s="4"/>
      <c r="R97" s="4"/>
      <c r="S97" s="4"/>
      <c r="T97" s="4"/>
      <c r="U97" s="4"/>
      <c r="V97" s="4"/>
      <c r="W97" s="4"/>
    </row>
    <row r="98" spans="1:245" x14ac:dyDescent="0.2">
      <c r="A98" s="4">
        <v>50</v>
      </c>
      <c r="B98" s="4">
        <v>0</v>
      </c>
      <c r="C98" s="4">
        <v>0</v>
      </c>
      <c r="D98" s="4">
        <v>1</v>
      </c>
      <c r="E98" s="4">
        <v>209</v>
      </c>
      <c r="F98" s="4">
        <f>ROUND(Source!W74,O98)</f>
        <v>0</v>
      </c>
      <c r="G98" s="4" t="s">
        <v>95</v>
      </c>
      <c r="H98" s="4" t="s">
        <v>96</v>
      </c>
      <c r="I98" s="4"/>
      <c r="J98" s="4"/>
      <c r="K98" s="4">
        <v>209</v>
      </c>
      <c r="L98" s="4">
        <v>23</v>
      </c>
      <c r="M98" s="4">
        <v>3</v>
      </c>
      <c r="N98" s="4" t="s">
        <v>5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45" x14ac:dyDescent="0.2">
      <c r="A99" s="4">
        <v>50</v>
      </c>
      <c r="B99" s="4">
        <v>0</v>
      </c>
      <c r="C99" s="4">
        <v>0</v>
      </c>
      <c r="D99" s="4">
        <v>1</v>
      </c>
      <c r="E99" s="4">
        <v>233</v>
      </c>
      <c r="F99" s="4">
        <f>ROUND(Source!BD74,O99)</f>
        <v>0</v>
      </c>
      <c r="G99" s="4" t="s">
        <v>97</v>
      </c>
      <c r="H99" s="4" t="s">
        <v>98</v>
      </c>
      <c r="I99" s="4"/>
      <c r="J99" s="4"/>
      <c r="K99" s="4">
        <v>233</v>
      </c>
      <c r="L99" s="4">
        <v>24</v>
      </c>
      <c r="M99" s="4">
        <v>3</v>
      </c>
      <c r="N99" s="4" t="s">
        <v>5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45" x14ac:dyDescent="0.2">
      <c r="A100" s="4">
        <v>50</v>
      </c>
      <c r="B100" s="4">
        <v>0</v>
      </c>
      <c r="C100" s="4">
        <v>0</v>
      </c>
      <c r="D100" s="4">
        <v>1</v>
      </c>
      <c r="E100" s="4">
        <v>210</v>
      </c>
      <c r="F100" s="4">
        <f>ROUND(Source!X74,O100)</f>
        <v>733829.02</v>
      </c>
      <c r="G100" s="4" t="s">
        <v>99</v>
      </c>
      <c r="H100" s="4" t="s">
        <v>100</v>
      </c>
      <c r="I100" s="4"/>
      <c r="J100" s="4"/>
      <c r="K100" s="4">
        <v>210</v>
      </c>
      <c r="L100" s="4">
        <v>25</v>
      </c>
      <c r="M100" s="4">
        <v>3</v>
      </c>
      <c r="N100" s="4" t="s">
        <v>5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45" x14ac:dyDescent="0.2">
      <c r="A101" s="4">
        <v>50</v>
      </c>
      <c r="B101" s="4">
        <v>0</v>
      </c>
      <c r="C101" s="4">
        <v>0</v>
      </c>
      <c r="D101" s="4">
        <v>1</v>
      </c>
      <c r="E101" s="4">
        <v>211</v>
      </c>
      <c r="F101" s="4">
        <f>ROUND(Source!Y74,O101)</f>
        <v>338136.9</v>
      </c>
      <c r="G101" s="4" t="s">
        <v>101</v>
      </c>
      <c r="H101" s="4" t="s">
        <v>102</v>
      </c>
      <c r="I101" s="4"/>
      <c r="J101" s="4"/>
      <c r="K101" s="4">
        <v>211</v>
      </c>
      <c r="L101" s="4">
        <v>26</v>
      </c>
      <c r="M101" s="4">
        <v>3</v>
      </c>
      <c r="N101" s="4" t="s">
        <v>5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45" x14ac:dyDescent="0.2">
      <c r="A102" s="4">
        <v>50</v>
      </c>
      <c r="B102" s="4">
        <v>0</v>
      </c>
      <c r="C102" s="4">
        <v>0</v>
      </c>
      <c r="D102" s="4">
        <v>1</v>
      </c>
      <c r="E102" s="4">
        <v>224</v>
      </c>
      <c r="F102" s="4">
        <f>ROUND(Source!AR74,O102)</f>
        <v>2137131.7799999998</v>
      </c>
      <c r="G102" s="4" t="s">
        <v>103</v>
      </c>
      <c r="H102" s="4" t="s">
        <v>104</v>
      </c>
      <c r="I102" s="4"/>
      <c r="J102" s="4"/>
      <c r="K102" s="4">
        <v>224</v>
      </c>
      <c r="L102" s="4">
        <v>27</v>
      </c>
      <c r="M102" s="4">
        <v>3</v>
      </c>
      <c r="N102" s="4" t="s">
        <v>5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4" spans="1:245" x14ac:dyDescent="0.2">
      <c r="A104" s="1">
        <v>4</v>
      </c>
      <c r="B104" s="1">
        <v>1</v>
      </c>
      <c r="C104" s="1"/>
      <c r="D104" s="1">
        <f>ROW(A111)</f>
        <v>111</v>
      </c>
      <c r="E104" s="1"/>
      <c r="F104" s="1" t="s">
        <v>14</v>
      </c>
      <c r="G104" s="1" t="s">
        <v>115</v>
      </c>
      <c r="H104" s="1" t="s">
        <v>5</v>
      </c>
      <c r="I104" s="1">
        <v>0</v>
      </c>
      <c r="J104" s="1"/>
      <c r="K104" s="1">
        <v>0</v>
      </c>
      <c r="L104" s="1"/>
      <c r="M104" s="1" t="s">
        <v>5</v>
      </c>
      <c r="N104" s="1"/>
      <c r="O104" s="1"/>
      <c r="P104" s="1"/>
      <c r="Q104" s="1"/>
      <c r="R104" s="1"/>
      <c r="S104" s="1">
        <v>0</v>
      </c>
      <c r="T104" s="1"/>
      <c r="U104" s="1" t="s">
        <v>5</v>
      </c>
      <c r="V104" s="1">
        <v>0</v>
      </c>
      <c r="W104" s="1"/>
      <c r="X104" s="1"/>
      <c r="Y104" s="1"/>
      <c r="Z104" s="1"/>
      <c r="AA104" s="1"/>
      <c r="AB104" s="1" t="s">
        <v>5</v>
      </c>
      <c r="AC104" s="1" t="s">
        <v>5</v>
      </c>
      <c r="AD104" s="1" t="s">
        <v>5</v>
      </c>
      <c r="AE104" s="1" t="s">
        <v>5</v>
      </c>
      <c r="AF104" s="1" t="s">
        <v>5</v>
      </c>
      <c r="AG104" s="1" t="s">
        <v>5</v>
      </c>
      <c r="AH104" s="1"/>
      <c r="AI104" s="1"/>
      <c r="AJ104" s="1"/>
      <c r="AK104" s="1"/>
      <c r="AL104" s="1"/>
      <c r="AM104" s="1"/>
      <c r="AN104" s="1"/>
      <c r="AO104" s="1"/>
      <c r="AP104" s="1" t="s">
        <v>5</v>
      </c>
      <c r="AQ104" s="1" t="s">
        <v>5</v>
      </c>
      <c r="AR104" s="1" t="s">
        <v>5</v>
      </c>
      <c r="AS104" s="1"/>
      <c r="AT104" s="1"/>
      <c r="AU104" s="1"/>
      <c r="AV104" s="1"/>
      <c r="AW104" s="1"/>
      <c r="AX104" s="1"/>
      <c r="AY104" s="1"/>
      <c r="AZ104" s="1" t="s">
        <v>5</v>
      </c>
      <c r="BA104" s="1"/>
      <c r="BB104" s="1" t="s">
        <v>5</v>
      </c>
      <c r="BC104" s="1" t="s">
        <v>5</v>
      </c>
      <c r="BD104" s="1" t="s">
        <v>5</v>
      </c>
      <c r="BE104" s="1" t="s">
        <v>5</v>
      </c>
      <c r="BF104" s="1" t="s">
        <v>5</v>
      </c>
      <c r="BG104" s="1" t="s">
        <v>5</v>
      </c>
      <c r="BH104" s="1" t="s">
        <v>5</v>
      </c>
      <c r="BI104" s="1" t="s">
        <v>5</v>
      </c>
      <c r="BJ104" s="1" t="s">
        <v>5</v>
      </c>
      <c r="BK104" s="1" t="s">
        <v>5</v>
      </c>
      <c r="BL104" s="1" t="s">
        <v>5</v>
      </c>
      <c r="BM104" s="1" t="s">
        <v>5</v>
      </c>
      <c r="BN104" s="1" t="s">
        <v>5</v>
      </c>
      <c r="BO104" s="1" t="s">
        <v>5</v>
      </c>
      <c r="BP104" s="1" t="s">
        <v>5</v>
      </c>
      <c r="BQ104" s="1"/>
      <c r="BR104" s="1"/>
      <c r="BS104" s="1"/>
      <c r="BT104" s="1"/>
      <c r="BU104" s="1"/>
      <c r="BV104" s="1"/>
      <c r="BW104" s="1"/>
      <c r="BX104" s="1">
        <v>0</v>
      </c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>
        <v>0</v>
      </c>
    </row>
    <row r="106" spans="1:245" x14ac:dyDescent="0.2">
      <c r="A106" s="2">
        <v>52</v>
      </c>
      <c r="B106" s="2">
        <f t="shared" ref="B106:G106" si="72">B111</f>
        <v>1</v>
      </c>
      <c r="C106" s="2">
        <f t="shared" si="72"/>
        <v>4</v>
      </c>
      <c r="D106" s="2">
        <f t="shared" si="72"/>
        <v>104</v>
      </c>
      <c r="E106" s="2">
        <f t="shared" si="72"/>
        <v>0</v>
      </c>
      <c r="F106" s="2" t="str">
        <f t="shared" si="72"/>
        <v>Новый раздел</v>
      </c>
      <c r="G106" s="2" t="str">
        <f t="shared" si="72"/>
        <v>Уход за деревьями с комом земли 1,5х1,5х0,65 м - 4625 шт.</v>
      </c>
      <c r="H106" s="2"/>
      <c r="I106" s="2"/>
      <c r="J106" s="2"/>
      <c r="K106" s="2"/>
      <c r="L106" s="2"/>
      <c r="M106" s="2"/>
      <c r="N106" s="2"/>
      <c r="O106" s="2">
        <f t="shared" ref="O106:AT106" si="73">O111</f>
        <v>3772750.63</v>
      </c>
      <c r="P106" s="2">
        <f t="shared" si="73"/>
        <v>112780.89</v>
      </c>
      <c r="Q106" s="2">
        <f t="shared" si="73"/>
        <v>1512111.97</v>
      </c>
      <c r="R106" s="2">
        <f t="shared" si="73"/>
        <v>254696.14</v>
      </c>
      <c r="S106" s="2">
        <f t="shared" si="73"/>
        <v>2147857.77</v>
      </c>
      <c r="T106" s="2">
        <f t="shared" si="73"/>
        <v>0</v>
      </c>
      <c r="U106" s="2">
        <f t="shared" si="73"/>
        <v>8588.735999999999</v>
      </c>
      <c r="V106" s="2">
        <f t="shared" si="73"/>
        <v>0</v>
      </c>
      <c r="W106" s="2">
        <f t="shared" si="73"/>
        <v>0</v>
      </c>
      <c r="X106" s="2">
        <f t="shared" si="73"/>
        <v>2190814.92</v>
      </c>
      <c r="Y106" s="2">
        <f t="shared" si="73"/>
        <v>1009493.15</v>
      </c>
      <c r="Z106" s="2">
        <f t="shared" si="73"/>
        <v>0</v>
      </c>
      <c r="AA106" s="2">
        <f t="shared" si="73"/>
        <v>0</v>
      </c>
      <c r="AB106" s="2">
        <f t="shared" si="73"/>
        <v>3772750.63</v>
      </c>
      <c r="AC106" s="2">
        <f t="shared" si="73"/>
        <v>112780.89</v>
      </c>
      <c r="AD106" s="2">
        <f t="shared" si="73"/>
        <v>1512111.97</v>
      </c>
      <c r="AE106" s="2">
        <f t="shared" si="73"/>
        <v>254696.14</v>
      </c>
      <c r="AF106" s="2">
        <f t="shared" si="73"/>
        <v>2147857.77</v>
      </c>
      <c r="AG106" s="2">
        <f t="shared" si="73"/>
        <v>0</v>
      </c>
      <c r="AH106" s="2">
        <f t="shared" si="73"/>
        <v>8588.735999999999</v>
      </c>
      <c r="AI106" s="2">
        <f t="shared" si="73"/>
        <v>0</v>
      </c>
      <c r="AJ106" s="2">
        <f t="shared" si="73"/>
        <v>0</v>
      </c>
      <c r="AK106" s="2">
        <f t="shared" si="73"/>
        <v>2190814.92</v>
      </c>
      <c r="AL106" s="2">
        <f t="shared" si="73"/>
        <v>1009493.15</v>
      </c>
      <c r="AM106" s="2">
        <f t="shared" si="73"/>
        <v>0</v>
      </c>
      <c r="AN106" s="2">
        <f t="shared" si="73"/>
        <v>0</v>
      </c>
      <c r="AO106" s="2">
        <f t="shared" si="73"/>
        <v>0</v>
      </c>
      <c r="AP106" s="2">
        <f t="shared" si="73"/>
        <v>0</v>
      </c>
      <c r="AQ106" s="2">
        <f t="shared" si="73"/>
        <v>0</v>
      </c>
      <c r="AR106" s="2">
        <f t="shared" si="73"/>
        <v>7372931.6399999997</v>
      </c>
      <c r="AS106" s="2">
        <f t="shared" si="73"/>
        <v>7372931.6399999997</v>
      </c>
      <c r="AT106" s="2">
        <f t="shared" si="73"/>
        <v>0</v>
      </c>
      <c r="AU106" s="2">
        <f t="shared" ref="AU106:BZ106" si="74">AU111</f>
        <v>0</v>
      </c>
      <c r="AV106" s="2">
        <f t="shared" si="74"/>
        <v>112780.89</v>
      </c>
      <c r="AW106" s="2">
        <f t="shared" si="74"/>
        <v>112780.89</v>
      </c>
      <c r="AX106" s="2">
        <f t="shared" si="74"/>
        <v>0</v>
      </c>
      <c r="AY106" s="2">
        <f t="shared" si="74"/>
        <v>112780.89</v>
      </c>
      <c r="AZ106" s="2">
        <f t="shared" si="74"/>
        <v>0</v>
      </c>
      <c r="BA106" s="2">
        <f t="shared" si="74"/>
        <v>0</v>
      </c>
      <c r="BB106" s="2">
        <f t="shared" si="74"/>
        <v>0</v>
      </c>
      <c r="BC106" s="2">
        <f t="shared" si="74"/>
        <v>0</v>
      </c>
      <c r="BD106" s="2">
        <f t="shared" si="74"/>
        <v>0</v>
      </c>
      <c r="BE106" s="2">
        <f t="shared" si="74"/>
        <v>0</v>
      </c>
      <c r="BF106" s="2">
        <f t="shared" si="74"/>
        <v>0</v>
      </c>
      <c r="BG106" s="2">
        <f t="shared" si="74"/>
        <v>0</v>
      </c>
      <c r="BH106" s="2">
        <f t="shared" si="74"/>
        <v>0</v>
      </c>
      <c r="BI106" s="2">
        <f t="shared" si="74"/>
        <v>0</v>
      </c>
      <c r="BJ106" s="2">
        <f t="shared" si="74"/>
        <v>0</v>
      </c>
      <c r="BK106" s="2">
        <f t="shared" si="74"/>
        <v>0</v>
      </c>
      <c r="BL106" s="2">
        <f t="shared" si="74"/>
        <v>0</v>
      </c>
      <c r="BM106" s="2">
        <f t="shared" si="74"/>
        <v>0</v>
      </c>
      <c r="BN106" s="2">
        <f t="shared" si="74"/>
        <v>0</v>
      </c>
      <c r="BO106" s="2">
        <f t="shared" si="74"/>
        <v>0</v>
      </c>
      <c r="BP106" s="2">
        <f t="shared" si="74"/>
        <v>0</v>
      </c>
      <c r="BQ106" s="2">
        <f t="shared" si="74"/>
        <v>0</v>
      </c>
      <c r="BR106" s="2">
        <f t="shared" si="74"/>
        <v>0</v>
      </c>
      <c r="BS106" s="2">
        <f t="shared" si="74"/>
        <v>0</v>
      </c>
      <c r="BT106" s="2">
        <f t="shared" si="74"/>
        <v>0</v>
      </c>
      <c r="BU106" s="2">
        <f t="shared" si="74"/>
        <v>0</v>
      </c>
      <c r="BV106" s="2">
        <f t="shared" si="74"/>
        <v>0</v>
      </c>
      <c r="BW106" s="2">
        <f t="shared" si="74"/>
        <v>0</v>
      </c>
      <c r="BX106" s="2">
        <f t="shared" si="74"/>
        <v>0</v>
      </c>
      <c r="BY106" s="2">
        <f t="shared" si="74"/>
        <v>0</v>
      </c>
      <c r="BZ106" s="2">
        <f t="shared" si="74"/>
        <v>0</v>
      </c>
      <c r="CA106" s="2">
        <f t="shared" ref="CA106:DF106" si="75">CA111</f>
        <v>7372931.6399999997</v>
      </c>
      <c r="CB106" s="2">
        <f t="shared" si="75"/>
        <v>7372931.6399999997</v>
      </c>
      <c r="CC106" s="2">
        <f t="shared" si="75"/>
        <v>0</v>
      </c>
      <c r="CD106" s="2">
        <f t="shared" si="75"/>
        <v>0</v>
      </c>
      <c r="CE106" s="2">
        <f t="shared" si="75"/>
        <v>112780.89</v>
      </c>
      <c r="CF106" s="2">
        <f t="shared" si="75"/>
        <v>112780.89</v>
      </c>
      <c r="CG106" s="2">
        <f t="shared" si="75"/>
        <v>0</v>
      </c>
      <c r="CH106" s="2">
        <f t="shared" si="75"/>
        <v>112780.89</v>
      </c>
      <c r="CI106" s="2">
        <f t="shared" si="75"/>
        <v>0</v>
      </c>
      <c r="CJ106" s="2">
        <f t="shared" si="75"/>
        <v>0</v>
      </c>
      <c r="CK106" s="2">
        <f t="shared" si="75"/>
        <v>0</v>
      </c>
      <c r="CL106" s="2">
        <f t="shared" si="75"/>
        <v>0</v>
      </c>
      <c r="CM106" s="2">
        <f t="shared" si="75"/>
        <v>0</v>
      </c>
      <c r="CN106" s="2">
        <f t="shared" si="75"/>
        <v>0</v>
      </c>
      <c r="CO106" s="2">
        <f t="shared" si="75"/>
        <v>0</v>
      </c>
      <c r="CP106" s="2">
        <f t="shared" si="75"/>
        <v>0</v>
      </c>
      <c r="CQ106" s="2">
        <f t="shared" si="75"/>
        <v>0</v>
      </c>
      <c r="CR106" s="2">
        <f t="shared" si="75"/>
        <v>0</v>
      </c>
      <c r="CS106" s="2">
        <f t="shared" si="75"/>
        <v>0</v>
      </c>
      <c r="CT106" s="2">
        <f t="shared" si="75"/>
        <v>0</v>
      </c>
      <c r="CU106" s="2">
        <f t="shared" si="75"/>
        <v>0</v>
      </c>
      <c r="CV106" s="2">
        <f t="shared" si="75"/>
        <v>0</v>
      </c>
      <c r="CW106" s="2">
        <f t="shared" si="75"/>
        <v>0</v>
      </c>
      <c r="CX106" s="2">
        <f t="shared" si="75"/>
        <v>0</v>
      </c>
      <c r="CY106" s="2">
        <f t="shared" si="75"/>
        <v>0</v>
      </c>
      <c r="CZ106" s="2">
        <f t="shared" si="75"/>
        <v>0</v>
      </c>
      <c r="DA106" s="2">
        <f t="shared" si="75"/>
        <v>0</v>
      </c>
      <c r="DB106" s="2">
        <f t="shared" si="75"/>
        <v>0</v>
      </c>
      <c r="DC106" s="2">
        <f t="shared" si="75"/>
        <v>0</v>
      </c>
      <c r="DD106" s="2">
        <f t="shared" si="75"/>
        <v>0</v>
      </c>
      <c r="DE106" s="2">
        <f t="shared" si="75"/>
        <v>0</v>
      </c>
      <c r="DF106" s="2">
        <f t="shared" si="75"/>
        <v>0</v>
      </c>
      <c r="DG106" s="3">
        <f t="shared" ref="DG106:EL106" si="76">DG111</f>
        <v>0</v>
      </c>
      <c r="DH106" s="3">
        <f t="shared" si="76"/>
        <v>0</v>
      </c>
      <c r="DI106" s="3">
        <f t="shared" si="76"/>
        <v>0</v>
      </c>
      <c r="DJ106" s="3">
        <f t="shared" si="76"/>
        <v>0</v>
      </c>
      <c r="DK106" s="3">
        <f t="shared" si="76"/>
        <v>0</v>
      </c>
      <c r="DL106" s="3">
        <f t="shared" si="76"/>
        <v>0</v>
      </c>
      <c r="DM106" s="3">
        <f t="shared" si="76"/>
        <v>0</v>
      </c>
      <c r="DN106" s="3">
        <f t="shared" si="76"/>
        <v>0</v>
      </c>
      <c r="DO106" s="3">
        <f t="shared" si="76"/>
        <v>0</v>
      </c>
      <c r="DP106" s="3">
        <f t="shared" si="76"/>
        <v>0</v>
      </c>
      <c r="DQ106" s="3">
        <f t="shared" si="76"/>
        <v>0</v>
      </c>
      <c r="DR106" s="3">
        <f t="shared" si="76"/>
        <v>0</v>
      </c>
      <c r="DS106" s="3">
        <f t="shared" si="76"/>
        <v>0</v>
      </c>
      <c r="DT106" s="3">
        <f t="shared" si="76"/>
        <v>0</v>
      </c>
      <c r="DU106" s="3">
        <f t="shared" si="76"/>
        <v>0</v>
      </c>
      <c r="DV106" s="3">
        <f t="shared" si="76"/>
        <v>0</v>
      </c>
      <c r="DW106" s="3">
        <f t="shared" si="76"/>
        <v>0</v>
      </c>
      <c r="DX106" s="3">
        <f t="shared" si="76"/>
        <v>0</v>
      </c>
      <c r="DY106" s="3">
        <f t="shared" si="76"/>
        <v>0</v>
      </c>
      <c r="DZ106" s="3">
        <f t="shared" si="76"/>
        <v>0</v>
      </c>
      <c r="EA106" s="3">
        <f t="shared" si="76"/>
        <v>0</v>
      </c>
      <c r="EB106" s="3">
        <f t="shared" si="76"/>
        <v>0</v>
      </c>
      <c r="EC106" s="3">
        <f t="shared" si="76"/>
        <v>0</v>
      </c>
      <c r="ED106" s="3">
        <f t="shared" si="76"/>
        <v>0</v>
      </c>
      <c r="EE106" s="3">
        <f t="shared" si="76"/>
        <v>0</v>
      </c>
      <c r="EF106" s="3">
        <f t="shared" si="76"/>
        <v>0</v>
      </c>
      <c r="EG106" s="3">
        <f t="shared" si="76"/>
        <v>0</v>
      </c>
      <c r="EH106" s="3">
        <f t="shared" si="76"/>
        <v>0</v>
      </c>
      <c r="EI106" s="3">
        <f t="shared" si="76"/>
        <v>0</v>
      </c>
      <c r="EJ106" s="3">
        <f t="shared" si="76"/>
        <v>0</v>
      </c>
      <c r="EK106" s="3">
        <f t="shared" si="76"/>
        <v>0</v>
      </c>
      <c r="EL106" s="3">
        <f t="shared" si="76"/>
        <v>0</v>
      </c>
      <c r="EM106" s="3">
        <f t="shared" ref="EM106:FR106" si="77">EM111</f>
        <v>0</v>
      </c>
      <c r="EN106" s="3">
        <f t="shared" si="77"/>
        <v>0</v>
      </c>
      <c r="EO106" s="3">
        <f t="shared" si="77"/>
        <v>0</v>
      </c>
      <c r="EP106" s="3">
        <f t="shared" si="77"/>
        <v>0</v>
      </c>
      <c r="EQ106" s="3">
        <f t="shared" si="77"/>
        <v>0</v>
      </c>
      <c r="ER106" s="3">
        <f t="shared" si="77"/>
        <v>0</v>
      </c>
      <c r="ES106" s="3">
        <f t="shared" si="77"/>
        <v>0</v>
      </c>
      <c r="ET106" s="3">
        <f t="shared" si="77"/>
        <v>0</v>
      </c>
      <c r="EU106" s="3">
        <f t="shared" si="77"/>
        <v>0</v>
      </c>
      <c r="EV106" s="3">
        <f t="shared" si="77"/>
        <v>0</v>
      </c>
      <c r="EW106" s="3">
        <f t="shared" si="77"/>
        <v>0</v>
      </c>
      <c r="EX106" s="3">
        <f t="shared" si="77"/>
        <v>0</v>
      </c>
      <c r="EY106" s="3">
        <f t="shared" si="77"/>
        <v>0</v>
      </c>
      <c r="EZ106" s="3">
        <f t="shared" si="77"/>
        <v>0</v>
      </c>
      <c r="FA106" s="3">
        <f t="shared" si="77"/>
        <v>0</v>
      </c>
      <c r="FB106" s="3">
        <f t="shared" si="77"/>
        <v>0</v>
      </c>
      <c r="FC106" s="3">
        <f t="shared" si="77"/>
        <v>0</v>
      </c>
      <c r="FD106" s="3">
        <f t="shared" si="77"/>
        <v>0</v>
      </c>
      <c r="FE106" s="3">
        <f t="shared" si="77"/>
        <v>0</v>
      </c>
      <c r="FF106" s="3">
        <f t="shared" si="77"/>
        <v>0</v>
      </c>
      <c r="FG106" s="3">
        <f t="shared" si="77"/>
        <v>0</v>
      </c>
      <c r="FH106" s="3">
        <f t="shared" si="77"/>
        <v>0</v>
      </c>
      <c r="FI106" s="3">
        <f t="shared" si="77"/>
        <v>0</v>
      </c>
      <c r="FJ106" s="3">
        <f t="shared" si="77"/>
        <v>0</v>
      </c>
      <c r="FK106" s="3">
        <f t="shared" si="77"/>
        <v>0</v>
      </c>
      <c r="FL106" s="3">
        <f t="shared" si="77"/>
        <v>0</v>
      </c>
      <c r="FM106" s="3">
        <f t="shared" si="77"/>
        <v>0</v>
      </c>
      <c r="FN106" s="3">
        <f t="shared" si="77"/>
        <v>0</v>
      </c>
      <c r="FO106" s="3">
        <f t="shared" si="77"/>
        <v>0</v>
      </c>
      <c r="FP106" s="3">
        <f t="shared" si="77"/>
        <v>0</v>
      </c>
      <c r="FQ106" s="3">
        <f t="shared" si="77"/>
        <v>0</v>
      </c>
      <c r="FR106" s="3">
        <f t="shared" si="77"/>
        <v>0</v>
      </c>
      <c r="FS106" s="3">
        <f t="shared" ref="FS106:GX106" si="78">FS111</f>
        <v>0</v>
      </c>
      <c r="FT106" s="3">
        <f t="shared" si="78"/>
        <v>0</v>
      </c>
      <c r="FU106" s="3">
        <f t="shared" si="78"/>
        <v>0</v>
      </c>
      <c r="FV106" s="3">
        <f t="shared" si="78"/>
        <v>0</v>
      </c>
      <c r="FW106" s="3">
        <f t="shared" si="78"/>
        <v>0</v>
      </c>
      <c r="FX106" s="3">
        <f t="shared" si="78"/>
        <v>0</v>
      </c>
      <c r="FY106" s="3">
        <f t="shared" si="78"/>
        <v>0</v>
      </c>
      <c r="FZ106" s="3">
        <f t="shared" si="78"/>
        <v>0</v>
      </c>
      <c r="GA106" s="3">
        <f t="shared" si="78"/>
        <v>0</v>
      </c>
      <c r="GB106" s="3">
        <f t="shared" si="78"/>
        <v>0</v>
      </c>
      <c r="GC106" s="3">
        <f t="shared" si="78"/>
        <v>0</v>
      </c>
      <c r="GD106" s="3">
        <f t="shared" si="78"/>
        <v>0</v>
      </c>
      <c r="GE106" s="3">
        <f t="shared" si="78"/>
        <v>0</v>
      </c>
      <c r="GF106" s="3">
        <f t="shared" si="78"/>
        <v>0</v>
      </c>
      <c r="GG106" s="3">
        <f t="shared" si="78"/>
        <v>0</v>
      </c>
      <c r="GH106" s="3">
        <f t="shared" si="78"/>
        <v>0</v>
      </c>
      <c r="GI106" s="3">
        <f t="shared" si="78"/>
        <v>0</v>
      </c>
      <c r="GJ106" s="3">
        <f t="shared" si="78"/>
        <v>0</v>
      </c>
      <c r="GK106" s="3">
        <f t="shared" si="78"/>
        <v>0</v>
      </c>
      <c r="GL106" s="3">
        <f t="shared" si="78"/>
        <v>0</v>
      </c>
      <c r="GM106" s="3">
        <f t="shared" si="78"/>
        <v>0</v>
      </c>
      <c r="GN106" s="3">
        <f t="shared" si="78"/>
        <v>0</v>
      </c>
      <c r="GO106" s="3">
        <f t="shared" si="78"/>
        <v>0</v>
      </c>
      <c r="GP106" s="3">
        <f t="shared" si="78"/>
        <v>0</v>
      </c>
      <c r="GQ106" s="3">
        <f t="shared" si="78"/>
        <v>0</v>
      </c>
      <c r="GR106" s="3">
        <f t="shared" si="78"/>
        <v>0</v>
      </c>
      <c r="GS106" s="3">
        <f t="shared" si="78"/>
        <v>0</v>
      </c>
      <c r="GT106" s="3">
        <f t="shared" si="78"/>
        <v>0</v>
      </c>
      <c r="GU106" s="3">
        <f t="shared" si="78"/>
        <v>0</v>
      </c>
      <c r="GV106" s="3">
        <f t="shared" si="78"/>
        <v>0</v>
      </c>
      <c r="GW106" s="3">
        <f t="shared" si="78"/>
        <v>0</v>
      </c>
      <c r="GX106" s="3">
        <f t="shared" si="78"/>
        <v>0</v>
      </c>
    </row>
    <row r="108" spans="1:245" x14ac:dyDescent="0.2">
      <c r="A108">
        <v>17</v>
      </c>
      <c r="B108">
        <v>1</v>
      </c>
      <c r="C108">
        <f>ROW(SmtRes!A27)</f>
        <v>27</v>
      </c>
      <c r="D108">
        <f>ROW(EtalonRes!A29)</f>
        <v>29</v>
      </c>
      <c r="E108" t="s">
        <v>116</v>
      </c>
      <c r="F108" t="s">
        <v>117</v>
      </c>
      <c r="G108" t="s">
        <v>118</v>
      </c>
      <c r="H108" t="s">
        <v>119</v>
      </c>
      <c r="I108">
        <f>ROUND(30*5.76/1000*4625,9)</f>
        <v>799.2</v>
      </c>
      <c r="J108">
        <v>0</v>
      </c>
      <c r="O108">
        <f>ROUND(CP108,2)</f>
        <v>1991464.9</v>
      </c>
      <c r="P108">
        <f>ROUND((ROUND((AC108*AW108*I108),2)*BC108),2)</f>
        <v>112780.89</v>
      </c>
      <c r="Q108">
        <f>(ROUND((ROUND((((ET108*4))*AV108*I108),2)*BB108),2)+ROUND((ROUND(((AE108-((EU108*4)))*AV108*I108),2)*BS108),2))</f>
        <v>1512111.97</v>
      </c>
      <c r="R108">
        <f>ROUND((ROUND((AE108*AV108*I108),2)*BS108),2)</f>
        <v>254696.14</v>
      </c>
      <c r="S108">
        <f>ROUND((ROUND((AF108*AV108*I108),2)*BA108),2)</f>
        <v>366572.04</v>
      </c>
      <c r="T108">
        <f>ROUND(CU108*I108,2)</f>
        <v>0</v>
      </c>
      <c r="U108">
        <f>CV108*I108</f>
        <v>1566.432</v>
      </c>
      <c r="V108">
        <f>CW108*I108</f>
        <v>0</v>
      </c>
      <c r="W108">
        <f>ROUND(CX108*I108,2)</f>
        <v>0</v>
      </c>
      <c r="X108">
        <f>ROUND(CY108,2)</f>
        <v>373903.48</v>
      </c>
      <c r="Y108">
        <f>ROUND(CZ108,2)</f>
        <v>172288.86</v>
      </c>
      <c r="AA108">
        <v>49688178</v>
      </c>
      <c r="AB108">
        <f>ROUND((AC108+AD108+AF108),6)</f>
        <v>283.56</v>
      </c>
      <c r="AC108">
        <f>ROUND(((ES108*4)),6)</f>
        <v>28.28</v>
      </c>
      <c r="AD108">
        <f>ROUND(((((ET108*4))-((EU108*4)))+AE108),6)</f>
        <v>236.8</v>
      </c>
      <c r="AE108">
        <f>ROUND(((EU108*4)),6)</f>
        <v>12.84</v>
      </c>
      <c r="AF108">
        <f>ROUND(((EV108*4)),6)</f>
        <v>18.48</v>
      </c>
      <c r="AG108">
        <f>ROUND((AP108),6)</f>
        <v>0</v>
      </c>
      <c r="AH108">
        <f>((EW108*4))</f>
        <v>1.96</v>
      </c>
      <c r="AI108">
        <f>((EX108*4))</f>
        <v>0</v>
      </c>
      <c r="AJ108">
        <f>(AS108)</f>
        <v>0</v>
      </c>
      <c r="AK108">
        <v>70.89</v>
      </c>
      <c r="AL108">
        <v>7.07</v>
      </c>
      <c r="AM108">
        <v>59.2</v>
      </c>
      <c r="AN108">
        <v>3.21</v>
      </c>
      <c r="AO108">
        <v>4.62</v>
      </c>
      <c r="AP108">
        <v>0</v>
      </c>
      <c r="AQ108">
        <v>0.49</v>
      </c>
      <c r="AR108">
        <v>0</v>
      </c>
      <c r="AS108">
        <v>0</v>
      </c>
      <c r="AT108">
        <v>102</v>
      </c>
      <c r="AU108">
        <v>47</v>
      </c>
      <c r="AV108">
        <v>1</v>
      </c>
      <c r="AW108">
        <v>1</v>
      </c>
      <c r="AZ108">
        <v>1</v>
      </c>
      <c r="BA108">
        <v>24.82</v>
      </c>
      <c r="BB108">
        <v>7.99</v>
      </c>
      <c r="BC108">
        <v>4.99</v>
      </c>
      <c r="BD108" t="s">
        <v>5</v>
      </c>
      <c r="BE108" t="s">
        <v>5</v>
      </c>
      <c r="BF108" t="s">
        <v>5</v>
      </c>
      <c r="BG108" t="s">
        <v>5</v>
      </c>
      <c r="BH108">
        <v>0</v>
      </c>
      <c r="BI108">
        <v>1</v>
      </c>
      <c r="BJ108" t="s">
        <v>120</v>
      </c>
      <c r="BM108">
        <v>297</v>
      </c>
      <c r="BN108">
        <v>0</v>
      </c>
      <c r="BO108" t="s">
        <v>117</v>
      </c>
      <c r="BP108">
        <v>1</v>
      </c>
      <c r="BQ108">
        <v>30</v>
      </c>
      <c r="BR108">
        <v>0</v>
      </c>
      <c r="BS108">
        <v>24.82</v>
      </c>
      <c r="BT108">
        <v>1</v>
      </c>
      <c r="BU108">
        <v>1</v>
      </c>
      <c r="BV108">
        <v>1</v>
      </c>
      <c r="BW108">
        <v>1</v>
      </c>
      <c r="BX108">
        <v>1</v>
      </c>
      <c r="BY108" t="s">
        <v>5</v>
      </c>
      <c r="BZ108">
        <v>102</v>
      </c>
      <c r="CA108">
        <v>47</v>
      </c>
      <c r="CE108">
        <v>30</v>
      </c>
      <c r="CF108">
        <v>0</v>
      </c>
      <c r="CG108">
        <v>0</v>
      </c>
      <c r="CM108">
        <v>0</v>
      </c>
      <c r="CN108" t="s">
        <v>5</v>
      </c>
      <c r="CO108">
        <v>0</v>
      </c>
      <c r="CP108">
        <f>(P108+Q108+S108)</f>
        <v>1991464.9</v>
      </c>
      <c r="CQ108">
        <f>ROUND((ROUND((AC108*AW108*1),2)*BC108),2)</f>
        <v>141.12</v>
      </c>
      <c r="CR108">
        <f>(ROUND((ROUND((((ET108*4))*AV108*1),2)*BB108),2)+ROUND((ROUND(((AE108-((EU108*4)))*AV108*1),2)*BS108),2))</f>
        <v>1892.03</v>
      </c>
      <c r="CS108">
        <f>ROUND((ROUND((AE108*AV108*1),2)*BS108),2)</f>
        <v>318.69</v>
      </c>
      <c r="CT108">
        <f>ROUND((ROUND((AF108*AV108*1),2)*BA108),2)</f>
        <v>458.67</v>
      </c>
      <c r="CU108">
        <f>AG108</f>
        <v>0</v>
      </c>
      <c r="CV108">
        <f>(AH108*AV108)</f>
        <v>1.96</v>
      </c>
      <c r="CW108">
        <f>AI108</f>
        <v>0</v>
      </c>
      <c r="CX108">
        <f>AJ108</f>
        <v>0</v>
      </c>
      <c r="CY108">
        <f>S108*(BZ108/100)</f>
        <v>373903.48079999996</v>
      </c>
      <c r="CZ108">
        <f>S108*(CA108/100)</f>
        <v>172288.85879999999</v>
      </c>
      <c r="DC108" t="s">
        <v>5</v>
      </c>
      <c r="DD108" t="s">
        <v>121</v>
      </c>
      <c r="DE108" t="s">
        <v>121</v>
      </c>
      <c r="DF108" t="s">
        <v>121</v>
      </c>
      <c r="DG108" t="s">
        <v>121</v>
      </c>
      <c r="DH108" t="s">
        <v>5</v>
      </c>
      <c r="DI108" t="s">
        <v>121</v>
      </c>
      <c r="DJ108" t="s">
        <v>121</v>
      </c>
      <c r="DK108" t="s">
        <v>5</v>
      </c>
      <c r="DL108" t="s">
        <v>5</v>
      </c>
      <c r="DM108" t="s">
        <v>5</v>
      </c>
      <c r="DN108">
        <v>187</v>
      </c>
      <c r="DO108">
        <v>101</v>
      </c>
      <c r="DP108">
        <v>1</v>
      </c>
      <c r="DQ108">
        <v>1</v>
      </c>
      <c r="DU108">
        <v>1013</v>
      </c>
      <c r="DV108" t="s">
        <v>119</v>
      </c>
      <c r="DW108" t="s">
        <v>119</v>
      </c>
      <c r="DX108">
        <v>1</v>
      </c>
      <c r="DZ108" t="s">
        <v>5</v>
      </c>
      <c r="EA108" t="s">
        <v>5</v>
      </c>
      <c r="EB108" t="s">
        <v>5</v>
      </c>
      <c r="EC108" t="s">
        <v>5</v>
      </c>
      <c r="EE108">
        <v>49387993</v>
      </c>
      <c r="EF108">
        <v>30</v>
      </c>
      <c r="EG108" t="s">
        <v>21</v>
      </c>
      <c r="EH108">
        <v>0</v>
      </c>
      <c r="EI108" t="s">
        <v>5</v>
      </c>
      <c r="EJ108">
        <v>1</v>
      </c>
      <c r="EK108">
        <v>297</v>
      </c>
      <c r="EL108" t="s">
        <v>122</v>
      </c>
      <c r="EM108" t="s">
        <v>123</v>
      </c>
      <c r="EO108" t="s">
        <v>5</v>
      </c>
      <c r="EQ108">
        <v>0</v>
      </c>
      <c r="ER108">
        <v>70.89</v>
      </c>
      <c r="ES108">
        <v>7.07</v>
      </c>
      <c r="ET108">
        <v>59.2</v>
      </c>
      <c r="EU108">
        <v>3.21</v>
      </c>
      <c r="EV108">
        <v>4.62</v>
      </c>
      <c r="EW108">
        <v>0.49</v>
      </c>
      <c r="EX108">
        <v>0</v>
      </c>
      <c r="EY108">
        <v>0</v>
      </c>
      <c r="FQ108">
        <v>0</v>
      </c>
      <c r="FR108">
        <f>ROUND(IF(AND(BH108=3,BI108=3),P108,0),2)</f>
        <v>0</v>
      </c>
      <c r="FS108">
        <v>0</v>
      </c>
      <c r="FX108">
        <v>187</v>
      </c>
      <c r="FY108">
        <v>101</v>
      </c>
      <c r="GA108" t="s">
        <v>5</v>
      </c>
      <c r="GD108">
        <v>0</v>
      </c>
      <c r="GF108">
        <v>196013782</v>
      </c>
      <c r="GG108">
        <v>2</v>
      </c>
      <c r="GH108">
        <v>1</v>
      </c>
      <c r="GI108">
        <v>2</v>
      </c>
      <c r="GJ108">
        <v>0</v>
      </c>
      <c r="GK108">
        <f>ROUND(R108*(R12)/100,2)</f>
        <v>399872.94</v>
      </c>
      <c r="GL108">
        <f>ROUND(IF(AND(BH108=3,BI108=3,FS108&lt;&gt;0),P108,0),2)</f>
        <v>0</v>
      </c>
      <c r="GM108">
        <f>ROUND(O108+X108+Y108+GK108,2)+GX108</f>
        <v>2937530.18</v>
      </c>
      <c r="GN108">
        <f>IF(OR(BI108=0,BI108=1),ROUND(O108+X108+Y108+GK108,2),0)</f>
        <v>2937530.18</v>
      </c>
      <c r="GO108">
        <f>IF(BI108=2,ROUND(O108+X108+Y108+GK108,2),0)</f>
        <v>0</v>
      </c>
      <c r="GP108">
        <f>IF(BI108=4,ROUND(O108+X108+Y108+GK108,2)+GX108,0)</f>
        <v>0</v>
      </c>
      <c r="GR108">
        <v>0</v>
      </c>
      <c r="GS108">
        <v>3</v>
      </c>
      <c r="GT108">
        <v>0</v>
      </c>
      <c r="GU108" t="s">
        <v>5</v>
      </c>
      <c r="GV108">
        <f>ROUND((GT108),6)</f>
        <v>0</v>
      </c>
      <c r="GW108">
        <v>1</v>
      </c>
      <c r="GX108">
        <f>ROUND(HC108*I108,2)</f>
        <v>0</v>
      </c>
      <c r="HA108">
        <v>0</v>
      </c>
      <c r="HB108">
        <v>0</v>
      </c>
      <c r="HC108">
        <f>GV108*GW108</f>
        <v>0</v>
      </c>
      <c r="HE108" t="s">
        <v>5</v>
      </c>
      <c r="HF108" t="s">
        <v>5</v>
      </c>
      <c r="IK108">
        <v>0</v>
      </c>
    </row>
    <row r="109" spans="1:245" x14ac:dyDescent="0.2">
      <c r="A109">
        <v>17</v>
      </c>
      <c r="B109">
        <v>1</v>
      </c>
      <c r="C109">
        <f>ROW(SmtRes!A28)</f>
        <v>28</v>
      </c>
      <c r="D109">
        <f>ROW(EtalonRes!A30)</f>
        <v>30</v>
      </c>
      <c r="E109" t="s">
        <v>124</v>
      </c>
      <c r="F109" t="s">
        <v>125</v>
      </c>
      <c r="G109" t="s">
        <v>126</v>
      </c>
      <c r="H109" t="s">
        <v>127</v>
      </c>
      <c r="I109">
        <f>ROUND((5.76*4625)/100,9)</f>
        <v>266.39999999999998</v>
      </c>
      <c r="J109">
        <v>0</v>
      </c>
      <c r="O109">
        <f>ROUND(CP109,2)</f>
        <v>1781285.73</v>
      </c>
      <c r="P109">
        <f>ROUND((ROUND((AC109*AW109*I109),2)*BC109),2)</f>
        <v>0</v>
      </c>
      <c r="Q109">
        <f>(ROUND((ROUND((((ET109*4))*AV109*I109),2)*BB109),2)+ROUND((ROUND(((AE109-((EU109*4)))*AV109*I109),2)*BS109),2))</f>
        <v>0</v>
      </c>
      <c r="R109">
        <f>ROUND((ROUND((AE109*AV109*I109),2)*BS109),2)</f>
        <v>0</v>
      </c>
      <c r="S109">
        <f>ROUND((ROUND((AF109*AV109*I109),2)*BA109),2)</f>
        <v>1781285.73</v>
      </c>
      <c r="T109">
        <f>ROUND(CU109*I109,2)</f>
        <v>0</v>
      </c>
      <c r="U109">
        <f>CV109*I109</f>
        <v>7022.3039999999992</v>
      </c>
      <c r="V109">
        <f>CW109*I109</f>
        <v>0</v>
      </c>
      <c r="W109">
        <f>ROUND(CX109*I109,2)</f>
        <v>0</v>
      </c>
      <c r="X109">
        <f>ROUND(CY109,2)</f>
        <v>1816911.44</v>
      </c>
      <c r="Y109">
        <f>ROUND(CZ109,2)</f>
        <v>837204.29</v>
      </c>
      <c r="AA109">
        <v>49688178</v>
      </c>
      <c r="AB109">
        <f>ROUND((AC109+AD109+AF109),6)</f>
        <v>269.39999999999998</v>
      </c>
      <c r="AC109">
        <f>ROUND(((ES109*4)),6)</f>
        <v>0</v>
      </c>
      <c r="AD109">
        <f>ROUND(((((ET109*4))-((EU109*4)))+AE109),6)</f>
        <v>0</v>
      </c>
      <c r="AE109">
        <f>ROUND(((EU109*4)),6)</f>
        <v>0</v>
      </c>
      <c r="AF109">
        <f>ROUND(((EV109*4)),6)</f>
        <v>269.39999999999998</v>
      </c>
      <c r="AG109">
        <f>ROUND((AP109),6)</f>
        <v>0</v>
      </c>
      <c r="AH109">
        <f>((EW109*4))</f>
        <v>26.36</v>
      </c>
      <c r="AI109">
        <f>((EX109*4))</f>
        <v>0</v>
      </c>
      <c r="AJ109">
        <f>(AS109)</f>
        <v>0</v>
      </c>
      <c r="AK109">
        <v>67.349999999999994</v>
      </c>
      <c r="AL109">
        <v>0</v>
      </c>
      <c r="AM109">
        <v>0</v>
      </c>
      <c r="AN109">
        <v>0</v>
      </c>
      <c r="AO109">
        <v>67.349999999999994</v>
      </c>
      <c r="AP109">
        <v>0</v>
      </c>
      <c r="AQ109">
        <v>6.59</v>
      </c>
      <c r="AR109">
        <v>0</v>
      </c>
      <c r="AS109">
        <v>0</v>
      </c>
      <c r="AT109">
        <v>102</v>
      </c>
      <c r="AU109">
        <v>47</v>
      </c>
      <c r="AV109">
        <v>1</v>
      </c>
      <c r="AW109">
        <v>1</v>
      </c>
      <c r="AZ109">
        <v>1</v>
      </c>
      <c r="BA109">
        <v>24.82</v>
      </c>
      <c r="BB109">
        <v>1</v>
      </c>
      <c r="BC109">
        <v>1</v>
      </c>
      <c r="BD109" t="s">
        <v>5</v>
      </c>
      <c r="BE109" t="s">
        <v>5</v>
      </c>
      <c r="BF109" t="s">
        <v>5</v>
      </c>
      <c r="BG109" t="s">
        <v>5</v>
      </c>
      <c r="BH109">
        <v>0</v>
      </c>
      <c r="BI109">
        <v>1</v>
      </c>
      <c r="BJ109" t="s">
        <v>128</v>
      </c>
      <c r="BM109">
        <v>297</v>
      </c>
      <c r="BN109">
        <v>0</v>
      </c>
      <c r="BO109" t="s">
        <v>125</v>
      </c>
      <c r="BP109">
        <v>1</v>
      </c>
      <c r="BQ109">
        <v>30</v>
      </c>
      <c r="BR109">
        <v>0</v>
      </c>
      <c r="BS109">
        <v>24.82</v>
      </c>
      <c r="BT109">
        <v>1</v>
      </c>
      <c r="BU109">
        <v>1</v>
      </c>
      <c r="BV109">
        <v>1</v>
      </c>
      <c r="BW109">
        <v>1</v>
      </c>
      <c r="BX109">
        <v>1</v>
      </c>
      <c r="BY109" t="s">
        <v>5</v>
      </c>
      <c r="BZ109">
        <v>102</v>
      </c>
      <c r="CA109">
        <v>47</v>
      </c>
      <c r="CE109">
        <v>30</v>
      </c>
      <c r="CF109">
        <v>0</v>
      </c>
      <c r="CG109">
        <v>0</v>
      </c>
      <c r="CM109">
        <v>0</v>
      </c>
      <c r="CN109" t="s">
        <v>5</v>
      </c>
      <c r="CO109">
        <v>0</v>
      </c>
      <c r="CP109">
        <f>(P109+Q109+S109)</f>
        <v>1781285.73</v>
      </c>
      <c r="CQ109">
        <f>ROUND((ROUND((AC109*AW109*1),2)*BC109),2)</f>
        <v>0</v>
      </c>
      <c r="CR109">
        <f>(ROUND((ROUND((((ET109*4))*AV109*1),2)*BB109),2)+ROUND((ROUND(((AE109-((EU109*4)))*AV109*1),2)*BS109),2))</f>
        <v>0</v>
      </c>
      <c r="CS109">
        <f>ROUND((ROUND((AE109*AV109*1),2)*BS109),2)</f>
        <v>0</v>
      </c>
      <c r="CT109">
        <f>ROUND((ROUND((AF109*AV109*1),2)*BA109),2)</f>
        <v>6686.51</v>
      </c>
      <c r="CU109">
        <f>AG109</f>
        <v>0</v>
      </c>
      <c r="CV109">
        <f>(AH109*AV109)</f>
        <v>26.36</v>
      </c>
      <c r="CW109">
        <f>AI109</f>
        <v>0</v>
      </c>
      <c r="CX109">
        <f>AJ109</f>
        <v>0</v>
      </c>
      <c r="CY109">
        <f>S109*(BZ109/100)</f>
        <v>1816911.4446</v>
      </c>
      <c r="CZ109">
        <f>S109*(CA109/100)</f>
        <v>837204.29309999989</v>
      </c>
      <c r="DC109" t="s">
        <v>5</v>
      </c>
      <c r="DD109" t="s">
        <v>121</v>
      </c>
      <c r="DE109" t="s">
        <v>121</v>
      </c>
      <c r="DF109" t="s">
        <v>121</v>
      </c>
      <c r="DG109" t="s">
        <v>121</v>
      </c>
      <c r="DH109" t="s">
        <v>5</v>
      </c>
      <c r="DI109" t="s">
        <v>121</v>
      </c>
      <c r="DJ109" t="s">
        <v>121</v>
      </c>
      <c r="DK109" t="s">
        <v>5</v>
      </c>
      <c r="DL109" t="s">
        <v>5</v>
      </c>
      <c r="DM109" t="s">
        <v>5</v>
      </c>
      <c r="DN109">
        <v>187</v>
      </c>
      <c r="DO109">
        <v>101</v>
      </c>
      <c r="DP109">
        <v>1</v>
      </c>
      <c r="DQ109">
        <v>1</v>
      </c>
      <c r="DU109">
        <v>1013</v>
      </c>
      <c r="DV109" t="s">
        <v>127</v>
      </c>
      <c r="DW109" t="s">
        <v>127</v>
      </c>
      <c r="DX109">
        <v>1</v>
      </c>
      <c r="DZ109" t="s">
        <v>5</v>
      </c>
      <c r="EA109" t="s">
        <v>5</v>
      </c>
      <c r="EB109" t="s">
        <v>5</v>
      </c>
      <c r="EC109" t="s">
        <v>5</v>
      </c>
      <c r="EE109">
        <v>49387993</v>
      </c>
      <c r="EF109">
        <v>30</v>
      </c>
      <c r="EG109" t="s">
        <v>21</v>
      </c>
      <c r="EH109">
        <v>0</v>
      </c>
      <c r="EI109" t="s">
        <v>5</v>
      </c>
      <c r="EJ109">
        <v>1</v>
      </c>
      <c r="EK109">
        <v>297</v>
      </c>
      <c r="EL109" t="s">
        <v>122</v>
      </c>
      <c r="EM109" t="s">
        <v>123</v>
      </c>
      <c r="EO109" t="s">
        <v>5</v>
      </c>
      <c r="EQ109">
        <v>0</v>
      </c>
      <c r="ER109">
        <v>67.349999999999994</v>
      </c>
      <c r="ES109">
        <v>0</v>
      </c>
      <c r="ET109">
        <v>0</v>
      </c>
      <c r="EU109">
        <v>0</v>
      </c>
      <c r="EV109">
        <v>67.349999999999994</v>
      </c>
      <c r="EW109">
        <v>6.59</v>
      </c>
      <c r="EX109">
        <v>0</v>
      </c>
      <c r="EY109">
        <v>0</v>
      </c>
      <c r="FQ109">
        <v>0</v>
      </c>
      <c r="FR109">
        <f>ROUND(IF(AND(BH109=3,BI109=3),P109,0),2)</f>
        <v>0</v>
      </c>
      <c r="FS109">
        <v>0</v>
      </c>
      <c r="FX109">
        <v>187</v>
      </c>
      <c r="FY109">
        <v>101</v>
      </c>
      <c r="GA109" t="s">
        <v>5</v>
      </c>
      <c r="GD109">
        <v>0</v>
      </c>
      <c r="GF109">
        <v>699904863</v>
      </c>
      <c r="GG109">
        <v>2</v>
      </c>
      <c r="GH109">
        <v>1</v>
      </c>
      <c r="GI109">
        <v>2</v>
      </c>
      <c r="GJ109">
        <v>0</v>
      </c>
      <c r="GK109">
        <f>ROUND(R109*(R12)/100,2)</f>
        <v>0</v>
      </c>
      <c r="GL109">
        <f>ROUND(IF(AND(BH109=3,BI109=3,FS109&lt;&gt;0),P109,0),2)</f>
        <v>0</v>
      </c>
      <c r="GM109">
        <f>ROUND(O109+X109+Y109+GK109,2)+GX109</f>
        <v>4435401.46</v>
      </c>
      <c r="GN109">
        <f>IF(OR(BI109=0,BI109=1),ROUND(O109+X109+Y109+GK109,2),0)</f>
        <v>4435401.46</v>
      </c>
      <c r="GO109">
        <f>IF(BI109=2,ROUND(O109+X109+Y109+GK109,2),0)</f>
        <v>0</v>
      </c>
      <c r="GP109">
        <f>IF(BI109=4,ROUND(O109+X109+Y109+GK109,2)+GX109,0)</f>
        <v>0</v>
      </c>
      <c r="GR109">
        <v>0</v>
      </c>
      <c r="GS109">
        <v>3</v>
      </c>
      <c r="GT109">
        <v>0</v>
      </c>
      <c r="GU109" t="s">
        <v>5</v>
      </c>
      <c r="GV109">
        <f>ROUND((GT109),6)</f>
        <v>0</v>
      </c>
      <c r="GW109">
        <v>1</v>
      </c>
      <c r="GX109">
        <f>ROUND(HC109*I109,2)</f>
        <v>0</v>
      </c>
      <c r="HA109">
        <v>0</v>
      </c>
      <c r="HB109">
        <v>0</v>
      </c>
      <c r="HC109">
        <f>GV109*GW109</f>
        <v>0</v>
      </c>
      <c r="HE109" t="s">
        <v>5</v>
      </c>
      <c r="HF109" t="s">
        <v>5</v>
      </c>
      <c r="IK109">
        <v>0</v>
      </c>
    </row>
    <row r="111" spans="1:245" x14ac:dyDescent="0.2">
      <c r="A111" s="2">
        <v>51</v>
      </c>
      <c r="B111" s="2">
        <f>B104</f>
        <v>1</v>
      </c>
      <c r="C111" s="2">
        <f>A104</f>
        <v>4</v>
      </c>
      <c r="D111" s="2">
        <f>ROW(A104)</f>
        <v>104</v>
      </c>
      <c r="E111" s="2"/>
      <c r="F111" s="2" t="str">
        <f>IF(F104&lt;&gt;"",F104,"")</f>
        <v>Новый раздел</v>
      </c>
      <c r="G111" s="2" t="str">
        <f>IF(G104&lt;&gt;"",G104,"")</f>
        <v>Уход за деревьями с комом земли 1,5х1,5х0,65 м - 4625 шт.</v>
      </c>
      <c r="H111" s="2">
        <v>0</v>
      </c>
      <c r="I111" s="2"/>
      <c r="J111" s="2"/>
      <c r="K111" s="2"/>
      <c r="L111" s="2"/>
      <c r="M111" s="2"/>
      <c r="N111" s="2"/>
      <c r="O111" s="2">
        <f t="shared" ref="O111:T111" si="79">ROUND(AB111,2)</f>
        <v>3772750.63</v>
      </c>
      <c r="P111" s="2">
        <f t="shared" si="79"/>
        <v>112780.89</v>
      </c>
      <c r="Q111" s="2">
        <f t="shared" si="79"/>
        <v>1512111.97</v>
      </c>
      <c r="R111" s="2">
        <f t="shared" si="79"/>
        <v>254696.14</v>
      </c>
      <c r="S111" s="2">
        <f t="shared" si="79"/>
        <v>2147857.77</v>
      </c>
      <c r="T111" s="2">
        <f t="shared" si="79"/>
        <v>0</v>
      </c>
      <c r="U111" s="2">
        <f>AH111</f>
        <v>8588.735999999999</v>
      </c>
      <c r="V111" s="2">
        <f>AI111</f>
        <v>0</v>
      </c>
      <c r="W111" s="2">
        <f>ROUND(AJ111,2)</f>
        <v>0</v>
      </c>
      <c r="X111" s="2">
        <f>ROUND(AK111,2)</f>
        <v>2190814.92</v>
      </c>
      <c r="Y111" s="2">
        <f>ROUND(AL111,2)</f>
        <v>1009493.15</v>
      </c>
      <c r="Z111" s="2"/>
      <c r="AA111" s="2"/>
      <c r="AB111" s="2">
        <f>ROUND(SUMIF(AA108:AA109,"=49688178",O108:O109),2)</f>
        <v>3772750.63</v>
      </c>
      <c r="AC111" s="2">
        <f>ROUND(SUMIF(AA108:AA109,"=49688178",P108:P109),2)</f>
        <v>112780.89</v>
      </c>
      <c r="AD111" s="2">
        <f>ROUND(SUMIF(AA108:AA109,"=49688178",Q108:Q109),2)</f>
        <v>1512111.97</v>
      </c>
      <c r="AE111" s="2">
        <f>ROUND(SUMIF(AA108:AA109,"=49688178",R108:R109),2)</f>
        <v>254696.14</v>
      </c>
      <c r="AF111" s="2">
        <f>ROUND(SUMIF(AA108:AA109,"=49688178",S108:S109),2)</f>
        <v>2147857.77</v>
      </c>
      <c r="AG111" s="2">
        <f>ROUND(SUMIF(AA108:AA109,"=49688178",T108:T109),2)</f>
        <v>0</v>
      </c>
      <c r="AH111" s="2">
        <f>SUMIF(AA108:AA109,"=49688178",U108:U109)</f>
        <v>8588.735999999999</v>
      </c>
      <c r="AI111" s="2">
        <f>SUMIF(AA108:AA109,"=49688178",V108:V109)</f>
        <v>0</v>
      </c>
      <c r="AJ111" s="2">
        <f>ROUND(SUMIF(AA108:AA109,"=49688178",W108:W109),2)</f>
        <v>0</v>
      </c>
      <c r="AK111" s="2">
        <f>ROUND(SUMIF(AA108:AA109,"=49688178",X108:X109),2)</f>
        <v>2190814.92</v>
      </c>
      <c r="AL111" s="2">
        <f>ROUND(SUMIF(AA108:AA109,"=49688178",Y108:Y109),2)</f>
        <v>1009493.15</v>
      </c>
      <c r="AM111" s="2"/>
      <c r="AN111" s="2"/>
      <c r="AO111" s="2">
        <f t="shared" ref="AO111:BD111" si="80">ROUND(BX111,2)</f>
        <v>0</v>
      </c>
      <c r="AP111" s="2">
        <f t="shared" si="80"/>
        <v>0</v>
      </c>
      <c r="AQ111" s="2">
        <f t="shared" si="80"/>
        <v>0</v>
      </c>
      <c r="AR111" s="2">
        <f t="shared" si="80"/>
        <v>7372931.6399999997</v>
      </c>
      <c r="AS111" s="2">
        <f t="shared" si="80"/>
        <v>7372931.6399999997</v>
      </c>
      <c r="AT111" s="2">
        <f t="shared" si="80"/>
        <v>0</v>
      </c>
      <c r="AU111" s="2">
        <f t="shared" si="80"/>
        <v>0</v>
      </c>
      <c r="AV111" s="2">
        <f t="shared" si="80"/>
        <v>112780.89</v>
      </c>
      <c r="AW111" s="2">
        <f t="shared" si="80"/>
        <v>112780.89</v>
      </c>
      <c r="AX111" s="2">
        <f t="shared" si="80"/>
        <v>0</v>
      </c>
      <c r="AY111" s="2">
        <f t="shared" si="80"/>
        <v>112780.89</v>
      </c>
      <c r="AZ111" s="2">
        <f t="shared" si="80"/>
        <v>0</v>
      </c>
      <c r="BA111" s="2">
        <f t="shared" si="80"/>
        <v>0</v>
      </c>
      <c r="BB111" s="2">
        <f t="shared" si="80"/>
        <v>0</v>
      </c>
      <c r="BC111" s="2">
        <f t="shared" si="80"/>
        <v>0</v>
      </c>
      <c r="BD111" s="2">
        <f t="shared" si="80"/>
        <v>0</v>
      </c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>
        <f>ROUND(SUMIF(AA108:AA109,"=49688178",FQ108:FQ109),2)</f>
        <v>0</v>
      </c>
      <c r="BY111" s="2">
        <f>ROUND(SUMIF(AA108:AA109,"=49688178",FR108:FR109),2)</f>
        <v>0</v>
      </c>
      <c r="BZ111" s="2">
        <f>ROUND(SUMIF(AA108:AA109,"=49688178",GL108:GL109),2)</f>
        <v>0</v>
      </c>
      <c r="CA111" s="2">
        <f>ROUND(SUMIF(AA108:AA109,"=49688178",GM108:GM109),2)</f>
        <v>7372931.6399999997</v>
      </c>
      <c r="CB111" s="2">
        <f>ROUND(SUMIF(AA108:AA109,"=49688178",GN108:GN109),2)</f>
        <v>7372931.6399999997</v>
      </c>
      <c r="CC111" s="2">
        <f>ROUND(SUMIF(AA108:AA109,"=49688178",GO108:GO109),2)</f>
        <v>0</v>
      </c>
      <c r="CD111" s="2">
        <f>ROUND(SUMIF(AA108:AA109,"=49688178",GP108:GP109),2)</f>
        <v>0</v>
      </c>
      <c r="CE111" s="2">
        <f>AC111-BX111</f>
        <v>112780.89</v>
      </c>
      <c r="CF111" s="2">
        <f>AC111-BY111</f>
        <v>112780.89</v>
      </c>
      <c r="CG111" s="2">
        <f>BX111-BZ111</f>
        <v>0</v>
      </c>
      <c r="CH111" s="2">
        <f>AC111-BX111-BY111+BZ111</f>
        <v>112780.89</v>
      </c>
      <c r="CI111" s="2">
        <f>BY111-BZ111</f>
        <v>0</v>
      </c>
      <c r="CJ111" s="2">
        <f>ROUND(SUMIF(AA108:AA109,"=49688178",GX108:GX109),2)</f>
        <v>0</v>
      </c>
      <c r="CK111" s="2">
        <f>ROUND(SUMIF(AA108:AA109,"=49688178",GY108:GY109),2)</f>
        <v>0</v>
      </c>
      <c r="CL111" s="2">
        <f>ROUND(SUMIF(AA108:AA109,"=49688178",GZ108:GZ109),2)</f>
        <v>0</v>
      </c>
      <c r="CM111" s="2">
        <f>ROUND(SUMIF(AA108:AA109,"=49688178",HD108:HD109),2)</f>
        <v>0</v>
      </c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>
        <v>0</v>
      </c>
    </row>
    <row r="113" spans="1:23" x14ac:dyDescent="0.2">
      <c r="A113" s="4">
        <v>50</v>
      </c>
      <c r="B113" s="4">
        <v>0</v>
      </c>
      <c r="C113" s="4">
        <v>0</v>
      </c>
      <c r="D113" s="4">
        <v>1</v>
      </c>
      <c r="E113" s="4">
        <v>201</v>
      </c>
      <c r="F113" s="4">
        <f>ROUND(Source!O111,O113)</f>
        <v>3772750.63</v>
      </c>
      <c r="G113" s="4" t="s">
        <v>51</v>
      </c>
      <c r="H113" s="4" t="s">
        <v>52</v>
      </c>
      <c r="I113" s="4"/>
      <c r="J113" s="4"/>
      <c r="K113" s="4">
        <v>201</v>
      </c>
      <c r="L113" s="4">
        <v>1</v>
      </c>
      <c r="M113" s="4">
        <v>3</v>
      </c>
      <c r="N113" s="4" t="s">
        <v>5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4">
        <v>50</v>
      </c>
      <c r="B114" s="4">
        <v>0</v>
      </c>
      <c r="C114" s="4">
        <v>0</v>
      </c>
      <c r="D114" s="4">
        <v>1</v>
      </c>
      <c r="E114" s="4">
        <v>202</v>
      </c>
      <c r="F114" s="4">
        <f>ROUND(Source!P111,O114)</f>
        <v>112780.89</v>
      </c>
      <c r="G114" s="4" t="s">
        <v>53</v>
      </c>
      <c r="H114" s="4" t="s">
        <v>54</v>
      </c>
      <c r="I114" s="4"/>
      <c r="J114" s="4"/>
      <c r="K114" s="4">
        <v>202</v>
      </c>
      <c r="L114" s="4">
        <v>2</v>
      </c>
      <c r="M114" s="4">
        <v>3</v>
      </c>
      <c r="N114" s="4" t="s">
        <v>5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>
        <v>50</v>
      </c>
      <c r="B115" s="4">
        <v>0</v>
      </c>
      <c r="C115" s="4">
        <v>0</v>
      </c>
      <c r="D115" s="4">
        <v>1</v>
      </c>
      <c r="E115" s="4">
        <v>222</v>
      </c>
      <c r="F115" s="4">
        <f>ROUND(Source!AO111,O115)</f>
        <v>0</v>
      </c>
      <c r="G115" s="4" t="s">
        <v>55</v>
      </c>
      <c r="H115" s="4" t="s">
        <v>56</v>
      </c>
      <c r="I115" s="4"/>
      <c r="J115" s="4"/>
      <c r="K115" s="4">
        <v>222</v>
      </c>
      <c r="L115" s="4">
        <v>3</v>
      </c>
      <c r="M115" s="4">
        <v>3</v>
      </c>
      <c r="N115" s="4" t="s">
        <v>5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>
        <v>50</v>
      </c>
      <c r="B116" s="4">
        <v>0</v>
      </c>
      <c r="C116" s="4">
        <v>0</v>
      </c>
      <c r="D116" s="4">
        <v>1</v>
      </c>
      <c r="E116" s="4">
        <v>225</v>
      </c>
      <c r="F116" s="4">
        <f>ROUND(Source!AV111,O116)</f>
        <v>112780.89</v>
      </c>
      <c r="G116" s="4" t="s">
        <v>57</v>
      </c>
      <c r="H116" s="4" t="s">
        <v>58</v>
      </c>
      <c r="I116" s="4"/>
      <c r="J116" s="4"/>
      <c r="K116" s="4">
        <v>225</v>
      </c>
      <c r="L116" s="4">
        <v>4</v>
      </c>
      <c r="M116" s="4">
        <v>3</v>
      </c>
      <c r="N116" s="4" t="s">
        <v>5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>
        <v>50</v>
      </c>
      <c r="B117" s="4">
        <v>0</v>
      </c>
      <c r="C117" s="4">
        <v>0</v>
      </c>
      <c r="D117" s="4">
        <v>1</v>
      </c>
      <c r="E117" s="4">
        <v>226</v>
      </c>
      <c r="F117" s="4">
        <f>ROUND(Source!AW111,O117)</f>
        <v>112780.89</v>
      </c>
      <c r="G117" s="4" t="s">
        <v>59</v>
      </c>
      <c r="H117" s="4" t="s">
        <v>60</v>
      </c>
      <c r="I117" s="4"/>
      <c r="J117" s="4"/>
      <c r="K117" s="4">
        <v>226</v>
      </c>
      <c r="L117" s="4">
        <v>5</v>
      </c>
      <c r="M117" s="4">
        <v>3</v>
      </c>
      <c r="N117" s="4" t="s">
        <v>5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>
        <v>50</v>
      </c>
      <c r="B118" s="4">
        <v>0</v>
      </c>
      <c r="C118" s="4">
        <v>0</v>
      </c>
      <c r="D118" s="4">
        <v>1</v>
      </c>
      <c r="E118" s="4">
        <v>227</v>
      </c>
      <c r="F118" s="4">
        <f>ROUND(Source!AX111,O118)</f>
        <v>0</v>
      </c>
      <c r="G118" s="4" t="s">
        <v>61</v>
      </c>
      <c r="H118" s="4" t="s">
        <v>62</v>
      </c>
      <c r="I118" s="4"/>
      <c r="J118" s="4"/>
      <c r="K118" s="4">
        <v>227</v>
      </c>
      <c r="L118" s="4">
        <v>6</v>
      </c>
      <c r="M118" s="4">
        <v>3</v>
      </c>
      <c r="N118" s="4" t="s">
        <v>5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>
        <v>50</v>
      </c>
      <c r="B119" s="4">
        <v>0</v>
      </c>
      <c r="C119" s="4">
        <v>0</v>
      </c>
      <c r="D119" s="4">
        <v>1</v>
      </c>
      <c r="E119" s="4">
        <v>228</v>
      </c>
      <c r="F119" s="4">
        <f>ROUND(Source!AY111,O119)</f>
        <v>112780.89</v>
      </c>
      <c r="G119" s="4" t="s">
        <v>63</v>
      </c>
      <c r="H119" s="4" t="s">
        <v>64</v>
      </c>
      <c r="I119" s="4"/>
      <c r="J119" s="4"/>
      <c r="K119" s="4">
        <v>228</v>
      </c>
      <c r="L119" s="4">
        <v>7</v>
      </c>
      <c r="M119" s="4">
        <v>3</v>
      </c>
      <c r="N119" s="4" t="s">
        <v>5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>
        <v>50</v>
      </c>
      <c r="B120" s="4">
        <v>0</v>
      </c>
      <c r="C120" s="4">
        <v>0</v>
      </c>
      <c r="D120" s="4">
        <v>1</v>
      </c>
      <c r="E120" s="4">
        <v>216</v>
      </c>
      <c r="F120" s="4">
        <f>ROUND(Source!AP111,O120)</f>
        <v>0</v>
      </c>
      <c r="G120" s="4" t="s">
        <v>65</v>
      </c>
      <c r="H120" s="4" t="s">
        <v>66</v>
      </c>
      <c r="I120" s="4"/>
      <c r="J120" s="4"/>
      <c r="K120" s="4">
        <v>216</v>
      </c>
      <c r="L120" s="4">
        <v>8</v>
      </c>
      <c r="M120" s="4">
        <v>3</v>
      </c>
      <c r="N120" s="4" t="s">
        <v>5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>
        <v>50</v>
      </c>
      <c r="B121" s="4">
        <v>0</v>
      </c>
      <c r="C121" s="4">
        <v>0</v>
      </c>
      <c r="D121" s="4">
        <v>1</v>
      </c>
      <c r="E121" s="4">
        <v>223</v>
      </c>
      <c r="F121" s="4">
        <f>ROUND(Source!AQ111,O121)</f>
        <v>0</v>
      </c>
      <c r="G121" s="4" t="s">
        <v>67</v>
      </c>
      <c r="H121" s="4" t="s">
        <v>68</v>
      </c>
      <c r="I121" s="4"/>
      <c r="J121" s="4"/>
      <c r="K121" s="4">
        <v>223</v>
      </c>
      <c r="L121" s="4">
        <v>9</v>
      </c>
      <c r="M121" s="4">
        <v>3</v>
      </c>
      <c r="N121" s="4" t="s">
        <v>5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>
        <v>50</v>
      </c>
      <c r="B122" s="4">
        <v>0</v>
      </c>
      <c r="C122" s="4">
        <v>0</v>
      </c>
      <c r="D122" s="4">
        <v>1</v>
      </c>
      <c r="E122" s="4">
        <v>229</v>
      </c>
      <c r="F122" s="4">
        <f>ROUND(Source!AZ111,O122)</f>
        <v>0</v>
      </c>
      <c r="G122" s="4" t="s">
        <v>69</v>
      </c>
      <c r="H122" s="4" t="s">
        <v>70</v>
      </c>
      <c r="I122" s="4"/>
      <c r="J122" s="4"/>
      <c r="K122" s="4">
        <v>229</v>
      </c>
      <c r="L122" s="4">
        <v>10</v>
      </c>
      <c r="M122" s="4">
        <v>3</v>
      </c>
      <c r="N122" s="4" t="s">
        <v>5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>
        <v>50</v>
      </c>
      <c r="B123" s="4">
        <v>0</v>
      </c>
      <c r="C123" s="4">
        <v>0</v>
      </c>
      <c r="D123" s="4">
        <v>1</v>
      </c>
      <c r="E123" s="4">
        <v>203</v>
      </c>
      <c r="F123" s="4">
        <f>ROUND(Source!Q111,O123)</f>
        <v>1512111.97</v>
      </c>
      <c r="G123" s="4" t="s">
        <v>71</v>
      </c>
      <c r="H123" s="4" t="s">
        <v>72</v>
      </c>
      <c r="I123" s="4"/>
      <c r="J123" s="4"/>
      <c r="K123" s="4">
        <v>203</v>
      </c>
      <c r="L123" s="4">
        <v>11</v>
      </c>
      <c r="M123" s="4">
        <v>3</v>
      </c>
      <c r="N123" s="4" t="s">
        <v>5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>
        <v>50</v>
      </c>
      <c r="B124" s="4">
        <v>0</v>
      </c>
      <c r="C124" s="4">
        <v>0</v>
      </c>
      <c r="D124" s="4">
        <v>1</v>
      </c>
      <c r="E124" s="4">
        <v>231</v>
      </c>
      <c r="F124" s="4">
        <f>ROUND(Source!BB111,O124)</f>
        <v>0</v>
      </c>
      <c r="G124" s="4" t="s">
        <v>73</v>
      </c>
      <c r="H124" s="4" t="s">
        <v>74</v>
      </c>
      <c r="I124" s="4"/>
      <c r="J124" s="4"/>
      <c r="K124" s="4">
        <v>231</v>
      </c>
      <c r="L124" s="4">
        <v>12</v>
      </c>
      <c r="M124" s="4">
        <v>3</v>
      </c>
      <c r="N124" s="4" t="s">
        <v>5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>
        <v>50</v>
      </c>
      <c r="B125" s="4">
        <v>0</v>
      </c>
      <c r="C125" s="4">
        <v>0</v>
      </c>
      <c r="D125" s="4">
        <v>1</v>
      </c>
      <c r="E125" s="4">
        <v>204</v>
      </c>
      <c r="F125" s="4">
        <f>ROUND(Source!R111,O125)</f>
        <v>254696.14</v>
      </c>
      <c r="G125" s="4" t="s">
        <v>75</v>
      </c>
      <c r="H125" s="4" t="s">
        <v>76</v>
      </c>
      <c r="I125" s="4"/>
      <c r="J125" s="4"/>
      <c r="K125" s="4">
        <v>204</v>
      </c>
      <c r="L125" s="4">
        <v>13</v>
      </c>
      <c r="M125" s="4">
        <v>3</v>
      </c>
      <c r="N125" s="4" t="s">
        <v>5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>
        <v>50</v>
      </c>
      <c r="B126" s="4">
        <v>0</v>
      </c>
      <c r="C126" s="4">
        <v>0</v>
      </c>
      <c r="D126" s="4">
        <v>1</v>
      </c>
      <c r="E126" s="4">
        <v>205</v>
      </c>
      <c r="F126" s="4">
        <f>ROUND(Source!S111,O126)</f>
        <v>2147857.77</v>
      </c>
      <c r="G126" s="4" t="s">
        <v>77</v>
      </c>
      <c r="H126" s="4" t="s">
        <v>78</v>
      </c>
      <c r="I126" s="4"/>
      <c r="J126" s="4"/>
      <c r="K126" s="4">
        <v>205</v>
      </c>
      <c r="L126" s="4">
        <v>14</v>
      </c>
      <c r="M126" s="4">
        <v>3</v>
      </c>
      <c r="N126" s="4" t="s">
        <v>5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>
        <v>50</v>
      </c>
      <c r="B127" s="4">
        <v>0</v>
      </c>
      <c r="C127" s="4">
        <v>0</v>
      </c>
      <c r="D127" s="4">
        <v>1</v>
      </c>
      <c r="E127" s="4">
        <v>232</v>
      </c>
      <c r="F127" s="4">
        <f>ROUND(Source!BC111,O127)</f>
        <v>0</v>
      </c>
      <c r="G127" s="4" t="s">
        <v>79</v>
      </c>
      <c r="H127" s="4" t="s">
        <v>80</v>
      </c>
      <c r="I127" s="4"/>
      <c r="J127" s="4"/>
      <c r="K127" s="4">
        <v>232</v>
      </c>
      <c r="L127" s="4">
        <v>15</v>
      </c>
      <c r="M127" s="4">
        <v>3</v>
      </c>
      <c r="N127" s="4" t="s">
        <v>5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4">
        <v>50</v>
      </c>
      <c r="B128" s="4">
        <v>0</v>
      </c>
      <c r="C128" s="4">
        <v>0</v>
      </c>
      <c r="D128" s="4">
        <v>1</v>
      </c>
      <c r="E128" s="4">
        <v>214</v>
      </c>
      <c r="F128" s="4">
        <f>ROUND(Source!AS111,O128)</f>
        <v>7372931.6399999997</v>
      </c>
      <c r="G128" s="4" t="s">
        <v>81</v>
      </c>
      <c r="H128" s="4" t="s">
        <v>82</v>
      </c>
      <c r="I128" s="4"/>
      <c r="J128" s="4"/>
      <c r="K128" s="4">
        <v>214</v>
      </c>
      <c r="L128" s="4">
        <v>16</v>
      </c>
      <c r="M128" s="4">
        <v>3</v>
      </c>
      <c r="N128" s="4" t="s">
        <v>5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06" x14ac:dyDescent="0.2">
      <c r="A129" s="4">
        <v>50</v>
      </c>
      <c r="B129" s="4">
        <v>0</v>
      </c>
      <c r="C129" s="4">
        <v>0</v>
      </c>
      <c r="D129" s="4">
        <v>1</v>
      </c>
      <c r="E129" s="4">
        <v>215</v>
      </c>
      <c r="F129" s="4">
        <f>ROUND(Source!AT111,O129)</f>
        <v>0</v>
      </c>
      <c r="G129" s="4" t="s">
        <v>83</v>
      </c>
      <c r="H129" s="4" t="s">
        <v>84</v>
      </c>
      <c r="I129" s="4"/>
      <c r="J129" s="4"/>
      <c r="K129" s="4">
        <v>215</v>
      </c>
      <c r="L129" s="4">
        <v>17</v>
      </c>
      <c r="M129" s="4">
        <v>3</v>
      </c>
      <c r="N129" s="4" t="s">
        <v>5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06" x14ac:dyDescent="0.2">
      <c r="A130" s="4">
        <v>50</v>
      </c>
      <c r="B130" s="4">
        <v>0</v>
      </c>
      <c r="C130" s="4">
        <v>0</v>
      </c>
      <c r="D130" s="4">
        <v>1</v>
      </c>
      <c r="E130" s="4">
        <v>217</v>
      </c>
      <c r="F130" s="4">
        <f>ROUND(Source!AU111,O130)</f>
        <v>0</v>
      </c>
      <c r="G130" s="4" t="s">
        <v>85</v>
      </c>
      <c r="H130" s="4" t="s">
        <v>86</v>
      </c>
      <c r="I130" s="4"/>
      <c r="J130" s="4"/>
      <c r="K130" s="4">
        <v>217</v>
      </c>
      <c r="L130" s="4">
        <v>18</v>
      </c>
      <c r="M130" s="4">
        <v>3</v>
      </c>
      <c r="N130" s="4" t="s">
        <v>5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06" x14ac:dyDescent="0.2">
      <c r="A131" s="4">
        <v>50</v>
      </c>
      <c r="B131" s="4">
        <v>0</v>
      </c>
      <c r="C131" s="4">
        <v>0</v>
      </c>
      <c r="D131" s="4">
        <v>1</v>
      </c>
      <c r="E131" s="4">
        <v>230</v>
      </c>
      <c r="F131" s="4">
        <f>ROUND(Source!BA111,O131)</f>
        <v>0</v>
      </c>
      <c r="G131" s="4" t="s">
        <v>87</v>
      </c>
      <c r="H131" s="4" t="s">
        <v>88</v>
      </c>
      <c r="I131" s="4"/>
      <c r="J131" s="4"/>
      <c r="K131" s="4">
        <v>230</v>
      </c>
      <c r="L131" s="4">
        <v>19</v>
      </c>
      <c r="M131" s="4">
        <v>3</v>
      </c>
      <c r="N131" s="4" t="s">
        <v>5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06" x14ac:dyDescent="0.2">
      <c r="A132" s="4">
        <v>50</v>
      </c>
      <c r="B132" s="4">
        <v>0</v>
      </c>
      <c r="C132" s="4">
        <v>0</v>
      </c>
      <c r="D132" s="4">
        <v>1</v>
      </c>
      <c r="E132" s="4">
        <v>206</v>
      </c>
      <c r="F132" s="4">
        <f>ROUND(Source!T111,O132)</f>
        <v>0</v>
      </c>
      <c r="G132" s="4" t="s">
        <v>89</v>
      </c>
      <c r="H132" s="4" t="s">
        <v>90</v>
      </c>
      <c r="I132" s="4"/>
      <c r="J132" s="4"/>
      <c r="K132" s="4">
        <v>206</v>
      </c>
      <c r="L132" s="4">
        <v>20</v>
      </c>
      <c r="M132" s="4">
        <v>3</v>
      </c>
      <c r="N132" s="4" t="s">
        <v>5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06" x14ac:dyDescent="0.2">
      <c r="A133" s="4">
        <v>50</v>
      </c>
      <c r="B133" s="4">
        <v>0</v>
      </c>
      <c r="C133" s="4">
        <v>0</v>
      </c>
      <c r="D133" s="4">
        <v>1</v>
      </c>
      <c r="E133" s="4">
        <v>207</v>
      </c>
      <c r="F133" s="4">
        <f>Source!U111</f>
        <v>8588.735999999999</v>
      </c>
      <c r="G133" s="4" t="s">
        <v>91</v>
      </c>
      <c r="H133" s="4" t="s">
        <v>92</v>
      </c>
      <c r="I133" s="4"/>
      <c r="J133" s="4"/>
      <c r="K133" s="4">
        <v>207</v>
      </c>
      <c r="L133" s="4">
        <v>21</v>
      </c>
      <c r="M133" s="4">
        <v>3</v>
      </c>
      <c r="N133" s="4" t="s">
        <v>5</v>
      </c>
      <c r="O133" s="4">
        <v>-1</v>
      </c>
      <c r="P133" s="4"/>
      <c r="Q133" s="4"/>
      <c r="R133" s="4"/>
      <c r="S133" s="4"/>
      <c r="T133" s="4"/>
      <c r="U133" s="4"/>
      <c r="V133" s="4"/>
      <c r="W133" s="4"/>
    </row>
    <row r="134" spans="1:206" x14ac:dyDescent="0.2">
      <c r="A134" s="4">
        <v>50</v>
      </c>
      <c r="B134" s="4">
        <v>0</v>
      </c>
      <c r="C134" s="4">
        <v>0</v>
      </c>
      <c r="D134" s="4">
        <v>1</v>
      </c>
      <c r="E134" s="4">
        <v>208</v>
      </c>
      <c r="F134" s="4">
        <f>Source!V111</f>
        <v>0</v>
      </c>
      <c r="G134" s="4" t="s">
        <v>93</v>
      </c>
      <c r="H134" s="4" t="s">
        <v>94</v>
      </c>
      <c r="I134" s="4"/>
      <c r="J134" s="4"/>
      <c r="K134" s="4">
        <v>208</v>
      </c>
      <c r="L134" s="4">
        <v>22</v>
      </c>
      <c r="M134" s="4">
        <v>3</v>
      </c>
      <c r="N134" s="4" t="s">
        <v>5</v>
      </c>
      <c r="O134" s="4">
        <v>-1</v>
      </c>
      <c r="P134" s="4"/>
      <c r="Q134" s="4"/>
      <c r="R134" s="4"/>
      <c r="S134" s="4"/>
      <c r="T134" s="4"/>
      <c r="U134" s="4"/>
      <c r="V134" s="4"/>
      <c r="W134" s="4"/>
    </row>
    <row r="135" spans="1:206" x14ac:dyDescent="0.2">
      <c r="A135" s="4">
        <v>50</v>
      </c>
      <c r="B135" s="4">
        <v>0</v>
      </c>
      <c r="C135" s="4">
        <v>0</v>
      </c>
      <c r="D135" s="4">
        <v>1</v>
      </c>
      <c r="E135" s="4">
        <v>209</v>
      </c>
      <c r="F135" s="4">
        <f>ROUND(Source!W111,O135)</f>
        <v>0</v>
      </c>
      <c r="G135" s="4" t="s">
        <v>95</v>
      </c>
      <c r="H135" s="4" t="s">
        <v>96</v>
      </c>
      <c r="I135" s="4"/>
      <c r="J135" s="4"/>
      <c r="K135" s="4">
        <v>209</v>
      </c>
      <c r="L135" s="4">
        <v>23</v>
      </c>
      <c r="M135" s="4">
        <v>3</v>
      </c>
      <c r="N135" s="4" t="s">
        <v>5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06" x14ac:dyDescent="0.2">
      <c r="A136" s="4">
        <v>50</v>
      </c>
      <c r="B136" s="4">
        <v>0</v>
      </c>
      <c r="C136" s="4">
        <v>0</v>
      </c>
      <c r="D136" s="4">
        <v>1</v>
      </c>
      <c r="E136" s="4">
        <v>233</v>
      </c>
      <c r="F136" s="4">
        <f>ROUND(Source!BD111,O136)</f>
        <v>0</v>
      </c>
      <c r="G136" s="4" t="s">
        <v>97</v>
      </c>
      <c r="H136" s="4" t="s">
        <v>98</v>
      </c>
      <c r="I136" s="4"/>
      <c r="J136" s="4"/>
      <c r="K136" s="4">
        <v>233</v>
      </c>
      <c r="L136" s="4">
        <v>24</v>
      </c>
      <c r="M136" s="4">
        <v>3</v>
      </c>
      <c r="N136" s="4" t="s">
        <v>5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06" x14ac:dyDescent="0.2">
      <c r="A137" s="4">
        <v>50</v>
      </c>
      <c r="B137" s="4">
        <v>0</v>
      </c>
      <c r="C137" s="4">
        <v>0</v>
      </c>
      <c r="D137" s="4">
        <v>1</v>
      </c>
      <c r="E137" s="4">
        <v>210</v>
      </c>
      <c r="F137" s="4">
        <f>ROUND(Source!X111,O137)</f>
        <v>2190814.92</v>
      </c>
      <c r="G137" s="4" t="s">
        <v>99</v>
      </c>
      <c r="H137" s="4" t="s">
        <v>100</v>
      </c>
      <c r="I137" s="4"/>
      <c r="J137" s="4"/>
      <c r="K137" s="4">
        <v>210</v>
      </c>
      <c r="L137" s="4">
        <v>25</v>
      </c>
      <c r="M137" s="4">
        <v>3</v>
      </c>
      <c r="N137" s="4" t="s">
        <v>5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06" x14ac:dyDescent="0.2">
      <c r="A138" s="4">
        <v>50</v>
      </c>
      <c r="B138" s="4">
        <v>0</v>
      </c>
      <c r="C138" s="4">
        <v>0</v>
      </c>
      <c r="D138" s="4">
        <v>1</v>
      </c>
      <c r="E138" s="4">
        <v>211</v>
      </c>
      <c r="F138" s="4">
        <f>ROUND(Source!Y111,O138)</f>
        <v>1009493.15</v>
      </c>
      <c r="G138" s="4" t="s">
        <v>101</v>
      </c>
      <c r="H138" s="4" t="s">
        <v>102</v>
      </c>
      <c r="I138" s="4"/>
      <c r="J138" s="4"/>
      <c r="K138" s="4">
        <v>211</v>
      </c>
      <c r="L138" s="4">
        <v>26</v>
      </c>
      <c r="M138" s="4">
        <v>3</v>
      </c>
      <c r="N138" s="4" t="s">
        <v>5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06" x14ac:dyDescent="0.2">
      <c r="A139" s="4">
        <v>50</v>
      </c>
      <c r="B139" s="4">
        <v>0</v>
      </c>
      <c r="C139" s="4">
        <v>0</v>
      </c>
      <c r="D139" s="4">
        <v>1</v>
      </c>
      <c r="E139" s="4">
        <v>224</v>
      </c>
      <c r="F139" s="4">
        <f>ROUND(Source!AR111,O139)</f>
        <v>7372931.6399999997</v>
      </c>
      <c r="G139" s="4" t="s">
        <v>103</v>
      </c>
      <c r="H139" s="4" t="s">
        <v>104</v>
      </c>
      <c r="I139" s="4"/>
      <c r="J139" s="4"/>
      <c r="K139" s="4">
        <v>224</v>
      </c>
      <c r="L139" s="4">
        <v>27</v>
      </c>
      <c r="M139" s="4">
        <v>3</v>
      </c>
      <c r="N139" s="4" t="s">
        <v>5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1" spans="1:206" x14ac:dyDescent="0.2">
      <c r="A141" s="1">
        <v>4</v>
      </c>
      <c r="B141" s="1">
        <v>1</v>
      </c>
      <c r="C141" s="1"/>
      <c r="D141" s="1">
        <f>ROW(A153)</f>
        <v>153</v>
      </c>
      <c r="E141" s="1"/>
      <c r="F141" s="1" t="s">
        <v>14</v>
      </c>
      <c r="G141" s="1" t="s">
        <v>129</v>
      </c>
      <c r="H141" s="1" t="s">
        <v>5</v>
      </c>
      <c r="I141" s="1">
        <v>0</v>
      </c>
      <c r="J141" s="1"/>
      <c r="K141" s="1">
        <v>0</v>
      </c>
      <c r="L141" s="1"/>
      <c r="M141" s="1" t="s">
        <v>5</v>
      </c>
      <c r="N141" s="1"/>
      <c r="O141" s="1"/>
      <c r="P141" s="1"/>
      <c r="Q141" s="1"/>
      <c r="R141" s="1"/>
      <c r="S141" s="1">
        <v>0</v>
      </c>
      <c r="T141" s="1"/>
      <c r="U141" s="1" t="s">
        <v>5</v>
      </c>
      <c r="V141" s="1">
        <v>0</v>
      </c>
      <c r="W141" s="1"/>
      <c r="X141" s="1"/>
      <c r="Y141" s="1"/>
      <c r="Z141" s="1"/>
      <c r="AA141" s="1"/>
      <c r="AB141" s="1" t="s">
        <v>5</v>
      </c>
      <c r="AC141" s="1" t="s">
        <v>5</v>
      </c>
      <c r="AD141" s="1" t="s">
        <v>5</v>
      </c>
      <c r="AE141" s="1" t="s">
        <v>5</v>
      </c>
      <c r="AF141" s="1" t="s">
        <v>5</v>
      </c>
      <c r="AG141" s="1" t="s">
        <v>5</v>
      </c>
      <c r="AH141" s="1"/>
      <c r="AI141" s="1"/>
      <c r="AJ141" s="1"/>
      <c r="AK141" s="1"/>
      <c r="AL141" s="1"/>
      <c r="AM141" s="1"/>
      <c r="AN141" s="1"/>
      <c r="AO141" s="1"/>
      <c r="AP141" s="1" t="s">
        <v>5</v>
      </c>
      <c r="AQ141" s="1" t="s">
        <v>5</v>
      </c>
      <c r="AR141" s="1" t="s">
        <v>5</v>
      </c>
      <c r="AS141" s="1"/>
      <c r="AT141" s="1"/>
      <c r="AU141" s="1"/>
      <c r="AV141" s="1"/>
      <c r="AW141" s="1"/>
      <c r="AX141" s="1"/>
      <c r="AY141" s="1"/>
      <c r="AZ141" s="1" t="s">
        <v>5</v>
      </c>
      <c r="BA141" s="1"/>
      <c r="BB141" s="1" t="s">
        <v>5</v>
      </c>
      <c r="BC141" s="1" t="s">
        <v>5</v>
      </c>
      <c r="BD141" s="1" t="s">
        <v>5</v>
      </c>
      <c r="BE141" s="1" t="s">
        <v>5</v>
      </c>
      <c r="BF141" s="1" t="s">
        <v>5</v>
      </c>
      <c r="BG141" s="1" t="s">
        <v>5</v>
      </c>
      <c r="BH141" s="1" t="s">
        <v>5</v>
      </c>
      <c r="BI141" s="1" t="s">
        <v>5</v>
      </c>
      <c r="BJ141" s="1" t="s">
        <v>5</v>
      </c>
      <c r="BK141" s="1" t="s">
        <v>5</v>
      </c>
      <c r="BL141" s="1" t="s">
        <v>5</v>
      </c>
      <c r="BM141" s="1" t="s">
        <v>5</v>
      </c>
      <c r="BN141" s="1" t="s">
        <v>5</v>
      </c>
      <c r="BO141" s="1" t="s">
        <v>5</v>
      </c>
      <c r="BP141" s="1" t="s">
        <v>5</v>
      </c>
      <c r="BQ141" s="1"/>
      <c r="BR141" s="1"/>
      <c r="BS141" s="1"/>
      <c r="BT141" s="1"/>
      <c r="BU141" s="1"/>
      <c r="BV141" s="1"/>
      <c r="BW141" s="1"/>
      <c r="BX141" s="1">
        <v>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>
        <v>0</v>
      </c>
    </row>
    <row r="143" spans="1:206" x14ac:dyDescent="0.2">
      <c r="A143" s="2">
        <v>52</v>
      </c>
      <c r="B143" s="2">
        <f t="shared" ref="B143:G143" si="81">B153</f>
        <v>1</v>
      </c>
      <c r="C143" s="2">
        <f t="shared" si="81"/>
        <v>4</v>
      </c>
      <c r="D143" s="2">
        <f t="shared" si="81"/>
        <v>141</v>
      </c>
      <c r="E143" s="2">
        <f t="shared" si="81"/>
        <v>0</v>
      </c>
      <c r="F143" s="2" t="str">
        <f t="shared" si="81"/>
        <v>Новый раздел</v>
      </c>
      <c r="G143" s="2" t="str">
        <f t="shared" si="81"/>
        <v>Посадка деревьев с комом земли 1,0х1,0х0,6 м - 91 шт.</v>
      </c>
      <c r="H143" s="2"/>
      <c r="I143" s="2"/>
      <c r="J143" s="2"/>
      <c r="K143" s="2"/>
      <c r="L143" s="2"/>
      <c r="M143" s="2"/>
      <c r="N143" s="2"/>
      <c r="O143" s="2">
        <f t="shared" ref="O143:AT143" si="82">O153</f>
        <v>460145.81</v>
      </c>
      <c r="P143" s="2">
        <f t="shared" si="82"/>
        <v>113550.31</v>
      </c>
      <c r="Q143" s="2">
        <f t="shared" si="82"/>
        <v>72634.09</v>
      </c>
      <c r="R143" s="2">
        <f t="shared" si="82"/>
        <v>21511.5</v>
      </c>
      <c r="S143" s="2">
        <f t="shared" si="82"/>
        <v>273961.40999999997</v>
      </c>
      <c r="T143" s="2">
        <f t="shared" si="82"/>
        <v>0</v>
      </c>
      <c r="U143" s="2">
        <f t="shared" si="82"/>
        <v>990.60534299999995</v>
      </c>
      <c r="V143" s="2">
        <f t="shared" si="82"/>
        <v>0</v>
      </c>
      <c r="W143" s="2">
        <f t="shared" si="82"/>
        <v>0</v>
      </c>
      <c r="X143" s="2">
        <f t="shared" si="82"/>
        <v>279382.21999999997</v>
      </c>
      <c r="Y143" s="2">
        <f t="shared" si="82"/>
        <v>128779.4</v>
      </c>
      <c r="Z143" s="2">
        <f t="shared" si="82"/>
        <v>0</v>
      </c>
      <c r="AA143" s="2">
        <f t="shared" si="82"/>
        <v>0</v>
      </c>
      <c r="AB143" s="2">
        <f t="shared" si="82"/>
        <v>460145.81</v>
      </c>
      <c r="AC143" s="2">
        <f t="shared" si="82"/>
        <v>113550.31</v>
      </c>
      <c r="AD143" s="2">
        <f t="shared" si="82"/>
        <v>72634.09</v>
      </c>
      <c r="AE143" s="2">
        <f t="shared" si="82"/>
        <v>21511.5</v>
      </c>
      <c r="AF143" s="2">
        <f t="shared" si="82"/>
        <v>273961.40999999997</v>
      </c>
      <c r="AG143" s="2">
        <f t="shared" si="82"/>
        <v>0</v>
      </c>
      <c r="AH143" s="2">
        <f t="shared" si="82"/>
        <v>990.60534299999995</v>
      </c>
      <c r="AI143" s="2">
        <f t="shared" si="82"/>
        <v>0</v>
      </c>
      <c r="AJ143" s="2">
        <f t="shared" si="82"/>
        <v>0</v>
      </c>
      <c r="AK143" s="2">
        <f t="shared" si="82"/>
        <v>279382.21999999997</v>
      </c>
      <c r="AL143" s="2">
        <f t="shared" si="82"/>
        <v>128779.4</v>
      </c>
      <c r="AM143" s="2">
        <f t="shared" si="82"/>
        <v>0</v>
      </c>
      <c r="AN143" s="2">
        <f t="shared" si="82"/>
        <v>0</v>
      </c>
      <c r="AO143" s="2">
        <f t="shared" si="82"/>
        <v>0</v>
      </c>
      <c r="AP143" s="2">
        <f t="shared" si="82"/>
        <v>0</v>
      </c>
      <c r="AQ143" s="2">
        <f t="shared" si="82"/>
        <v>0</v>
      </c>
      <c r="AR143" s="2">
        <f t="shared" si="82"/>
        <v>902080.48</v>
      </c>
      <c r="AS143" s="2">
        <f t="shared" si="82"/>
        <v>902080.48</v>
      </c>
      <c r="AT143" s="2">
        <f t="shared" si="82"/>
        <v>0</v>
      </c>
      <c r="AU143" s="2">
        <f t="shared" ref="AU143:BZ143" si="83">AU153</f>
        <v>0</v>
      </c>
      <c r="AV143" s="2">
        <f t="shared" si="83"/>
        <v>113550.31</v>
      </c>
      <c r="AW143" s="2">
        <f t="shared" si="83"/>
        <v>113550.31</v>
      </c>
      <c r="AX143" s="2">
        <f t="shared" si="83"/>
        <v>0</v>
      </c>
      <c r="AY143" s="2">
        <f t="shared" si="83"/>
        <v>113550.31</v>
      </c>
      <c r="AZ143" s="2">
        <f t="shared" si="83"/>
        <v>0</v>
      </c>
      <c r="BA143" s="2">
        <f t="shared" si="83"/>
        <v>0</v>
      </c>
      <c r="BB143" s="2">
        <f t="shared" si="83"/>
        <v>0</v>
      </c>
      <c r="BC143" s="2">
        <f t="shared" si="83"/>
        <v>0</v>
      </c>
      <c r="BD143" s="2">
        <f t="shared" si="83"/>
        <v>0</v>
      </c>
      <c r="BE143" s="2">
        <f t="shared" si="83"/>
        <v>0</v>
      </c>
      <c r="BF143" s="2">
        <f t="shared" si="83"/>
        <v>0</v>
      </c>
      <c r="BG143" s="2">
        <f t="shared" si="83"/>
        <v>0</v>
      </c>
      <c r="BH143" s="2">
        <f t="shared" si="83"/>
        <v>0</v>
      </c>
      <c r="BI143" s="2">
        <f t="shared" si="83"/>
        <v>0</v>
      </c>
      <c r="BJ143" s="2">
        <f t="shared" si="83"/>
        <v>0</v>
      </c>
      <c r="BK143" s="2">
        <f t="shared" si="83"/>
        <v>0</v>
      </c>
      <c r="BL143" s="2">
        <f t="shared" si="83"/>
        <v>0</v>
      </c>
      <c r="BM143" s="2">
        <f t="shared" si="83"/>
        <v>0</v>
      </c>
      <c r="BN143" s="2">
        <f t="shared" si="83"/>
        <v>0</v>
      </c>
      <c r="BO143" s="2">
        <f t="shared" si="83"/>
        <v>0</v>
      </c>
      <c r="BP143" s="2">
        <f t="shared" si="83"/>
        <v>0</v>
      </c>
      <c r="BQ143" s="2">
        <f t="shared" si="83"/>
        <v>0</v>
      </c>
      <c r="BR143" s="2">
        <f t="shared" si="83"/>
        <v>0</v>
      </c>
      <c r="BS143" s="2">
        <f t="shared" si="83"/>
        <v>0</v>
      </c>
      <c r="BT143" s="2">
        <f t="shared" si="83"/>
        <v>0</v>
      </c>
      <c r="BU143" s="2">
        <f t="shared" si="83"/>
        <v>0</v>
      </c>
      <c r="BV143" s="2">
        <f t="shared" si="83"/>
        <v>0</v>
      </c>
      <c r="BW143" s="2">
        <f t="shared" si="83"/>
        <v>0</v>
      </c>
      <c r="BX143" s="2">
        <f t="shared" si="83"/>
        <v>0</v>
      </c>
      <c r="BY143" s="2">
        <f t="shared" si="83"/>
        <v>0</v>
      </c>
      <c r="BZ143" s="2">
        <f t="shared" si="83"/>
        <v>0</v>
      </c>
      <c r="CA143" s="2">
        <f t="shared" ref="CA143:DF143" si="84">CA153</f>
        <v>902080.48</v>
      </c>
      <c r="CB143" s="2">
        <f t="shared" si="84"/>
        <v>902080.48</v>
      </c>
      <c r="CC143" s="2">
        <f t="shared" si="84"/>
        <v>0</v>
      </c>
      <c r="CD143" s="2">
        <f t="shared" si="84"/>
        <v>0</v>
      </c>
      <c r="CE143" s="2">
        <f t="shared" si="84"/>
        <v>113550.31</v>
      </c>
      <c r="CF143" s="2">
        <f t="shared" si="84"/>
        <v>113550.31</v>
      </c>
      <c r="CG143" s="2">
        <f t="shared" si="84"/>
        <v>0</v>
      </c>
      <c r="CH143" s="2">
        <f t="shared" si="84"/>
        <v>113550.31</v>
      </c>
      <c r="CI143" s="2">
        <f t="shared" si="84"/>
        <v>0</v>
      </c>
      <c r="CJ143" s="2">
        <f t="shared" si="84"/>
        <v>0</v>
      </c>
      <c r="CK143" s="2">
        <f t="shared" si="84"/>
        <v>0</v>
      </c>
      <c r="CL143" s="2">
        <f t="shared" si="84"/>
        <v>0</v>
      </c>
      <c r="CM143" s="2">
        <f t="shared" si="84"/>
        <v>0</v>
      </c>
      <c r="CN143" s="2">
        <f t="shared" si="84"/>
        <v>0</v>
      </c>
      <c r="CO143" s="2">
        <f t="shared" si="84"/>
        <v>0</v>
      </c>
      <c r="CP143" s="2">
        <f t="shared" si="84"/>
        <v>0</v>
      </c>
      <c r="CQ143" s="2">
        <f t="shared" si="84"/>
        <v>0</v>
      </c>
      <c r="CR143" s="2">
        <f t="shared" si="84"/>
        <v>0</v>
      </c>
      <c r="CS143" s="2">
        <f t="shared" si="84"/>
        <v>0</v>
      </c>
      <c r="CT143" s="2">
        <f t="shared" si="84"/>
        <v>0</v>
      </c>
      <c r="CU143" s="2">
        <f t="shared" si="84"/>
        <v>0</v>
      </c>
      <c r="CV143" s="2">
        <f t="shared" si="84"/>
        <v>0</v>
      </c>
      <c r="CW143" s="2">
        <f t="shared" si="84"/>
        <v>0</v>
      </c>
      <c r="CX143" s="2">
        <f t="shared" si="84"/>
        <v>0</v>
      </c>
      <c r="CY143" s="2">
        <f t="shared" si="84"/>
        <v>0</v>
      </c>
      <c r="CZ143" s="2">
        <f t="shared" si="84"/>
        <v>0</v>
      </c>
      <c r="DA143" s="2">
        <f t="shared" si="84"/>
        <v>0</v>
      </c>
      <c r="DB143" s="2">
        <f t="shared" si="84"/>
        <v>0</v>
      </c>
      <c r="DC143" s="2">
        <f t="shared" si="84"/>
        <v>0</v>
      </c>
      <c r="DD143" s="2">
        <f t="shared" si="84"/>
        <v>0</v>
      </c>
      <c r="DE143" s="2">
        <f t="shared" si="84"/>
        <v>0</v>
      </c>
      <c r="DF143" s="2">
        <f t="shared" si="84"/>
        <v>0</v>
      </c>
      <c r="DG143" s="3">
        <f t="shared" ref="DG143:EL143" si="85">DG153</f>
        <v>0</v>
      </c>
      <c r="DH143" s="3">
        <f t="shared" si="85"/>
        <v>0</v>
      </c>
      <c r="DI143" s="3">
        <f t="shared" si="85"/>
        <v>0</v>
      </c>
      <c r="DJ143" s="3">
        <f t="shared" si="85"/>
        <v>0</v>
      </c>
      <c r="DK143" s="3">
        <f t="shared" si="85"/>
        <v>0</v>
      </c>
      <c r="DL143" s="3">
        <f t="shared" si="85"/>
        <v>0</v>
      </c>
      <c r="DM143" s="3">
        <f t="shared" si="85"/>
        <v>0</v>
      </c>
      <c r="DN143" s="3">
        <f t="shared" si="85"/>
        <v>0</v>
      </c>
      <c r="DO143" s="3">
        <f t="shared" si="85"/>
        <v>0</v>
      </c>
      <c r="DP143" s="3">
        <f t="shared" si="85"/>
        <v>0</v>
      </c>
      <c r="DQ143" s="3">
        <f t="shared" si="85"/>
        <v>0</v>
      </c>
      <c r="DR143" s="3">
        <f t="shared" si="85"/>
        <v>0</v>
      </c>
      <c r="DS143" s="3">
        <f t="shared" si="85"/>
        <v>0</v>
      </c>
      <c r="DT143" s="3">
        <f t="shared" si="85"/>
        <v>0</v>
      </c>
      <c r="DU143" s="3">
        <f t="shared" si="85"/>
        <v>0</v>
      </c>
      <c r="DV143" s="3">
        <f t="shared" si="85"/>
        <v>0</v>
      </c>
      <c r="DW143" s="3">
        <f t="shared" si="85"/>
        <v>0</v>
      </c>
      <c r="DX143" s="3">
        <f t="shared" si="85"/>
        <v>0</v>
      </c>
      <c r="DY143" s="3">
        <f t="shared" si="85"/>
        <v>0</v>
      </c>
      <c r="DZ143" s="3">
        <f t="shared" si="85"/>
        <v>0</v>
      </c>
      <c r="EA143" s="3">
        <f t="shared" si="85"/>
        <v>0</v>
      </c>
      <c r="EB143" s="3">
        <f t="shared" si="85"/>
        <v>0</v>
      </c>
      <c r="EC143" s="3">
        <f t="shared" si="85"/>
        <v>0</v>
      </c>
      <c r="ED143" s="3">
        <f t="shared" si="85"/>
        <v>0</v>
      </c>
      <c r="EE143" s="3">
        <f t="shared" si="85"/>
        <v>0</v>
      </c>
      <c r="EF143" s="3">
        <f t="shared" si="85"/>
        <v>0</v>
      </c>
      <c r="EG143" s="3">
        <f t="shared" si="85"/>
        <v>0</v>
      </c>
      <c r="EH143" s="3">
        <f t="shared" si="85"/>
        <v>0</v>
      </c>
      <c r="EI143" s="3">
        <f t="shared" si="85"/>
        <v>0</v>
      </c>
      <c r="EJ143" s="3">
        <f t="shared" si="85"/>
        <v>0</v>
      </c>
      <c r="EK143" s="3">
        <f t="shared" si="85"/>
        <v>0</v>
      </c>
      <c r="EL143" s="3">
        <f t="shared" si="85"/>
        <v>0</v>
      </c>
      <c r="EM143" s="3">
        <f t="shared" ref="EM143:FR143" si="86">EM153</f>
        <v>0</v>
      </c>
      <c r="EN143" s="3">
        <f t="shared" si="86"/>
        <v>0</v>
      </c>
      <c r="EO143" s="3">
        <f t="shared" si="86"/>
        <v>0</v>
      </c>
      <c r="EP143" s="3">
        <f t="shared" si="86"/>
        <v>0</v>
      </c>
      <c r="EQ143" s="3">
        <f t="shared" si="86"/>
        <v>0</v>
      </c>
      <c r="ER143" s="3">
        <f t="shared" si="86"/>
        <v>0</v>
      </c>
      <c r="ES143" s="3">
        <f t="shared" si="86"/>
        <v>0</v>
      </c>
      <c r="ET143" s="3">
        <f t="shared" si="86"/>
        <v>0</v>
      </c>
      <c r="EU143" s="3">
        <f t="shared" si="86"/>
        <v>0</v>
      </c>
      <c r="EV143" s="3">
        <f t="shared" si="86"/>
        <v>0</v>
      </c>
      <c r="EW143" s="3">
        <f t="shared" si="86"/>
        <v>0</v>
      </c>
      <c r="EX143" s="3">
        <f t="shared" si="86"/>
        <v>0</v>
      </c>
      <c r="EY143" s="3">
        <f t="shared" si="86"/>
        <v>0</v>
      </c>
      <c r="EZ143" s="3">
        <f t="shared" si="86"/>
        <v>0</v>
      </c>
      <c r="FA143" s="3">
        <f t="shared" si="86"/>
        <v>0</v>
      </c>
      <c r="FB143" s="3">
        <f t="shared" si="86"/>
        <v>0</v>
      </c>
      <c r="FC143" s="3">
        <f t="shared" si="86"/>
        <v>0</v>
      </c>
      <c r="FD143" s="3">
        <f t="shared" si="86"/>
        <v>0</v>
      </c>
      <c r="FE143" s="3">
        <f t="shared" si="86"/>
        <v>0</v>
      </c>
      <c r="FF143" s="3">
        <f t="shared" si="86"/>
        <v>0</v>
      </c>
      <c r="FG143" s="3">
        <f t="shared" si="86"/>
        <v>0</v>
      </c>
      <c r="FH143" s="3">
        <f t="shared" si="86"/>
        <v>0</v>
      </c>
      <c r="FI143" s="3">
        <f t="shared" si="86"/>
        <v>0</v>
      </c>
      <c r="FJ143" s="3">
        <f t="shared" si="86"/>
        <v>0</v>
      </c>
      <c r="FK143" s="3">
        <f t="shared" si="86"/>
        <v>0</v>
      </c>
      <c r="FL143" s="3">
        <f t="shared" si="86"/>
        <v>0</v>
      </c>
      <c r="FM143" s="3">
        <f t="shared" si="86"/>
        <v>0</v>
      </c>
      <c r="FN143" s="3">
        <f t="shared" si="86"/>
        <v>0</v>
      </c>
      <c r="FO143" s="3">
        <f t="shared" si="86"/>
        <v>0</v>
      </c>
      <c r="FP143" s="3">
        <f t="shared" si="86"/>
        <v>0</v>
      </c>
      <c r="FQ143" s="3">
        <f t="shared" si="86"/>
        <v>0</v>
      </c>
      <c r="FR143" s="3">
        <f t="shared" si="86"/>
        <v>0</v>
      </c>
      <c r="FS143" s="3">
        <f t="shared" ref="FS143:GX143" si="87">FS153</f>
        <v>0</v>
      </c>
      <c r="FT143" s="3">
        <f t="shared" si="87"/>
        <v>0</v>
      </c>
      <c r="FU143" s="3">
        <f t="shared" si="87"/>
        <v>0</v>
      </c>
      <c r="FV143" s="3">
        <f t="shared" si="87"/>
        <v>0</v>
      </c>
      <c r="FW143" s="3">
        <f t="shared" si="87"/>
        <v>0</v>
      </c>
      <c r="FX143" s="3">
        <f t="shared" si="87"/>
        <v>0</v>
      </c>
      <c r="FY143" s="3">
        <f t="shared" si="87"/>
        <v>0</v>
      </c>
      <c r="FZ143" s="3">
        <f t="shared" si="87"/>
        <v>0</v>
      </c>
      <c r="GA143" s="3">
        <f t="shared" si="87"/>
        <v>0</v>
      </c>
      <c r="GB143" s="3">
        <f t="shared" si="87"/>
        <v>0</v>
      </c>
      <c r="GC143" s="3">
        <f t="shared" si="87"/>
        <v>0</v>
      </c>
      <c r="GD143" s="3">
        <f t="shared" si="87"/>
        <v>0</v>
      </c>
      <c r="GE143" s="3">
        <f t="shared" si="87"/>
        <v>0</v>
      </c>
      <c r="GF143" s="3">
        <f t="shared" si="87"/>
        <v>0</v>
      </c>
      <c r="GG143" s="3">
        <f t="shared" si="87"/>
        <v>0</v>
      </c>
      <c r="GH143" s="3">
        <f t="shared" si="87"/>
        <v>0</v>
      </c>
      <c r="GI143" s="3">
        <f t="shared" si="87"/>
        <v>0</v>
      </c>
      <c r="GJ143" s="3">
        <f t="shared" si="87"/>
        <v>0</v>
      </c>
      <c r="GK143" s="3">
        <f t="shared" si="87"/>
        <v>0</v>
      </c>
      <c r="GL143" s="3">
        <f t="shared" si="87"/>
        <v>0</v>
      </c>
      <c r="GM143" s="3">
        <f t="shared" si="87"/>
        <v>0</v>
      </c>
      <c r="GN143" s="3">
        <f t="shared" si="87"/>
        <v>0</v>
      </c>
      <c r="GO143" s="3">
        <f t="shared" si="87"/>
        <v>0</v>
      </c>
      <c r="GP143" s="3">
        <f t="shared" si="87"/>
        <v>0</v>
      </c>
      <c r="GQ143" s="3">
        <f t="shared" si="87"/>
        <v>0</v>
      </c>
      <c r="GR143" s="3">
        <f t="shared" si="87"/>
        <v>0</v>
      </c>
      <c r="GS143" s="3">
        <f t="shared" si="87"/>
        <v>0</v>
      </c>
      <c r="GT143" s="3">
        <f t="shared" si="87"/>
        <v>0</v>
      </c>
      <c r="GU143" s="3">
        <f t="shared" si="87"/>
        <v>0</v>
      </c>
      <c r="GV143" s="3">
        <f t="shared" si="87"/>
        <v>0</v>
      </c>
      <c r="GW143" s="3">
        <f t="shared" si="87"/>
        <v>0</v>
      </c>
      <c r="GX143" s="3">
        <f t="shared" si="87"/>
        <v>0</v>
      </c>
    </row>
    <row r="145" spans="1:245" x14ac:dyDescent="0.2">
      <c r="A145">
        <v>17</v>
      </c>
      <c r="B145">
        <v>1</v>
      </c>
      <c r="C145">
        <f>ROW(SmtRes!A32)</f>
        <v>32</v>
      </c>
      <c r="D145">
        <f>ROW(EtalonRes!A34)</f>
        <v>34</v>
      </c>
      <c r="E145" t="s">
        <v>130</v>
      </c>
      <c r="F145" t="s">
        <v>131</v>
      </c>
      <c r="G145" t="s">
        <v>132</v>
      </c>
      <c r="H145" t="s">
        <v>19</v>
      </c>
      <c r="I145">
        <f>ROUND((91*0.75)/10,9)</f>
        <v>6.8250000000000002</v>
      </c>
      <c r="J145">
        <v>0</v>
      </c>
      <c r="O145">
        <f t="shared" ref="O145:O151" si="88">ROUND(CP145,2)</f>
        <v>89045.4</v>
      </c>
      <c r="P145">
        <f t="shared" ref="P145:P151" si="89">ROUND((ROUND((AC145*AW145*I145),2)*BC145),2)</f>
        <v>20624.23</v>
      </c>
      <c r="Q145">
        <f t="shared" ref="Q145:Q151" si="90">(ROUND((ROUND(((ET145)*AV145*I145),2)*BB145),2)+ROUND((ROUND(((AE145-(EU145))*AV145*I145),2)*BS145),2))</f>
        <v>6996.39</v>
      </c>
      <c r="R145">
        <f t="shared" ref="R145:R151" si="91">ROUND((ROUND((AE145*AV145*I145),2)*BS145),2)</f>
        <v>4277.2299999999996</v>
      </c>
      <c r="S145">
        <f t="shared" ref="S145:S151" si="92">ROUND((ROUND((AF145*AV145*I145),2)*BA145),2)</f>
        <v>61424.78</v>
      </c>
      <c r="T145">
        <f t="shared" ref="T145:T151" si="93">ROUND(CU145*I145,2)</f>
        <v>0</v>
      </c>
      <c r="U145">
        <f t="shared" ref="U145:U151" si="94">CV145*I145</f>
        <v>242.15099999999998</v>
      </c>
      <c r="V145">
        <f t="shared" ref="V145:V151" si="95">CW145*I145</f>
        <v>0</v>
      </c>
      <c r="W145">
        <f t="shared" ref="W145:W151" si="96">ROUND(CX145*I145,2)</f>
        <v>0</v>
      </c>
      <c r="X145">
        <f t="shared" ref="X145:Y151" si="97">ROUND(CY145,2)</f>
        <v>62653.279999999999</v>
      </c>
      <c r="Y145">
        <f t="shared" si="97"/>
        <v>28869.65</v>
      </c>
      <c r="AA145">
        <v>49688178</v>
      </c>
      <c r="AB145">
        <f t="shared" ref="AB145:AB151" si="98">ROUND((AC145+AD145+AF145),6)</f>
        <v>1718.52</v>
      </c>
      <c r="AC145">
        <f t="shared" ref="AC145:AC151" si="99">ROUND((ES145),6)</f>
        <v>1259.1099999999999</v>
      </c>
      <c r="AD145">
        <f t="shared" ref="AD145:AD151" si="100">ROUND((((ET145)-(EU145))+AE145),6)</f>
        <v>96.8</v>
      </c>
      <c r="AE145">
        <f t="shared" ref="AE145:AF151" si="101">ROUND((EU145),6)</f>
        <v>25.25</v>
      </c>
      <c r="AF145">
        <f t="shared" si="101"/>
        <v>362.61</v>
      </c>
      <c r="AG145">
        <f t="shared" ref="AG145:AG151" si="102">ROUND((AP145),6)</f>
        <v>0</v>
      </c>
      <c r="AH145">
        <f t="shared" ref="AH145:AI151" si="103">(EW145)</f>
        <v>35.479999999999997</v>
      </c>
      <c r="AI145">
        <f t="shared" si="103"/>
        <v>0</v>
      </c>
      <c r="AJ145">
        <f t="shared" ref="AJ145:AJ151" si="104">(AS145)</f>
        <v>0</v>
      </c>
      <c r="AK145">
        <v>1718.52</v>
      </c>
      <c r="AL145">
        <v>1259.1099999999999</v>
      </c>
      <c r="AM145">
        <v>96.8</v>
      </c>
      <c r="AN145">
        <v>25.25</v>
      </c>
      <c r="AO145">
        <v>362.61</v>
      </c>
      <c r="AP145">
        <v>0</v>
      </c>
      <c r="AQ145">
        <v>35.479999999999997</v>
      </c>
      <c r="AR145">
        <v>0</v>
      </c>
      <c r="AS145">
        <v>0</v>
      </c>
      <c r="AT145">
        <v>102</v>
      </c>
      <c r="AU145">
        <v>47</v>
      </c>
      <c r="AV145">
        <v>1</v>
      </c>
      <c r="AW145">
        <v>1</v>
      </c>
      <c r="AZ145">
        <v>1</v>
      </c>
      <c r="BA145">
        <v>24.82</v>
      </c>
      <c r="BB145">
        <v>10.59</v>
      </c>
      <c r="BC145">
        <v>2.4</v>
      </c>
      <c r="BD145" t="s">
        <v>5</v>
      </c>
      <c r="BE145" t="s">
        <v>5</v>
      </c>
      <c r="BF145" t="s">
        <v>5</v>
      </c>
      <c r="BG145" t="s">
        <v>5</v>
      </c>
      <c r="BH145">
        <v>0</v>
      </c>
      <c r="BI145">
        <v>1</v>
      </c>
      <c r="BJ145" t="s">
        <v>133</v>
      </c>
      <c r="BM145">
        <v>292</v>
      </c>
      <c r="BN145">
        <v>0</v>
      </c>
      <c r="BO145" t="s">
        <v>131</v>
      </c>
      <c r="BP145">
        <v>1</v>
      </c>
      <c r="BQ145">
        <v>30</v>
      </c>
      <c r="BR145">
        <v>0</v>
      </c>
      <c r="BS145">
        <v>24.82</v>
      </c>
      <c r="BT145">
        <v>1</v>
      </c>
      <c r="BU145">
        <v>1</v>
      </c>
      <c r="BV145">
        <v>1</v>
      </c>
      <c r="BW145">
        <v>1</v>
      </c>
      <c r="BX145">
        <v>1</v>
      </c>
      <c r="BY145" t="s">
        <v>5</v>
      </c>
      <c r="BZ145">
        <v>102</v>
      </c>
      <c r="CA145">
        <v>47</v>
      </c>
      <c r="CE145">
        <v>30</v>
      </c>
      <c r="CF145">
        <v>0</v>
      </c>
      <c r="CG145">
        <v>0</v>
      </c>
      <c r="CM145">
        <v>0</v>
      </c>
      <c r="CN145" t="s">
        <v>5</v>
      </c>
      <c r="CO145">
        <v>0</v>
      </c>
      <c r="CP145">
        <f t="shared" ref="CP145:CP151" si="105">(P145+Q145+S145)</f>
        <v>89045.4</v>
      </c>
      <c r="CQ145">
        <f t="shared" ref="CQ145:CQ151" si="106">ROUND((ROUND((AC145*AW145*1),2)*BC145),2)</f>
        <v>3021.86</v>
      </c>
      <c r="CR145">
        <f t="shared" ref="CR145:CR151" si="107">(ROUND((ROUND(((ET145)*AV145*1),2)*BB145),2)+ROUND((ROUND(((AE145-(EU145))*AV145*1),2)*BS145),2))</f>
        <v>1025.1099999999999</v>
      </c>
      <c r="CS145">
        <f t="shared" ref="CS145:CS151" si="108">ROUND((ROUND((AE145*AV145*1),2)*BS145),2)</f>
        <v>626.71</v>
      </c>
      <c r="CT145">
        <f t="shared" ref="CT145:CT151" si="109">ROUND((ROUND((AF145*AV145*1),2)*BA145),2)</f>
        <v>8999.98</v>
      </c>
      <c r="CU145">
        <f t="shared" ref="CU145:CU151" si="110">AG145</f>
        <v>0</v>
      </c>
      <c r="CV145">
        <f t="shared" ref="CV145:CV151" si="111">(AH145*AV145)</f>
        <v>35.479999999999997</v>
      </c>
      <c r="CW145">
        <f t="shared" ref="CW145:CX151" si="112">AI145</f>
        <v>0</v>
      </c>
      <c r="CX145">
        <f t="shared" si="112"/>
        <v>0</v>
      </c>
      <c r="CY145">
        <f t="shared" ref="CY145:CY151" si="113">S145*(BZ145/100)</f>
        <v>62653.275600000001</v>
      </c>
      <c r="CZ145">
        <f t="shared" ref="CZ145:CZ151" si="114">S145*(CA145/100)</f>
        <v>28869.646599999996</v>
      </c>
      <c r="DC145" t="s">
        <v>5</v>
      </c>
      <c r="DD145" t="s">
        <v>5</v>
      </c>
      <c r="DE145" t="s">
        <v>5</v>
      </c>
      <c r="DF145" t="s">
        <v>5</v>
      </c>
      <c r="DG145" t="s">
        <v>5</v>
      </c>
      <c r="DH145" t="s">
        <v>5</v>
      </c>
      <c r="DI145" t="s">
        <v>5</v>
      </c>
      <c r="DJ145" t="s">
        <v>5</v>
      </c>
      <c r="DK145" t="s">
        <v>5</v>
      </c>
      <c r="DL145" t="s">
        <v>5</v>
      </c>
      <c r="DM145" t="s">
        <v>5</v>
      </c>
      <c r="DN145">
        <v>187</v>
      </c>
      <c r="DO145">
        <v>101</v>
      </c>
      <c r="DP145">
        <v>1</v>
      </c>
      <c r="DQ145">
        <v>1</v>
      </c>
      <c r="DU145">
        <v>1013</v>
      </c>
      <c r="DV145" t="s">
        <v>19</v>
      </c>
      <c r="DW145" t="s">
        <v>19</v>
      </c>
      <c r="DX145">
        <v>1</v>
      </c>
      <c r="DZ145" t="s">
        <v>5</v>
      </c>
      <c r="EA145" t="s">
        <v>5</v>
      </c>
      <c r="EB145" t="s">
        <v>5</v>
      </c>
      <c r="EC145" t="s">
        <v>5</v>
      </c>
      <c r="EE145">
        <v>49387988</v>
      </c>
      <c r="EF145">
        <v>30</v>
      </c>
      <c r="EG145" t="s">
        <v>21</v>
      </c>
      <c r="EH145">
        <v>0</v>
      </c>
      <c r="EI145" t="s">
        <v>5</v>
      </c>
      <c r="EJ145">
        <v>1</v>
      </c>
      <c r="EK145">
        <v>292</v>
      </c>
      <c r="EL145" t="s">
        <v>22</v>
      </c>
      <c r="EM145" t="s">
        <v>23</v>
      </c>
      <c r="EO145" t="s">
        <v>5</v>
      </c>
      <c r="EQ145">
        <v>0</v>
      </c>
      <c r="ER145">
        <v>1718.52</v>
      </c>
      <c r="ES145">
        <v>1259.1099999999999</v>
      </c>
      <c r="ET145">
        <v>96.8</v>
      </c>
      <c r="EU145">
        <v>25.25</v>
      </c>
      <c r="EV145">
        <v>362.61</v>
      </c>
      <c r="EW145">
        <v>35.479999999999997</v>
      </c>
      <c r="EX145">
        <v>0</v>
      </c>
      <c r="EY145">
        <v>0</v>
      </c>
      <c r="FQ145">
        <v>0</v>
      </c>
      <c r="FR145">
        <f t="shared" ref="FR145:FR151" si="115">ROUND(IF(AND(BH145=3,BI145=3),P145,0),2)</f>
        <v>0</v>
      </c>
      <c r="FS145">
        <v>0</v>
      </c>
      <c r="FX145">
        <v>187</v>
      </c>
      <c r="FY145">
        <v>101</v>
      </c>
      <c r="GA145" t="s">
        <v>5</v>
      </c>
      <c r="GD145">
        <v>0</v>
      </c>
      <c r="GF145">
        <v>1595454137</v>
      </c>
      <c r="GG145">
        <v>2</v>
      </c>
      <c r="GH145">
        <v>1</v>
      </c>
      <c r="GI145">
        <v>2</v>
      </c>
      <c r="GJ145">
        <v>0</v>
      </c>
      <c r="GK145">
        <f>ROUND(R145*(R12)/100,2)</f>
        <v>6715.25</v>
      </c>
      <c r="GL145">
        <f t="shared" ref="GL145:GL151" si="116">ROUND(IF(AND(BH145=3,BI145=3,FS145&lt;&gt;0),P145,0),2)</f>
        <v>0</v>
      </c>
      <c r="GM145">
        <f t="shared" ref="GM145:GM151" si="117">ROUND(O145+X145+Y145+GK145,2)+GX145</f>
        <v>187283.58</v>
      </c>
      <c r="GN145">
        <f t="shared" ref="GN145:GN151" si="118">IF(OR(BI145=0,BI145=1),ROUND(O145+X145+Y145+GK145,2),0)</f>
        <v>187283.58</v>
      </c>
      <c r="GO145">
        <f t="shared" ref="GO145:GO151" si="119">IF(BI145=2,ROUND(O145+X145+Y145+GK145,2),0)</f>
        <v>0</v>
      </c>
      <c r="GP145">
        <f t="shared" ref="GP145:GP151" si="120">IF(BI145=4,ROUND(O145+X145+Y145+GK145,2)+GX145,0)</f>
        <v>0</v>
      </c>
      <c r="GR145">
        <v>0</v>
      </c>
      <c r="GS145">
        <v>3</v>
      </c>
      <c r="GT145">
        <v>0</v>
      </c>
      <c r="GU145" t="s">
        <v>5</v>
      </c>
      <c r="GV145">
        <f t="shared" ref="GV145:GV151" si="121">ROUND((GT145),6)</f>
        <v>0</v>
      </c>
      <c r="GW145">
        <v>1</v>
      </c>
      <c r="GX145">
        <f t="shared" ref="GX145:GX151" si="122">ROUND(HC145*I145,2)</f>
        <v>0</v>
      </c>
      <c r="HA145">
        <v>0</v>
      </c>
      <c r="HB145">
        <v>0</v>
      </c>
      <c r="HC145">
        <f t="shared" ref="HC145:HC151" si="123">GV145*GW145</f>
        <v>0</v>
      </c>
      <c r="HE145" t="s">
        <v>5</v>
      </c>
      <c r="HF145" t="s">
        <v>5</v>
      </c>
      <c r="IK145">
        <v>0</v>
      </c>
    </row>
    <row r="146" spans="1:245" x14ac:dyDescent="0.2">
      <c r="A146">
        <v>18</v>
      </c>
      <c r="B146">
        <v>1</v>
      </c>
      <c r="C146">
        <v>31</v>
      </c>
      <c r="E146" t="s">
        <v>134</v>
      </c>
      <c r="F146" t="s">
        <v>25</v>
      </c>
      <c r="G146" t="s">
        <v>26</v>
      </c>
      <c r="H146" t="s">
        <v>27</v>
      </c>
      <c r="I146">
        <f>I145*J146</f>
        <v>63.1995</v>
      </c>
      <c r="J146">
        <v>9.26</v>
      </c>
      <c r="O146">
        <f t="shared" si="88"/>
        <v>61806.2</v>
      </c>
      <c r="P146">
        <f t="shared" si="89"/>
        <v>61806.2</v>
      </c>
      <c r="Q146">
        <f t="shared" si="90"/>
        <v>0</v>
      </c>
      <c r="R146">
        <f t="shared" si="91"/>
        <v>0</v>
      </c>
      <c r="S146">
        <f t="shared" si="92"/>
        <v>0</v>
      </c>
      <c r="T146">
        <f t="shared" si="93"/>
        <v>0</v>
      </c>
      <c r="U146">
        <f t="shared" si="94"/>
        <v>0</v>
      </c>
      <c r="V146">
        <f t="shared" si="95"/>
        <v>0</v>
      </c>
      <c r="W146">
        <f t="shared" si="96"/>
        <v>0</v>
      </c>
      <c r="X146">
        <f t="shared" si="97"/>
        <v>0</v>
      </c>
      <c r="Y146">
        <f t="shared" si="97"/>
        <v>0</v>
      </c>
      <c r="AA146">
        <v>49688178</v>
      </c>
      <c r="AB146">
        <f t="shared" si="98"/>
        <v>146.84</v>
      </c>
      <c r="AC146">
        <f t="shared" si="99"/>
        <v>146.84</v>
      </c>
      <c r="AD146">
        <f t="shared" si="100"/>
        <v>0</v>
      </c>
      <c r="AE146">
        <f t="shared" si="101"/>
        <v>0</v>
      </c>
      <c r="AF146">
        <f t="shared" si="101"/>
        <v>0</v>
      </c>
      <c r="AG146">
        <f t="shared" si="102"/>
        <v>0</v>
      </c>
      <c r="AH146">
        <f t="shared" si="103"/>
        <v>0</v>
      </c>
      <c r="AI146">
        <f t="shared" si="103"/>
        <v>0</v>
      </c>
      <c r="AJ146">
        <f t="shared" si="104"/>
        <v>0</v>
      </c>
      <c r="AK146">
        <v>146.84</v>
      </c>
      <c r="AL146">
        <v>146.84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Z146">
        <v>1</v>
      </c>
      <c r="BA146">
        <v>1</v>
      </c>
      <c r="BB146">
        <v>1</v>
      </c>
      <c r="BC146">
        <v>6.66</v>
      </c>
      <c r="BD146" t="s">
        <v>5</v>
      </c>
      <c r="BE146" t="s">
        <v>5</v>
      </c>
      <c r="BF146" t="s">
        <v>5</v>
      </c>
      <c r="BG146" t="s">
        <v>5</v>
      </c>
      <c r="BH146">
        <v>3</v>
      </c>
      <c r="BI146">
        <v>1</v>
      </c>
      <c r="BJ146" t="s">
        <v>28</v>
      </c>
      <c r="BM146">
        <v>292</v>
      </c>
      <c r="BN146">
        <v>0</v>
      </c>
      <c r="BO146" t="s">
        <v>25</v>
      </c>
      <c r="BP146">
        <v>1</v>
      </c>
      <c r="BQ146">
        <v>30</v>
      </c>
      <c r="BR146">
        <v>0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 t="s">
        <v>5</v>
      </c>
      <c r="BZ146">
        <v>0</v>
      </c>
      <c r="CA146">
        <v>0</v>
      </c>
      <c r="CE146">
        <v>30</v>
      </c>
      <c r="CF146">
        <v>0</v>
      </c>
      <c r="CG146">
        <v>0</v>
      </c>
      <c r="CM146">
        <v>0</v>
      </c>
      <c r="CN146" t="s">
        <v>5</v>
      </c>
      <c r="CO146">
        <v>0</v>
      </c>
      <c r="CP146">
        <f t="shared" si="105"/>
        <v>61806.2</v>
      </c>
      <c r="CQ146">
        <f t="shared" si="106"/>
        <v>977.95</v>
      </c>
      <c r="CR146">
        <f t="shared" si="107"/>
        <v>0</v>
      </c>
      <c r="CS146">
        <f t="shared" si="108"/>
        <v>0</v>
      </c>
      <c r="CT146">
        <f t="shared" si="109"/>
        <v>0</v>
      </c>
      <c r="CU146">
        <f t="shared" si="110"/>
        <v>0</v>
      </c>
      <c r="CV146">
        <f t="shared" si="111"/>
        <v>0</v>
      </c>
      <c r="CW146">
        <f t="shared" si="112"/>
        <v>0</v>
      </c>
      <c r="CX146">
        <f t="shared" si="112"/>
        <v>0</v>
      </c>
      <c r="CY146">
        <f t="shared" si="113"/>
        <v>0</v>
      </c>
      <c r="CZ146">
        <f t="shared" si="114"/>
        <v>0</v>
      </c>
      <c r="DC146" t="s">
        <v>5</v>
      </c>
      <c r="DD146" t="s">
        <v>5</v>
      </c>
      <c r="DE146" t="s">
        <v>5</v>
      </c>
      <c r="DF146" t="s">
        <v>5</v>
      </c>
      <c r="DG146" t="s">
        <v>5</v>
      </c>
      <c r="DH146" t="s">
        <v>5</v>
      </c>
      <c r="DI146" t="s">
        <v>5</v>
      </c>
      <c r="DJ146" t="s">
        <v>5</v>
      </c>
      <c r="DK146" t="s">
        <v>5</v>
      </c>
      <c r="DL146" t="s">
        <v>5</v>
      </c>
      <c r="DM146" t="s">
        <v>5</v>
      </c>
      <c r="DN146">
        <v>187</v>
      </c>
      <c r="DO146">
        <v>101</v>
      </c>
      <c r="DP146">
        <v>1</v>
      </c>
      <c r="DQ146">
        <v>1</v>
      </c>
      <c r="DU146">
        <v>1007</v>
      </c>
      <c r="DV146" t="s">
        <v>27</v>
      </c>
      <c r="DW146" t="s">
        <v>27</v>
      </c>
      <c r="DX146">
        <v>1</v>
      </c>
      <c r="DZ146" t="s">
        <v>5</v>
      </c>
      <c r="EA146" t="s">
        <v>5</v>
      </c>
      <c r="EB146" t="s">
        <v>5</v>
      </c>
      <c r="EC146" t="s">
        <v>5</v>
      </c>
      <c r="EE146">
        <v>49387988</v>
      </c>
      <c r="EF146">
        <v>30</v>
      </c>
      <c r="EG146" t="s">
        <v>21</v>
      </c>
      <c r="EH146">
        <v>0</v>
      </c>
      <c r="EI146" t="s">
        <v>5</v>
      </c>
      <c r="EJ146">
        <v>1</v>
      </c>
      <c r="EK146">
        <v>292</v>
      </c>
      <c r="EL146" t="s">
        <v>22</v>
      </c>
      <c r="EM146" t="s">
        <v>23</v>
      </c>
      <c r="EO146" t="s">
        <v>5</v>
      </c>
      <c r="EQ146">
        <v>0</v>
      </c>
      <c r="ER146">
        <v>146.84</v>
      </c>
      <c r="ES146">
        <v>146.84</v>
      </c>
      <c r="ET146">
        <v>0</v>
      </c>
      <c r="EU146">
        <v>0</v>
      </c>
      <c r="EV146">
        <v>0</v>
      </c>
      <c r="EW146">
        <v>0</v>
      </c>
      <c r="EX146">
        <v>0</v>
      </c>
      <c r="FQ146">
        <v>0</v>
      </c>
      <c r="FR146">
        <f t="shared" si="115"/>
        <v>0</v>
      </c>
      <c r="FS146">
        <v>0</v>
      </c>
      <c r="FX146">
        <v>187</v>
      </c>
      <c r="FY146">
        <v>101</v>
      </c>
      <c r="GA146" t="s">
        <v>5</v>
      </c>
      <c r="GD146">
        <v>0</v>
      </c>
      <c r="GF146">
        <v>92320855</v>
      </c>
      <c r="GG146">
        <v>2</v>
      </c>
      <c r="GH146">
        <v>1</v>
      </c>
      <c r="GI146">
        <v>2</v>
      </c>
      <c r="GJ146">
        <v>0</v>
      </c>
      <c r="GK146">
        <f>ROUND(R146*(R12)/100,2)</f>
        <v>0</v>
      </c>
      <c r="GL146">
        <f t="shared" si="116"/>
        <v>0</v>
      </c>
      <c r="GM146">
        <f t="shared" si="117"/>
        <v>61806.2</v>
      </c>
      <c r="GN146">
        <f t="shared" si="118"/>
        <v>61806.2</v>
      </c>
      <c r="GO146">
        <f t="shared" si="119"/>
        <v>0</v>
      </c>
      <c r="GP146">
        <f t="shared" si="120"/>
        <v>0</v>
      </c>
      <c r="GR146">
        <v>0</v>
      </c>
      <c r="GS146">
        <v>3</v>
      </c>
      <c r="GT146">
        <v>0</v>
      </c>
      <c r="GU146" t="s">
        <v>5</v>
      </c>
      <c r="GV146">
        <f t="shared" si="121"/>
        <v>0</v>
      </c>
      <c r="GW146">
        <v>1</v>
      </c>
      <c r="GX146">
        <f t="shared" si="122"/>
        <v>0</v>
      </c>
      <c r="HA146">
        <v>0</v>
      </c>
      <c r="HB146">
        <v>0</v>
      </c>
      <c r="HC146">
        <f t="shared" si="123"/>
        <v>0</v>
      </c>
      <c r="HE146" t="s">
        <v>5</v>
      </c>
      <c r="HF146" t="s">
        <v>5</v>
      </c>
      <c r="IK146">
        <v>0</v>
      </c>
    </row>
    <row r="147" spans="1:245" x14ac:dyDescent="0.2">
      <c r="A147">
        <v>17</v>
      </c>
      <c r="B147">
        <v>1</v>
      </c>
      <c r="C147">
        <f>ROW(SmtRes!A35)</f>
        <v>35</v>
      </c>
      <c r="D147">
        <f>ROW(EtalonRes!A37)</f>
        <v>37</v>
      </c>
      <c r="E147" t="s">
        <v>135</v>
      </c>
      <c r="F147" t="s">
        <v>136</v>
      </c>
      <c r="G147" t="s">
        <v>137</v>
      </c>
      <c r="H147" t="s">
        <v>19</v>
      </c>
      <c r="I147">
        <f>ROUND((91*0.25)/10,9)</f>
        <v>2.2749999999999999</v>
      </c>
      <c r="J147">
        <v>0</v>
      </c>
      <c r="O147">
        <f t="shared" si="88"/>
        <v>43063.55</v>
      </c>
      <c r="P147">
        <f t="shared" si="89"/>
        <v>6874.75</v>
      </c>
      <c r="Q147">
        <f t="shared" si="90"/>
        <v>0</v>
      </c>
      <c r="R147">
        <f t="shared" si="91"/>
        <v>0</v>
      </c>
      <c r="S147">
        <f t="shared" si="92"/>
        <v>36188.800000000003</v>
      </c>
      <c r="T147">
        <f t="shared" si="93"/>
        <v>0</v>
      </c>
      <c r="U147">
        <f t="shared" si="94"/>
        <v>142.66524999999999</v>
      </c>
      <c r="V147">
        <f t="shared" si="95"/>
        <v>0</v>
      </c>
      <c r="W147">
        <f t="shared" si="96"/>
        <v>0</v>
      </c>
      <c r="X147">
        <f t="shared" si="97"/>
        <v>36912.58</v>
      </c>
      <c r="Y147">
        <f t="shared" si="97"/>
        <v>17008.740000000002</v>
      </c>
      <c r="AA147">
        <v>49688178</v>
      </c>
      <c r="AB147">
        <f t="shared" si="98"/>
        <v>1900.01</v>
      </c>
      <c r="AC147">
        <f t="shared" si="99"/>
        <v>1259.1099999999999</v>
      </c>
      <c r="AD147">
        <f t="shared" si="100"/>
        <v>0</v>
      </c>
      <c r="AE147">
        <f t="shared" si="101"/>
        <v>0</v>
      </c>
      <c r="AF147">
        <f t="shared" si="101"/>
        <v>640.9</v>
      </c>
      <c r="AG147">
        <f t="shared" si="102"/>
        <v>0</v>
      </c>
      <c r="AH147">
        <f t="shared" si="103"/>
        <v>62.71</v>
      </c>
      <c r="AI147">
        <f t="shared" si="103"/>
        <v>0</v>
      </c>
      <c r="AJ147">
        <f t="shared" si="104"/>
        <v>0</v>
      </c>
      <c r="AK147">
        <v>1900.01</v>
      </c>
      <c r="AL147">
        <v>1259.1099999999999</v>
      </c>
      <c r="AM147">
        <v>0</v>
      </c>
      <c r="AN147">
        <v>0</v>
      </c>
      <c r="AO147">
        <v>640.9</v>
      </c>
      <c r="AP147">
        <v>0</v>
      </c>
      <c r="AQ147">
        <v>62.71</v>
      </c>
      <c r="AR147">
        <v>0</v>
      </c>
      <c r="AS147">
        <v>0</v>
      </c>
      <c r="AT147">
        <v>102</v>
      </c>
      <c r="AU147">
        <v>47</v>
      </c>
      <c r="AV147">
        <v>1</v>
      </c>
      <c r="AW147">
        <v>1</v>
      </c>
      <c r="AZ147">
        <v>1</v>
      </c>
      <c r="BA147">
        <v>24.82</v>
      </c>
      <c r="BB147">
        <v>1</v>
      </c>
      <c r="BC147">
        <v>2.4</v>
      </c>
      <c r="BD147" t="s">
        <v>5</v>
      </c>
      <c r="BE147" t="s">
        <v>5</v>
      </c>
      <c r="BF147" t="s">
        <v>5</v>
      </c>
      <c r="BG147" t="s">
        <v>5</v>
      </c>
      <c r="BH147">
        <v>0</v>
      </c>
      <c r="BI147">
        <v>1</v>
      </c>
      <c r="BJ147" t="s">
        <v>138</v>
      </c>
      <c r="BM147">
        <v>292</v>
      </c>
      <c r="BN147">
        <v>0</v>
      </c>
      <c r="BO147" t="s">
        <v>136</v>
      </c>
      <c r="BP147">
        <v>1</v>
      </c>
      <c r="BQ147">
        <v>30</v>
      </c>
      <c r="BR147">
        <v>0</v>
      </c>
      <c r="BS147">
        <v>24.82</v>
      </c>
      <c r="BT147">
        <v>1</v>
      </c>
      <c r="BU147">
        <v>1</v>
      </c>
      <c r="BV147">
        <v>1</v>
      </c>
      <c r="BW147">
        <v>1</v>
      </c>
      <c r="BX147">
        <v>1</v>
      </c>
      <c r="BY147" t="s">
        <v>5</v>
      </c>
      <c r="BZ147">
        <v>102</v>
      </c>
      <c r="CA147">
        <v>47</v>
      </c>
      <c r="CE147">
        <v>30</v>
      </c>
      <c r="CF147">
        <v>0</v>
      </c>
      <c r="CG147">
        <v>0</v>
      </c>
      <c r="CM147">
        <v>0</v>
      </c>
      <c r="CN147" t="s">
        <v>5</v>
      </c>
      <c r="CO147">
        <v>0</v>
      </c>
      <c r="CP147">
        <f t="shared" si="105"/>
        <v>43063.55</v>
      </c>
      <c r="CQ147">
        <f t="shared" si="106"/>
        <v>3021.86</v>
      </c>
      <c r="CR147">
        <f t="shared" si="107"/>
        <v>0</v>
      </c>
      <c r="CS147">
        <f t="shared" si="108"/>
        <v>0</v>
      </c>
      <c r="CT147">
        <f t="shared" si="109"/>
        <v>15907.14</v>
      </c>
      <c r="CU147">
        <f t="shared" si="110"/>
        <v>0</v>
      </c>
      <c r="CV147">
        <f t="shared" si="111"/>
        <v>62.71</v>
      </c>
      <c r="CW147">
        <f t="shared" si="112"/>
        <v>0</v>
      </c>
      <c r="CX147">
        <f t="shared" si="112"/>
        <v>0</v>
      </c>
      <c r="CY147">
        <f t="shared" si="113"/>
        <v>36912.576000000001</v>
      </c>
      <c r="CZ147">
        <f t="shared" si="114"/>
        <v>17008.736000000001</v>
      </c>
      <c r="DC147" t="s">
        <v>5</v>
      </c>
      <c r="DD147" t="s">
        <v>5</v>
      </c>
      <c r="DE147" t="s">
        <v>5</v>
      </c>
      <c r="DF147" t="s">
        <v>5</v>
      </c>
      <c r="DG147" t="s">
        <v>5</v>
      </c>
      <c r="DH147" t="s">
        <v>5</v>
      </c>
      <c r="DI147" t="s">
        <v>5</v>
      </c>
      <c r="DJ147" t="s">
        <v>5</v>
      </c>
      <c r="DK147" t="s">
        <v>5</v>
      </c>
      <c r="DL147" t="s">
        <v>5</v>
      </c>
      <c r="DM147" t="s">
        <v>5</v>
      </c>
      <c r="DN147">
        <v>187</v>
      </c>
      <c r="DO147">
        <v>101</v>
      </c>
      <c r="DP147">
        <v>1</v>
      </c>
      <c r="DQ147">
        <v>1</v>
      </c>
      <c r="DU147">
        <v>1013</v>
      </c>
      <c r="DV147" t="s">
        <v>19</v>
      </c>
      <c r="DW147" t="s">
        <v>19</v>
      </c>
      <c r="DX147">
        <v>1</v>
      </c>
      <c r="DZ147" t="s">
        <v>5</v>
      </c>
      <c r="EA147" t="s">
        <v>5</v>
      </c>
      <c r="EB147" t="s">
        <v>5</v>
      </c>
      <c r="EC147" t="s">
        <v>5</v>
      </c>
      <c r="EE147">
        <v>49387988</v>
      </c>
      <c r="EF147">
        <v>30</v>
      </c>
      <c r="EG147" t="s">
        <v>21</v>
      </c>
      <c r="EH147">
        <v>0</v>
      </c>
      <c r="EI147" t="s">
        <v>5</v>
      </c>
      <c r="EJ147">
        <v>1</v>
      </c>
      <c r="EK147">
        <v>292</v>
      </c>
      <c r="EL147" t="s">
        <v>22</v>
      </c>
      <c r="EM147" t="s">
        <v>23</v>
      </c>
      <c r="EO147" t="s">
        <v>5</v>
      </c>
      <c r="EQ147">
        <v>0</v>
      </c>
      <c r="ER147">
        <v>1900.01</v>
      </c>
      <c r="ES147">
        <v>1259.1099999999999</v>
      </c>
      <c r="ET147">
        <v>0</v>
      </c>
      <c r="EU147">
        <v>0</v>
      </c>
      <c r="EV147">
        <v>640.9</v>
      </c>
      <c r="EW147">
        <v>62.71</v>
      </c>
      <c r="EX147">
        <v>0</v>
      </c>
      <c r="EY147">
        <v>0</v>
      </c>
      <c r="FQ147">
        <v>0</v>
      </c>
      <c r="FR147">
        <f t="shared" si="115"/>
        <v>0</v>
      </c>
      <c r="FS147">
        <v>0</v>
      </c>
      <c r="FX147">
        <v>187</v>
      </c>
      <c r="FY147">
        <v>101</v>
      </c>
      <c r="GA147" t="s">
        <v>5</v>
      </c>
      <c r="GD147">
        <v>0</v>
      </c>
      <c r="GF147">
        <v>347238335</v>
      </c>
      <c r="GG147">
        <v>2</v>
      </c>
      <c r="GH147">
        <v>1</v>
      </c>
      <c r="GI147">
        <v>2</v>
      </c>
      <c r="GJ147">
        <v>0</v>
      </c>
      <c r="GK147">
        <f>ROUND(R147*(R12)/100,2)</f>
        <v>0</v>
      </c>
      <c r="GL147">
        <f t="shared" si="116"/>
        <v>0</v>
      </c>
      <c r="GM147">
        <f t="shared" si="117"/>
        <v>96984.87</v>
      </c>
      <c r="GN147">
        <f t="shared" si="118"/>
        <v>96984.87</v>
      </c>
      <c r="GO147">
        <f t="shared" si="119"/>
        <v>0</v>
      </c>
      <c r="GP147">
        <f t="shared" si="120"/>
        <v>0</v>
      </c>
      <c r="GR147">
        <v>0</v>
      </c>
      <c r="GS147">
        <v>3</v>
      </c>
      <c r="GT147">
        <v>0</v>
      </c>
      <c r="GU147" t="s">
        <v>5</v>
      </c>
      <c r="GV147">
        <f t="shared" si="121"/>
        <v>0</v>
      </c>
      <c r="GW147">
        <v>1</v>
      </c>
      <c r="GX147">
        <f t="shared" si="122"/>
        <v>0</v>
      </c>
      <c r="HA147">
        <v>0</v>
      </c>
      <c r="HB147">
        <v>0</v>
      </c>
      <c r="HC147">
        <f t="shared" si="123"/>
        <v>0</v>
      </c>
      <c r="HE147" t="s">
        <v>5</v>
      </c>
      <c r="HF147" t="s">
        <v>5</v>
      </c>
      <c r="IK147">
        <v>0</v>
      </c>
    </row>
    <row r="148" spans="1:245" x14ac:dyDescent="0.2">
      <c r="A148">
        <v>18</v>
      </c>
      <c r="B148">
        <v>1</v>
      </c>
      <c r="C148">
        <v>34</v>
      </c>
      <c r="E148" t="s">
        <v>139</v>
      </c>
      <c r="F148" t="s">
        <v>25</v>
      </c>
      <c r="G148" t="s">
        <v>26</v>
      </c>
      <c r="H148" t="s">
        <v>27</v>
      </c>
      <c r="I148">
        <f>I147*J148</f>
        <v>21.066500000000001</v>
      </c>
      <c r="J148">
        <v>9.2600000000000016</v>
      </c>
      <c r="O148">
        <f t="shared" si="88"/>
        <v>20602.04</v>
      </c>
      <c r="P148">
        <f t="shared" si="89"/>
        <v>20602.04</v>
      </c>
      <c r="Q148">
        <f t="shared" si="90"/>
        <v>0</v>
      </c>
      <c r="R148">
        <f t="shared" si="91"/>
        <v>0</v>
      </c>
      <c r="S148">
        <f t="shared" si="92"/>
        <v>0</v>
      </c>
      <c r="T148">
        <f t="shared" si="93"/>
        <v>0</v>
      </c>
      <c r="U148">
        <f t="shared" si="94"/>
        <v>0</v>
      </c>
      <c r="V148">
        <f t="shared" si="95"/>
        <v>0</v>
      </c>
      <c r="W148">
        <f t="shared" si="96"/>
        <v>0</v>
      </c>
      <c r="X148">
        <f t="shared" si="97"/>
        <v>0</v>
      </c>
      <c r="Y148">
        <f t="shared" si="97"/>
        <v>0</v>
      </c>
      <c r="AA148">
        <v>49688178</v>
      </c>
      <c r="AB148">
        <f t="shared" si="98"/>
        <v>146.84</v>
      </c>
      <c r="AC148">
        <f t="shared" si="99"/>
        <v>146.84</v>
      </c>
      <c r="AD148">
        <f t="shared" si="100"/>
        <v>0</v>
      </c>
      <c r="AE148">
        <f t="shared" si="101"/>
        <v>0</v>
      </c>
      <c r="AF148">
        <f t="shared" si="101"/>
        <v>0</v>
      </c>
      <c r="AG148">
        <f t="shared" si="102"/>
        <v>0</v>
      </c>
      <c r="AH148">
        <f t="shared" si="103"/>
        <v>0</v>
      </c>
      <c r="AI148">
        <f t="shared" si="103"/>
        <v>0</v>
      </c>
      <c r="AJ148">
        <f t="shared" si="104"/>
        <v>0</v>
      </c>
      <c r="AK148">
        <v>146.84</v>
      </c>
      <c r="AL148">
        <v>146.84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Z148">
        <v>1</v>
      </c>
      <c r="BA148">
        <v>1</v>
      </c>
      <c r="BB148">
        <v>1</v>
      </c>
      <c r="BC148">
        <v>6.66</v>
      </c>
      <c r="BD148" t="s">
        <v>5</v>
      </c>
      <c r="BE148" t="s">
        <v>5</v>
      </c>
      <c r="BF148" t="s">
        <v>5</v>
      </c>
      <c r="BG148" t="s">
        <v>5</v>
      </c>
      <c r="BH148">
        <v>3</v>
      </c>
      <c r="BI148">
        <v>1</v>
      </c>
      <c r="BJ148" t="s">
        <v>28</v>
      </c>
      <c r="BM148">
        <v>292</v>
      </c>
      <c r="BN148">
        <v>0</v>
      </c>
      <c r="BO148" t="s">
        <v>25</v>
      </c>
      <c r="BP148">
        <v>1</v>
      </c>
      <c r="BQ148">
        <v>30</v>
      </c>
      <c r="BR148">
        <v>0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 t="s">
        <v>5</v>
      </c>
      <c r="BZ148">
        <v>0</v>
      </c>
      <c r="CA148">
        <v>0</v>
      </c>
      <c r="CE148">
        <v>30</v>
      </c>
      <c r="CF148">
        <v>0</v>
      </c>
      <c r="CG148">
        <v>0</v>
      </c>
      <c r="CM148">
        <v>0</v>
      </c>
      <c r="CN148" t="s">
        <v>5</v>
      </c>
      <c r="CO148">
        <v>0</v>
      </c>
      <c r="CP148">
        <f t="shared" si="105"/>
        <v>20602.04</v>
      </c>
      <c r="CQ148">
        <f t="shared" si="106"/>
        <v>977.95</v>
      </c>
      <c r="CR148">
        <f t="shared" si="107"/>
        <v>0</v>
      </c>
      <c r="CS148">
        <f t="shared" si="108"/>
        <v>0</v>
      </c>
      <c r="CT148">
        <f t="shared" si="109"/>
        <v>0</v>
      </c>
      <c r="CU148">
        <f t="shared" si="110"/>
        <v>0</v>
      </c>
      <c r="CV148">
        <f t="shared" si="111"/>
        <v>0</v>
      </c>
      <c r="CW148">
        <f t="shared" si="112"/>
        <v>0</v>
      </c>
      <c r="CX148">
        <f t="shared" si="112"/>
        <v>0</v>
      </c>
      <c r="CY148">
        <f t="shared" si="113"/>
        <v>0</v>
      </c>
      <c r="CZ148">
        <f t="shared" si="114"/>
        <v>0</v>
      </c>
      <c r="DC148" t="s">
        <v>5</v>
      </c>
      <c r="DD148" t="s">
        <v>5</v>
      </c>
      <c r="DE148" t="s">
        <v>5</v>
      </c>
      <c r="DF148" t="s">
        <v>5</v>
      </c>
      <c r="DG148" t="s">
        <v>5</v>
      </c>
      <c r="DH148" t="s">
        <v>5</v>
      </c>
      <c r="DI148" t="s">
        <v>5</v>
      </c>
      <c r="DJ148" t="s">
        <v>5</v>
      </c>
      <c r="DK148" t="s">
        <v>5</v>
      </c>
      <c r="DL148" t="s">
        <v>5</v>
      </c>
      <c r="DM148" t="s">
        <v>5</v>
      </c>
      <c r="DN148">
        <v>187</v>
      </c>
      <c r="DO148">
        <v>101</v>
      </c>
      <c r="DP148">
        <v>1</v>
      </c>
      <c r="DQ148">
        <v>1</v>
      </c>
      <c r="DU148">
        <v>1007</v>
      </c>
      <c r="DV148" t="s">
        <v>27</v>
      </c>
      <c r="DW148" t="s">
        <v>27</v>
      </c>
      <c r="DX148">
        <v>1</v>
      </c>
      <c r="DZ148" t="s">
        <v>5</v>
      </c>
      <c r="EA148" t="s">
        <v>5</v>
      </c>
      <c r="EB148" t="s">
        <v>5</v>
      </c>
      <c r="EC148" t="s">
        <v>5</v>
      </c>
      <c r="EE148">
        <v>49387988</v>
      </c>
      <c r="EF148">
        <v>30</v>
      </c>
      <c r="EG148" t="s">
        <v>21</v>
      </c>
      <c r="EH148">
        <v>0</v>
      </c>
      <c r="EI148" t="s">
        <v>5</v>
      </c>
      <c r="EJ148">
        <v>1</v>
      </c>
      <c r="EK148">
        <v>292</v>
      </c>
      <c r="EL148" t="s">
        <v>22</v>
      </c>
      <c r="EM148" t="s">
        <v>23</v>
      </c>
      <c r="EO148" t="s">
        <v>5</v>
      </c>
      <c r="EQ148">
        <v>0</v>
      </c>
      <c r="ER148">
        <v>146.84</v>
      </c>
      <c r="ES148">
        <v>146.84</v>
      </c>
      <c r="ET148">
        <v>0</v>
      </c>
      <c r="EU148">
        <v>0</v>
      </c>
      <c r="EV148">
        <v>0</v>
      </c>
      <c r="EW148">
        <v>0</v>
      </c>
      <c r="EX148">
        <v>0</v>
      </c>
      <c r="FQ148">
        <v>0</v>
      </c>
      <c r="FR148">
        <f t="shared" si="115"/>
        <v>0</v>
      </c>
      <c r="FS148">
        <v>0</v>
      </c>
      <c r="FX148">
        <v>187</v>
      </c>
      <c r="FY148">
        <v>101</v>
      </c>
      <c r="GA148" t="s">
        <v>5</v>
      </c>
      <c r="GD148">
        <v>0</v>
      </c>
      <c r="GF148">
        <v>92320855</v>
      </c>
      <c r="GG148">
        <v>2</v>
      </c>
      <c r="GH148">
        <v>1</v>
      </c>
      <c r="GI148">
        <v>2</v>
      </c>
      <c r="GJ148">
        <v>0</v>
      </c>
      <c r="GK148">
        <f>ROUND(R148*(R12)/100,2)</f>
        <v>0</v>
      </c>
      <c r="GL148">
        <f t="shared" si="116"/>
        <v>0</v>
      </c>
      <c r="GM148">
        <f t="shared" si="117"/>
        <v>20602.04</v>
      </c>
      <c r="GN148">
        <f t="shared" si="118"/>
        <v>20602.04</v>
      </c>
      <c r="GO148">
        <f t="shared" si="119"/>
        <v>0</v>
      </c>
      <c r="GP148">
        <f t="shared" si="120"/>
        <v>0</v>
      </c>
      <c r="GR148">
        <v>0</v>
      </c>
      <c r="GS148">
        <v>3</v>
      </c>
      <c r="GT148">
        <v>0</v>
      </c>
      <c r="GU148" t="s">
        <v>5</v>
      </c>
      <c r="GV148">
        <f t="shared" si="121"/>
        <v>0</v>
      </c>
      <c r="GW148">
        <v>1</v>
      </c>
      <c r="GX148">
        <f t="shared" si="122"/>
        <v>0</v>
      </c>
      <c r="HA148">
        <v>0</v>
      </c>
      <c r="HB148">
        <v>0</v>
      </c>
      <c r="HC148">
        <f t="shared" si="123"/>
        <v>0</v>
      </c>
      <c r="HE148" t="s">
        <v>5</v>
      </c>
      <c r="HF148" t="s">
        <v>5</v>
      </c>
      <c r="IK148">
        <v>0</v>
      </c>
    </row>
    <row r="149" spans="1:245" x14ac:dyDescent="0.2">
      <c r="A149">
        <v>17</v>
      </c>
      <c r="B149">
        <v>1</v>
      </c>
      <c r="C149">
        <f>ROW(SmtRes!A40)</f>
        <v>40</v>
      </c>
      <c r="D149">
        <f>ROW(EtalonRes!A43)</f>
        <v>43</v>
      </c>
      <c r="E149" t="s">
        <v>140</v>
      </c>
      <c r="F149" t="s">
        <v>141</v>
      </c>
      <c r="G149" t="s">
        <v>142</v>
      </c>
      <c r="H149" t="s">
        <v>37</v>
      </c>
      <c r="I149">
        <f>ROUND(91/10,9)</f>
        <v>9.1</v>
      </c>
      <c r="J149">
        <v>0</v>
      </c>
      <c r="O149">
        <f t="shared" si="88"/>
        <v>188636.38</v>
      </c>
      <c r="P149">
        <f t="shared" si="89"/>
        <v>3643.09</v>
      </c>
      <c r="Q149">
        <f t="shared" si="90"/>
        <v>52432.65</v>
      </c>
      <c r="R149">
        <f t="shared" si="91"/>
        <v>11776.35</v>
      </c>
      <c r="S149">
        <f t="shared" si="92"/>
        <v>132560.64000000001</v>
      </c>
      <c r="T149">
        <f t="shared" si="93"/>
        <v>0</v>
      </c>
      <c r="U149">
        <f t="shared" si="94"/>
        <v>433.15999999999997</v>
      </c>
      <c r="V149">
        <f t="shared" si="95"/>
        <v>0</v>
      </c>
      <c r="W149">
        <f t="shared" si="96"/>
        <v>0</v>
      </c>
      <c r="X149">
        <f t="shared" si="97"/>
        <v>135211.85</v>
      </c>
      <c r="Y149">
        <f t="shared" si="97"/>
        <v>62303.5</v>
      </c>
      <c r="AA149">
        <v>49688178</v>
      </c>
      <c r="AB149">
        <f t="shared" si="98"/>
        <v>1365.29</v>
      </c>
      <c r="AC149">
        <f t="shared" si="99"/>
        <v>74</v>
      </c>
      <c r="AD149">
        <f t="shared" si="100"/>
        <v>704.38</v>
      </c>
      <c r="AE149">
        <f t="shared" si="101"/>
        <v>52.14</v>
      </c>
      <c r="AF149">
        <f t="shared" si="101"/>
        <v>586.91</v>
      </c>
      <c r="AG149">
        <f t="shared" si="102"/>
        <v>0</v>
      </c>
      <c r="AH149">
        <f t="shared" si="103"/>
        <v>47.6</v>
      </c>
      <c r="AI149">
        <f t="shared" si="103"/>
        <v>0</v>
      </c>
      <c r="AJ149">
        <f t="shared" si="104"/>
        <v>0</v>
      </c>
      <c r="AK149">
        <v>1365.29</v>
      </c>
      <c r="AL149">
        <v>74</v>
      </c>
      <c r="AM149">
        <v>704.38</v>
      </c>
      <c r="AN149">
        <v>52.14</v>
      </c>
      <c r="AO149">
        <v>586.91</v>
      </c>
      <c r="AP149">
        <v>0</v>
      </c>
      <c r="AQ149">
        <v>47.6</v>
      </c>
      <c r="AR149">
        <v>0</v>
      </c>
      <c r="AS149">
        <v>0</v>
      </c>
      <c r="AT149">
        <v>102</v>
      </c>
      <c r="AU149">
        <v>47</v>
      </c>
      <c r="AV149">
        <v>1</v>
      </c>
      <c r="AW149">
        <v>1</v>
      </c>
      <c r="AZ149">
        <v>1</v>
      </c>
      <c r="BA149">
        <v>24.82</v>
      </c>
      <c r="BB149">
        <v>8.18</v>
      </c>
      <c r="BC149">
        <v>5.41</v>
      </c>
      <c r="BD149" t="s">
        <v>5</v>
      </c>
      <c r="BE149" t="s">
        <v>5</v>
      </c>
      <c r="BF149" t="s">
        <v>5</v>
      </c>
      <c r="BG149" t="s">
        <v>5</v>
      </c>
      <c r="BH149">
        <v>0</v>
      </c>
      <c r="BI149">
        <v>1</v>
      </c>
      <c r="BJ149" t="s">
        <v>143</v>
      </c>
      <c r="BM149">
        <v>292</v>
      </c>
      <c r="BN149">
        <v>0</v>
      </c>
      <c r="BO149" t="s">
        <v>141</v>
      </c>
      <c r="BP149">
        <v>1</v>
      </c>
      <c r="BQ149">
        <v>30</v>
      </c>
      <c r="BR149">
        <v>0</v>
      </c>
      <c r="BS149">
        <v>24.82</v>
      </c>
      <c r="BT149">
        <v>1</v>
      </c>
      <c r="BU149">
        <v>1</v>
      </c>
      <c r="BV149">
        <v>1</v>
      </c>
      <c r="BW149">
        <v>1</v>
      </c>
      <c r="BX149">
        <v>1</v>
      </c>
      <c r="BY149" t="s">
        <v>5</v>
      </c>
      <c r="BZ149">
        <v>102</v>
      </c>
      <c r="CA149">
        <v>47</v>
      </c>
      <c r="CE149">
        <v>30</v>
      </c>
      <c r="CF149">
        <v>0</v>
      </c>
      <c r="CG149">
        <v>0</v>
      </c>
      <c r="CM149">
        <v>0</v>
      </c>
      <c r="CN149" t="s">
        <v>5</v>
      </c>
      <c r="CO149">
        <v>0</v>
      </c>
      <c r="CP149">
        <f t="shared" si="105"/>
        <v>188636.38</v>
      </c>
      <c r="CQ149">
        <f t="shared" si="106"/>
        <v>400.34</v>
      </c>
      <c r="CR149">
        <f t="shared" si="107"/>
        <v>5761.83</v>
      </c>
      <c r="CS149">
        <f t="shared" si="108"/>
        <v>1294.1099999999999</v>
      </c>
      <c r="CT149">
        <f t="shared" si="109"/>
        <v>14567.11</v>
      </c>
      <c r="CU149">
        <f t="shared" si="110"/>
        <v>0</v>
      </c>
      <c r="CV149">
        <f t="shared" si="111"/>
        <v>47.6</v>
      </c>
      <c r="CW149">
        <f t="shared" si="112"/>
        <v>0</v>
      </c>
      <c r="CX149">
        <f t="shared" si="112"/>
        <v>0</v>
      </c>
      <c r="CY149">
        <f t="shared" si="113"/>
        <v>135211.85280000002</v>
      </c>
      <c r="CZ149">
        <f t="shared" si="114"/>
        <v>62303.500800000002</v>
      </c>
      <c r="DC149" t="s">
        <v>5</v>
      </c>
      <c r="DD149" t="s">
        <v>5</v>
      </c>
      <c r="DE149" t="s">
        <v>5</v>
      </c>
      <c r="DF149" t="s">
        <v>5</v>
      </c>
      <c r="DG149" t="s">
        <v>5</v>
      </c>
      <c r="DH149" t="s">
        <v>5</v>
      </c>
      <c r="DI149" t="s">
        <v>5</v>
      </c>
      <c r="DJ149" t="s">
        <v>5</v>
      </c>
      <c r="DK149" t="s">
        <v>5</v>
      </c>
      <c r="DL149" t="s">
        <v>5</v>
      </c>
      <c r="DM149" t="s">
        <v>5</v>
      </c>
      <c r="DN149">
        <v>187</v>
      </c>
      <c r="DO149">
        <v>101</v>
      </c>
      <c r="DP149">
        <v>1</v>
      </c>
      <c r="DQ149">
        <v>1</v>
      </c>
      <c r="DU149">
        <v>1013</v>
      </c>
      <c r="DV149" t="s">
        <v>37</v>
      </c>
      <c r="DW149" t="s">
        <v>37</v>
      </c>
      <c r="DX149">
        <v>1</v>
      </c>
      <c r="DZ149" t="s">
        <v>5</v>
      </c>
      <c r="EA149" t="s">
        <v>5</v>
      </c>
      <c r="EB149" t="s">
        <v>5</v>
      </c>
      <c r="EC149" t="s">
        <v>5</v>
      </c>
      <c r="EE149">
        <v>49387988</v>
      </c>
      <c r="EF149">
        <v>30</v>
      </c>
      <c r="EG149" t="s">
        <v>21</v>
      </c>
      <c r="EH149">
        <v>0</v>
      </c>
      <c r="EI149" t="s">
        <v>5</v>
      </c>
      <c r="EJ149">
        <v>1</v>
      </c>
      <c r="EK149">
        <v>292</v>
      </c>
      <c r="EL149" t="s">
        <v>22</v>
      </c>
      <c r="EM149" t="s">
        <v>23</v>
      </c>
      <c r="EO149" t="s">
        <v>5</v>
      </c>
      <c r="EQ149">
        <v>0</v>
      </c>
      <c r="ER149">
        <v>1365.29</v>
      </c>
      <c r="ES149">
        <v>74</v>
      </c>
      <c r="ET149">
        <v>704.38</v>
      </c>
      <c r="EU149">
        <v>52.14</v>
      </c>
      <c r="EV149">
        <v>586.91</v>
      </c>
      <c r="EW149">
        <v>47.6</v>
      </c>
      <c r="EX149">
        <v>0</v>
      </c>
      <c r="EY149">
        <v>0</v>
      </c>
      <c r="FQ149">
        <v>0</v>
      </c>
      <c r="FR149">
        <f t="shared" si="115"/>
        <v>0</v>
      </c>
      <c r="FS149">
        <v>0</v>
      </c>
      <c r="FX149">
        <v>187</v>
      </c>
      <c r="FY149">
        <v>101</v>
      </c>
      <c r="GA149" t="s">
        <v>5</v>
      </c>
      <c r="GD149">
        <v>0</v>
      </c>
      <c r="GF149">
        <v>1638244401</v>
      </c>
      <c r="GG149">
        <v>2</v>
      </c>
      <c r="GH149">
        <v>1</v>
      </c>
      <c r="GI149">
        <v>2</v>
      </c>
      <c r="GJ149">
        <v>0</v>
      </c>
      <c r="GK149">
        <f>ROUND(R149*(R12)/100,2)</f>
        <v>18488.87</v>
      </c>
      <c r="GL149">
        <f t="shared" si="116"/>
        <v>0</v>
      </c>
      <c r="GM149">
        <f t="shared" si="117"/>
        <v>404640.6</v>
      </c>
      <c r="GN149">
        <f t="shared" si="118"/>
        <v>404640.6</v>
      </c>
      <c r="GO149">
        <f t="shared" si="119"/>
        <v>0</v>
      </c>
      <c r="GP149">
        <f t="shared" si="120"/>
        <v>0</v>
      </c>
      <c r="GR149">
        <v>0</v>
      </c>
      <c r="GS149">
        <v>3</v>
      </c>
      <c r="GT149">
        <v>0</v>
      </c>
      <c r="GU149" t="s">
        <v>5</v>
      </c>
      <c r="GV149">
        <f t="shared" si="121"/>
        <v>0</v>
      </c>
      <c r="GW149">
        <v>1</v>
      </c>
      <c r="GX149">
        <f t="shared" si="122"/>
        <v>0</v>
      </c>
      <c r="HA149">
        <v>0</v>
      </c>
      <c r="HB149">
        <v>0</v>
      </c>
      <c r="HC149">
        <f t="shared" si="123"/>
        <v>0</v>
      </c>
      <c r="HE149" t="s">
        <v>5</v>
      </c>
      <c r="HF149" t="s">
        <v>5</v>
      </c>
      <c r="IK149">
        <v>0</v>
      </c>
    </row>
    <row r="150" spans="1:245" x14ac:dyDescent="0.2">
      <c r="A150">
        <v>17</v>
      </c>
      <c r="B150">
        <v>1</v>
      </c>
      <c r="C150">
        <f>ROW(SmtRes!A43)</f>
        <v>43</v>
      </c>
      <c r="D150">
        <f>ROW(EtalonRes!A46)</f>
        <v>46</v>
      </c>
      <c r="E150" t="s">
        <v>144</v>
      </c>
      <c r="F150" t="s">
        <v>40</v>
      </c>
      <c r="G150" t="s">
        <v>145</v>
      </c>
      <c r="H150" t="s">
        <v>42</v>
      </c>
      <c r="I150">
        <f>ROUND(166.985/100,9)</f>
        <v>1.6698500000000001</v>
      </c>
      <c r="J150">
        <v>0</v>
      </c>
      <c r="O150">
        <f t="shared" si="88"/>
        <v>13789.31</v>
      </c>
      <c r="P150">
        <f t="shared" si="89"/>
        <v>0</v>
      </c>
      <c r="Q150">
        <f t="shared" si="90"/>
        <v>13205.05</v>
      </c>
      <c r="R150">
        <f t="shared" si="91"/>
        <v>5457.92</v>
      </c>
      <c r="S150">
        <f t="shared" si="92"/>
        <v>584.26</v>
      </c>
      <c r="T150">
        <f t="shared" si="93"/>
        <v>0</v>
      </c>
      <c r="U150">
        <f t="shared" si="94"/>
        <v>2.3043929999999997</v>
      </c>
      <c r="V150">
        <f t="shared" si="95"/>
        <v>0</v>
      </c>
      <c r="W150">
        <f t="shared" si="96"/>
        <v>0</v>
      </c>
      <c r="X150">
        <f t="shared" si="97"/>
        <v>537.52</v>
      </c>
      <c r="Y150">
        <f t="shared" si="97"/>
        <v>292.13</v>
      </c>
      <c r="AA150">
        <v>49688178</v>
      </c>
      <c r="AB150">
        <f t="shared" si="98"/>
        <v>822.68</v>
      </c>
      <c r="AC150">
        <f t="shared" si="99"/>
        <v>0</v>
      </c>
      <c r="AD150">
        <f t="shared" si="100"/>
        <v>808.58</v>
      </c>
      <c r="AE150">
        <f t="shared" si="101"/>
        <v>131.69</v>
      </c>
      <c r="AF150">
        <f t="shared" si="101"/>
        <v>14.1</v>
      </c>
      <c r="AG150">
        <f t="shared" si="102"/>
        <v>0</v>
      </c>
      <c r="AH150">
        <f t="shared" si="103"/>
        <v>1.38</v>
      </c>
      <c r="AI150">
        <f t="shared" si="103"/>
        <v>0</v>
      </c>
      <c r="AJ150">
        <f t="shared" si="104"/>
        <v>0</v>
      </c>
      <c r="AK150">
        <v>822.68</v>
      </c>
      <c r="AL150">
        <v>0</v>
      </c>
      <c r="AM150">
        <v>808.58</v>
      </c>
      <c r="AN150">
        <v>131.69</v>
      </c>
      <c r="AO150">
        <v>14.1</v>
      </c>
      <c r="AP150">
        <v>0</v>
      </c>
      <c r="AQ150">
        <v>1.38</v>
      </c>
      <c r="AR150">
        <v>0</v>
      </c>
      <c r="AS150">
        <v>0</v>
      </c>
      <c r="AT150">
        <v>92</v>
      </c>
      <c r="AU150">
        <v>50</v>
      </c>
      <c r="AV150">
        <v>1</v>
      </c>
      <c r="AW150">
        <v>1</v>
      </c>
      <c r="AZ150">
        <v>1</v>
      </c>
      <c r="BA150">
        <v>24.82</v>
      </c>
      <c r="BB150">
        <v>9.7799999999999994</v>
      </c>
      <c r="BC150">
        <v>1</v>
      </c>
      <c r="BD150" t="s">
        <v>5</v>
      </c>
      <c r="BE150" t="s">
        <v>5</v>
      </c>
      <c r="BF150" t="s">
        <v>5</v>
      </c>
      <c r="BG150" t="s">
        <v>5</v>
      </c>
      <c r="BH150">
        <v>0</v>
      </c>
      <c r="BI150">
        <v>1</v>
      </c>
      <c r="BJ150" t="s">
        <v>43</v>
      </c>
      <c r="BM150">
        <v>2</v>
      </c>
      <c r="BN150">
        <v>0</v>
      </c>
      <c r="BO150" t="s">
        <v>40</v>
      </c>
      <c r="BP150">
        <v>1</v>
      </c>
      <c r="BQ150">
        <v>30</v>
      </c>
      <c r="BR150">
        <v>0</v>
      </c>
      <c r="BS150">
        <v>24.82</v>
      </c>
      <c r="BT150">
        <v>1</v>
      </c>
      <c r="BU150">
        <v>1</v>
      </c>
      <c r="BV150">
        <v>1</v>
      </c>
      <c r="BW150">
        <v>1</v>
      </c>
      <c r="BX150">
        <v>1</v>
      </c>
      <c r="BY150" t="s">
        <v>5</v>
      </c>
      <c r="BZ150">
        <v>92</v>
      </c>
      <c r="CA150">
        <v>50</v>
      </c>
      <c r="CE150">
        <v>30</v>
      </c>
      <c r="CF150">
        <v>0</v>
      </c>
      <c r="CG150">
        <v>0</v>
      </c>
      <c r="CM150">
        <v>0</v>
      </c>
      <c r="CN150" t="s">
        <v>5</v>
      </c>
      <c r="CO150">
        <v>0</v>
      </c>
      <c r="CP150">
        <f t="shared" si="105"/>
        <v>13789.31</v>
      </c>
      <c r="CQ150">
        <f t="shared" si="106"/>
        <v>0</v>
      </c>
      <c r="CR150">
        <f t="shared" si="107"/>
        <v>7907.91</v>
      </c>
      <c r="CS150">
        <f t="shared" si="108"/>
        <v>3268.55</v>
      </c>
      <c r="CT150">
        <f t="shared" si="109"/>
        <v>349.96</v>
      </c>
      <c r="CU150">
        <f t="shared" si="110"/>
        <v>0</v>
      </c>
      <c r="CV150">
        <f t="shared" si="111"/>
        <v>1.38</v>
      </c>
      <c r="CW150">
        <f t="shared" si="112"/>
        <v>0</v>
      </c>
      <c r="CX150">
        <f t="shared" si="112"/>
        <v>0</v>
      </c>
      <c r="CY150">
        <f t="shared" si="113"/>
        <v>537.51920000000007</v>
      </c>
      <c r="CZ150">
        <f t="shared" si="114"/>
        <v>292.13</v>
      </c>
      <c r="DC150" t="s">
        <v>5</v>
      </c>
      <c r="DD150" t="s">
        <v>5</v>
      </c>
      <c r="DE150" t="s">
        <v>5</v>
      </c>
      <c r="DF150" t="s">
        <v>5</v>
      </c>
      <c r="DG150" t="s">
        <v>5</v>
      </c>
      <c r="DH150" t="s">
        <v>5</v>
      </c>
      <c r="DI150" t="s">
        <v>5</v>
      </c>
      <c r="DJ150" t="s">
        <v>5</v>
      </c>
      <c r="DK150" t="s">
        <v>5</v>
      </c>
      <c r="DL150" t="s">
        <v>5</v>
      </c>
      <c r="DM150" t="s">
        <v>5</v>
      </c>
      <c r="DN150">
        <v>98</v>
      </c>
      <c r="DO150">
        <v>77</v>
      </c>
      <c r="DP150">
        <v>1</v>
      </c>
      <c r="DQ150">
        <v>1</v>
      </c>
      <c r="DU150">
        <v>1013</v>
      </c>
      <c r="DV150" t="s">
        <v>42</v>
      </c>
      <c r="DW150" t="s">
        <v>42</v>
      </c>
      <c r="DX150">
        <v>1</v>
      </c>
      <c r="DZ150" t="s">
        <v>5</v>
      </c>
      <c r="EA150" t="s">
        <v>5</v>
      </c>
      <c r="EB150" t="s">
        <v>5</v>
      </c>
      <c r="EC150" t="s">
        <v>5</v>
      </c>
      <c r="EE150">
        <v>49387742</v>
      </c>
      <c r="EF150">
        <v>30</v>
      </c>
      <c r="EG150" t="s">
        <v>21</v>
      </c>
      <c r="EH150">
        <v>0</v>
      </c>
      <c r="EI150" t="s">
        <v>5</v>
      </c>
      <c r="EJ150">
        <v>1</v>
      </c>
      <c r="EK150">
        <v>2</v>
      </c>
      <c r="EL150" t="s">
        <v>44</v>
      </c>
      <c r="EM150" t="s">
        <v>45</v>
      </c>
      <c r="EO150" t="s">
        <v>5</v>
      </c>
      <c r="EQ150">
        <v>0</v>
      </c>
      <c r="ER150">
        <v>822.68</v>
      </c>
      <c r="ES150">
        <v>0</v>
      </c>
      <c r="ET150">
        <v>808.58</v>
      </c>
      <c r="EU150">
        <v>131.69</v>
      </c>
      <c r="EV150">
        <v>14.1</v>
      </c>
      <c r="EW150">
        <v>1.38</v>
      </c>
      <c r="EX150">
        <v>0</v>
      </c>
      <c r="EY150">
        <v>0</v>
      </c>
      <c r="FQ150">
        <v>0</v>
      </c>
      <c r="FR150">
        <f t="shared" si="115"/>
        <v>0</v>
      </c>
      <c r="FS150">
        <v>0</v>
      </c>
      <c r="FX150">
        <v>98</v>
      </c>
      <c r="FY150">
        <v>77</v>
      </c>
      <c r="GA150" t="s">
        <v>5</v>
      </c>
      <c r="GD150">
        <v>0</v>
      </c>
      <c r="GF150">
        <v>246379404</v>
      </c>
      <c r="GG150">
        <v>2</v>
      </c>
      <c r="GH150">
        <v>1</v>
      </c>
      <c r="GI150">
        <v>2</v>
      </c>
      <c r="GJ150">
        <v>0</v>
      </c>
      <c r="GK150">
        <f>ROUND(R150*(R12)/100,2)</f>
        <v>8568.93</v>
      </c>
      <c r="GL150">
        <f t="shared" si="116"/>
        <v>0</v>
      </c>
      <c r="GM150">
        <f t="shared" si="117"/>
        <v>23187.89</v>
      </c>
      <c r="GN150">
        <f t="shared" si="118"/>
        <v>23187.89</v>
      </c>
      <c r="GO150">
        <f t="shared" si="119"/>
        <v>0</v>
      </c>
      <c r="GP150">
        <f t="shared" si="120"/>
        <v>0</v>
      </c>
      <c r="GR150">
        <v>0</v>
      </c>
      <c r="GS150">
        <v>3</v>
      </c>
      <c r="GT150">
        <v>0</v>
      </c>
      <c r="GU150" t="s">
        <v>5</v>
      </c>
      <c r="GV150">
        <f t="shared" si="121"/>
        <v>0</v>
      </c>
      <c r="GW150">
        <v>1</v>
      </c>
      <c r="GX150">
        <f t="shared" si="122"/>
        <v>0</v>
      </c>
      <c r="HA150">
        <v>0</v>
      </c>
      <c r="HB150">
        <v>0</v>
      </c>
      <c r="HC150">
        <f t="shared" si="123"/>
        <v>0</v>
      </c>
      <c r="HE150" t="s">
        <v>5</v>
      </c>
      <c r="HF150" t="s">
        <v>5</v>
      </c>
      <c r="IK150">
        <v>0</v>
      </c>
    </row>
    <row r="151" spans="1:245" x14ac:dyDescent="0.2">
      <c r="A151">
        <v>17</v>
      </c>
      <c r="B151">
        <v>1</v>
      </c>
      <c r="C151">
        <f>ROW(SmtRes!A44)</f>
        <v>44</v>
      </c>
      <c r="D151">
        <f>ROW(EtalonRes!A47)</f>
        <v>47</v>
      </c>
      <c r="E151" t="s">
        <v>146</v>
      </c>
      <c r="F151" t="s">
        <v>47</v>
      </c>
      <c r="G151" t="s">
        <v>48</v>
      </c>
      <c r="H151" t="s">
        <v>49</v>
      </c>
      <c r="I151">
        <f>ROUND((166.985/0.1)/100,9)</f>
        <v>16.698499999999999</v>
      </c>
      <c r="J151">
        <v>0</v>
      </c>
      <c r="O151">
        <f t="shared" si="88"/>
        <v>43202.93</v>
      </c>
      <c r="P151">
        <f t="shared" si="89"/>
        <v>0</v>
      </c>
      <c r="Q151">
        <f t="shared" si="90"/>
        <v>0</v>
      </c>
      <c r="R151">
        <f t="shared" si="91"/>
        <v>0</v>
      </c>
      <c r="S151">
        <f t="shared" si="92"/>
        <v>43202.93</v>
      </c>
      <c r="T151">
        <f t="shared" si="93"/>
        <v>0</v>
      </c>
      <c r="U151">
        <f t="shared" si="94"/>
        <v>170.32469999999998</v>
      </c>
      <c r="V151">
        <f t="shared" si="95"/>
        <v>0</v>
      </c>
      <c r="W151">
        <f t="shared" si="96"/>
        <v>0</v>
      </c>
      <c r="X151">
        <f t="shared" si="97"/>
        <v>44066.99</v>
      </c>
      <c r="Y151">
        <f t="shared" si="97"/>
        <v>20305.38</v>
      </c>
      <c r="AA151">
        <v>49688178</v>
      </c>
      <c r="AB151">
        <f t="shared" si="98"/>
        <v>104.24</v>
      </c>
      <c r="AC151">
        <f t="shared" si="99"/>
        <v>0</v>
      </c>
      <c r="AD151">
        <f t="shared" si="100"/>
        <v>0</v>
      </c>
      <c r="AE151">
        <f t="shared" si="101"/>
        <v>0</v>
      </c>
      <c r="AF151">
        <f t="shared" si="101"/>
        <v>104.24</v>
      </c>
      <c r="AG151">
        <f t="shared" si="102"/>
        <v>0</v>
      </c>
      <c r="AH151">
        <f t="shared" si="103"/>
        <v>10.199999999999999</v>
      </c>
      <c r="AI151">
        <f t="shared" si="103"/>
        <v>0</v>
      </c>
      <c r="AJ151">
        <f t="shared" si="104"/>
        <v>0</v>
      </c>
      <c r="AK151">
        <v>104.24</v>
      </c>
      <c r="AL151">
        <v>0</v>
      </c>
      <c r="AM151">
        <v>0</v>
      </c>
      <c r="AN151">
        <v>0</v>
      </c>
      <c r="AO151">
        <v>104.24</v>
      </c>
      <c r="AP151">
        <v>0</v>
      </c>
      <c r="AQ151">
        <v>10.199999999999999</v>
      </c>
      <c r="AR151">
        <v>0</v>
      </c>
      <c r="AS151">
        <v>0</v>
      </c>
      <c r="AT151">
        <v>102</v>
      </c>
      <c r="AU151">
        <v>47</v>
      </c>
      <c r="AV151">
        <v>1</v>
      </c>
      <c r="AW151">
        <v>1</v>
      </c>
      <c r="AZ151">
        <v>1</v>
      </c>
      <c r="BA151">
        <v>24.82</v>
      </c>
      <c r="BB151">
        <v>1</v>
      </c>
      <c r="BC151">
        <v>1</v>
      </c>
      <c r="BD151" t="s">
        <v>5</v>
      </c>
      <c r="BE151" t="s">
        <v>5</v>
      </c>
      <c r="BF151" t="s">
        <v>5</v>
      </c>
      <c r="BG151" t="s">
        <v>5</v>
      </c>
      <c r="BH151">
        <v>0</v>
      </c>
      <c r="BI151">
        <v>1</v>
      </c>
      <c r="BJ151" t="s">
        <v>50</v>
      </c>
      <c r="BM151">
        <v>292</v>
      </c>
      <c r="BN151">
        <v>0</v>
      </c>
      <c r="BO151" t="s">
        <v>47</v>
      </c>
      <c r="BP151">
        <v>1</v>
      </c>
      <c r="BQ151">
        <v>30</v>
      </c>
      <c r="BR151">
        <v>0</v>
      </c>
      <c r="BS151">
        <v>24.82</v>
      </c>
      <c r="BT151">
        <v>1</v>
      </c>
      <c r="BU151">
        <v>1</v>
      </c>
      <c r="BV151">
        <v>1</v>
      </c>
      <c r="BW151">
        <v>1</v>
      </c>
      <c r="BX151">
        <v>1</v>
      </c>
      <c r="BY151" t="s">
        <v>5</v>
      </c>
      <c r="BZ151">
        <v>102</v>
      </c>
      <c r="CA151">
        <v>47</v>
      </c>
      <c r="CE151">
        <v>30</v>
      </c>
      <c r="CF151">
        <v>0</v>
      </c>
      <c r="CG151">
        <v>0</v>
      </c>
      <c r="CM151">
        <v>0</v>
      </c>
      <c r="CN151" t="s">
        <v>5</v>
      </c>
      <c r="CO151">
        <v>0</v>
      </c>
      <c r="CP151">
        <f t="shared" si="105"/>
        <v>43202.93</v>
      </c>
      <c r="CQ151">
        <f t="shared" si="106"/>
        <v>0</v>
      </c>
      <c r="CR151">
        <f t="shared" si="107"/>
        <v>0</v>
      </c>
      <c r="CS151">
        <f t="shared" si="108"/>
        <v>0</v>
      </c>
      <c r="CT151">
        <f t="shared" si="109"/>
        <v>2587.2399999999998</v>
      </c>
      <c r="CU151">
        <f t="shared" si="110"/>
        <v>0</v>
      </c>
      <c r="CV151">
        <f t="shared" si="111"/>
        <v>10.199999999999999</v>
      </c>
      <c r="CW151">
        <f t="shared" si="112"/>
        <v>0</v>
      </c>
      <c r="CX151">
        <f t="shared" si="112"/>
        <v>0</v>
      </c>
      <c r="CY151">
        <f t="shared" si="113"/>
        <v>44066.988600000004</v>
      </c>
      <c r="CZ151">
        <f t="shared" si="114"/>
        <v>20305.377099999998</v>
      </c>
      <c r="DC151" t="s">
        <v>5</v>
      </c>
      <c r="DD151" t="s">
        <v>5</v>
      </c>
      <c r="DE151" t="s">
        <v>5</v>
      </c>
      <c r="DF151" t="s">
        <v>5</v>
      </c>
      <c r="DG151" t="s">
        <v>5</v>
      </c>
      <c r="DH151" t="s">
        <v>5</v>
      </c>
      <c r="DI151" t="s">
        <v>5</v>
      </c>
      <c r="DJ151" t="s">
        <v>5</v>
      </c>
      <c r="DK151" t="s">
        <v>5</v>
      </c>
      <c r="DL151" t="s">
        <v>5</v>
      </c>
      <c r="DM151" t="s">
        <v>5</v>
      </c>
      <c r="DN151">
        <v>187</v>
      </c>
      <c r="DO151">
        <v>101</v>
      </c>
      <c r="DP151">
        <v>1</v>
      </c>
      <c r="DQ151">
        <v>1</v>
      </c>
      <c r="DU151">
        <v>1005</v>
      </c>
      <c r="DV151" t="s">
        <v>49</v>
      </c>
      <c r="DW151" t="s">
        <v>49</v>
      </c>
      <c r="DX151">
        <v>100</v>
      </c>
      <c r="DZ151" t="s">
        <v>5</v>
      </c>
      <c r="EA151" t="s">
        <v>5</v>
      </c>
      <c r="EB151" t="s">
        <v>5</v>
      </c>
      <c r="EC151" t="s">
        <v>5</v>
      </c>
      <c r="EE151">
        <v>49387988</v>
      </c>
      <c r="EF151">
        <v>30</v>
      </c>
      <c r="EG151" t="s">
        <v>21</v>
      </c>
      <c r="EH151">
        <v>0</v>
      </c>
      <c r="EI151" t="s">
        <v>5</v>
      </c>
      <c r="EJ151">
        <v>1</v>
      </c>
      <c r="EK151">
        <v>292</v>
      </c>
      <c r="EL151" t="s">
        <v>22</v>
      </c>
      <c r="EM151" t="s">
        <v>23</v>
      </c>
      <c r="EO151" t="s">
        <v>5</v>
      </c>
      <c r="EQ151">
        <v>0</v>
      </c>
      <c r="ER151">
        <v>104.24</v>
      </c>
      <c r="ES151">
        <v>0</v>
      </c>
      <c r="ET151">
        <v>0</v>
      </c>
      <c r="EU151">
        <v>0</v>
      </c>
      <c r="EV151">
        <v>104.24</v>
      </c>
      <c r="EW151">
        <v>10.199999999999999</v>
      </c>
      <c r="EX151">
        <v>0</v>
      </c>
      <c r="EY151">
        <v>0</v>
      </c>
      <c r="FQ151">
        <v>0</v>
      </c>
      <c r="FR151">
        <f t="shared" si="115"/>
        <v>0</v>
      </c>
      <c r="FS151">
        <v>0</v>
      </c>
      <c r="FX151">
        <v>187</v>
      </c>
      <c r="FY151">
        <v>101</v>
      </c>
      <c r="GA151" t="s">
        <v>5</v>
      </c>
      <c r="GD151">
        <v>0</v>
      </c>
      <c r="GF151">
        <v>400990801</v>
      </c>
      <c r="GG151">
        <v>2</v>
      </c>
      <c r="GH151">
        <v>1</v>
      </c>
      <c r="GI151">
        <v>2</v>
      </c>
      <c r="GJ151">
        <v>0</v>
      </c>
      <c r="GK151">
        <f>ROUND(R151*(R12)/100,2)</f>
        <v>0</v>
      </c>
      <c r="GL151">
        <f t="shared" si="116"/>
        <v>0</v>
      </c>
      <c r="GM151">
        <f t="shared" si="117"/>
        <v>107575.3</v>
      </c>
      <c r="GN151">
        <f t="shared" si="118"/>
        <v>107575.3</v>
      </c>
      <c r="GO151">
        <f t="shared" si="119"/>
        <v>0</v>
      </c>
      <c r="GP151">
        <f t="shared" si="120"/>
        <v>0</v>
      </c>
      <c r="GR151">
        <v>0</v>
      </c>
      <c r="GS151">
        <v>3</v>
      </c>
      <c r="GT151">
        <v>0</v>
      </c>
      <c r="GU151" t="s">
        <v>5</v>
      </c>
      <c r="GV151">
        <f t="shared" si="121"/>
        <v>0</v>
      </c>
      <c r="GW151">
        <v>1</v>
      </c>
      <c r="GX151">
        <f t="shared" si="122"/>
        <v>0</v>
      </c>
      <c r="HA151">
        <v>0</v>
      </c>
      <c r="HB151">
        <v>0</v>
      </c>
      <c r="HC151">
        <f t="shared" si="123"/>
        <v>0</v>
      </c>
      <c r="HE151" t="s">
        <v>5</v>
      </c>
      <c r="HF151" t="s">
        <v>5</v>
      </c>
      <c r="IK151">
        <v>0</v>
      </c>
    </row>
    <row r="153" spans="1:245" x14ac:dyDescent="0.2">
      <c r="A153" s="2">
        <v>51</v>
      </c>
      <c r="B153" s="2">
        <f>B141</f>
        <v>1</v>
      </c>
      <c r="C153" s="2">
        <f>A141</f>
        <v>4</v>
      </c>
      <c r="D153" s="2">
        <f>ROW(A141)</f>
        <v>141</v>
      </c>
      <c r="E153" s="2"/>
      <c r="F153" s="2" t="str">
        <f>IF(F141&lt;&gt;"",F141,"")</f>
        <v>Новый раздел</v>
      </c>
      <c r="G153" s="2" t="str">
        <f>IF(G141&lt;&gt;"",G141,"")</f>
        <v>Посадка деревьев с комом земли 1,0х1,0х0,6 м - 91 шт.</v>
      </c>
      <c r="H153" s="2">
        <v>0</v>
      </c>
      <c r="I153" s="2"/>
      <c r="J153" s="2"/>
      <c r="K153" s="2"/>
      <c r="L153" s="2"/>
      <c r="M153" s="2"/>
      <c r="N153" s="2"/>
      <c r="O153" s="2">
        <f t="shared" ref="O153:T153" si="124">ROUND(AB153,2)</f>
        <v>460145.81</v>
      </c>
      <c r="P153" s="2">
        <f t="shared" si="124"/>
        <v>113550.31</v>
      </c>
      <c r="Q153" s="2">
        <f t="shared" si="124"/>
        <v>72634.09</v>
      </c>
      <c r="R153" s="2">
        <f t="shared" si="124"/>
        <v>21511.5</v>
      </c>
      <c r="S153" s="2">
        <f t="shared" si="124"/>
        <v>273961.40999999997</v>
      </c>
      <c r="T153" s="2">
        <f t="shared" si="124"/>
        <v>0</v>
      </c>
      <c r="U153" s="2">
        <f>AH153</f>
        <v>990.60534299999995</v>
      </c>
      <c r="V153" s="2">
        <f>AI153</f>
        <v>0</v>
      </c>
      <c r="W153" s="2">
        <f>ROUND(AJ153,2)</f>
        <v>0</v>
      </c>
      <c r="X153" s="2">
        <f>ROUND(AK153,2)</f>
        <v>279382.21999999997</v>
      </c>
      <c r="Y153" s="2">
        <f>ROUND(AL153,2)</f>
        <v>128779.4</v>
      </c>
      <c r="Z153" s="2"/>
      <c r="AA153" s="2"/>
      <c r="AB153" s="2">
        <f>ROUND(SUMIF(AA145:AA151,"=49688178",O145:O151),2)</f>
        <v>460145.81</v>
      </c>
      <c r="AC153" s="2">
        <f>ROUND(SUMIF(AA145:AA151,"=49688178",P145:P151),2)</f>
        <v>113550.31</v>
      </c>
      <c r="AD153" s="2">
        <f>ROUND(SUMIF(AA145:AA151,"=49688178",Q145:Q151),2)</f>
        <v>72634.09</v>
      </c>
      <c r="AE153" s="2">
        <f>ROUND(SUMIF(AA145:AA151,"=49688178",R145:R151),2)</f>
        <v>21511.5</v>
      </c>
      <c r="AF153" s="2">
        <f>ROUND(SUMIF(AA145:AA151,"=49688178",S145:S151),2)</f>
        <v>273961.40999999997</v>
      </c>
      <c r="AG153" s="2">
        <f>ROUND(SUMIF(AA145:AA151,"=49688178",T145:T151),2)</f>
        <v>0</v>
      </c>
      <c r="AH153" s="2">
        <f>SUMIF(AA145:AA151,"=49688178",U145:U151)</f>
        <v>990.60534299999995</v>
      </c>
      <c r="AI153" s="2">
        <f>SUMIF(AA145:AA151,"=49688178",V145:V151)</f>
        <v>0</v>
      </c>
      <c r="AJ153" s="2">
        <f>ROUND(SUMIF(AA145:AA151,"=49688178",W145:W151),2)</f>
        <v>0</v>
      </c>
      <c r="AK153" s="2">
        <f>ROUND(SUMIF(AA145:AA151,"=49688178",X145:X151),2)</f>
        <v>279382.21999999997</v>
      </c>
      <c r="AL153" s="2">
        <f>ROUND(SUMIF(AA145:AA151,"=49688178",Y145:Y151),2)</f>
        <v>128779.4</v>
      </c>
      <c r="AM153" s="2"/>
      <c r="AN153" s="2"/>
      <c r="AO153" s="2">
        <f t="shared" ref="AO153:BD153" si="125">ROUND(BX153,2)</f>
        <v>0</v>
      </c>
      <c r="AP153" s="2">
        <f t="shared" si="125"/>
        <v>0</v>
      </c>
      <c r="AQ153" s="2">
        <f t="shared" si="125"/>
        <v>0</v>
      </c>
      <c r="AR153" s="2">
        <f t="shared" si="125"/>
        <v>902080.48</v>
      </c>
      <c r="AS153" s="2">
        <f t="shared" si="125"/>
        <v>902080.48</v>
      </c>
      <c r="AT153" s="2">
        <f t="shared" si="125"/>
        <v>0</v>
      </c>
      <c r="AU153" s="2">
        <f t="shared" si="125"/>
        <v>0</v>
      </c>
      <c r="AV153" s="2">
        <f t="shared" si="125"/>
        <v>113550.31</v>
      </c>
      <c r="AW153" s="2">
        <f t="shared" si="125"/>
        <v>113550.31</v>
      </c>
      <c r="AX153" s="2">
        <f t="shared" si="125"/>
        <v>0</v>
      </c>
      <c r="AY153" s="2">
        <f t="shared" si="125"/>
        <v>113550.31</v>
      </c>
      <c r="AZ153" s="2">
        <f t="shared" si="125"/>
        <v>0</v>
      </c>
      <c r="BA153" s="2">
        <f t="shared" si="125"/>
        <v>0</v>
      </c>
      <c r="BB153" s="2">
        <f t="shared" si="125"/>
        <v>0</v>
      </c>
      <c r="BC153" s="2">
        <f t="shared" si="125"/>
        <v>0</v>
      </c>
      <c r="BD153" s="2">
        <f t="shared" si="125"/>
        <v>0</v>
      </c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>
        <f>ROUND(SUMIF(AA145:AA151,"=49688178",FQ145:FQ151),2)</f>
        <v>0</v>
      </c>
      <c r="BY153" s="2">
        <f>ROUND(SUMIF(AA145:AA151,"=49688178",FR145:FR151),2)</f>
        <v>0</v>
      </c>
      <c r="BZ153" s="2">
        <f>ROUND(SUMIF(AA145:AA151,"=49688178",GL145:GL151),2)</f>
        <v>0</v>
      </c>
      <c r="CA153" s="2">
        <f>ROUND(SUMIF(AA145:AA151,"=49688178",GM145:GM151),2)</f>
        <v>902080.48</v>
      </c>
      <c r="CB153" s="2">
        <f>ROUND(SUMIF(AA145:AA151,"=49688178",GN145:GN151),2)</f>
        <v>902080.48</v>
      </c>
      <c r="CC153" s="2">
        <f>ROUND(SUMIF(AA145:AA151,"=49688178",GO145:GO151),2)</f>
        <v>0</v>
      </c>
      <c r="CD153" s="2">
        <f>ROUND(SUMIF(AA145:AA151,"=49688178",GP145:GP151),2)</f>
        <v>0</v>
      </c>
      <c r="CE153" s="2">
        <f>AC153-BX153</f>
        <v>113550.31</v>
      </c>
      <c r="CF153" s="2">
        <f>AC153-BY153</f>
        <v>113550.31</v>
      </c>
      <c r="CG153" s="2">
        <f>BX153-BZ153</f>
        <v>0</v>
      </c>
      <c r="CH153" s="2">
        <f>AC153-BX153-BY153+BZ153</f>
        <v>113550.31</v>
      </c>
      <c r="CI153" s="2">
        <f>BY153-BZ153</f>
        <v>0</v>
      </c>
      <c r="CJ153" s="2">
        <f>ROUND(SUMIF(AA145:AA151,"=49688178",GX145:GX151),2)</f>
        <v>0</v>
      </c>
      <c r="CK153" s="2">
        <f>ROUND(SUMIF(AA145:AA151,"=49688178",GY145:GY151),2)</f>
        <v>0</v>
      </c>
      <c r="CL153" s="2">
        <f>ROUND(SUMIF(AA145:AA151,"=49688178",GZ145:GZ151),2)</f>
        <v>0</v>
      </c>
      <c r="CM153" s="2">
        <f>ROUND(SUMIF(AA145:AA151,"=49688178",HD145:HD151),2)</f>
        <v>0</v>
      </c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>
        <v>0</v>
      </c>
    </row>
    <row r="155" spans="1:245" x14ac:dyDescent="0.2">
      <c r="A155" s="4">
        <v>50</v>
      </c>
      <c r="B155" s="4">
        <v>0</v>
      </c>
      <c r="C155" s="4">
        <v>0</v>
      </c>
      <c r="D155" s="4">
        <v>1</v>
      </c>
      <c r="E155" s="4">
        <v>201</v>
      </c>
      <c r="F155" s="4">
        <f>ROUND(Source!O153,O155)</f>
        <v>460145.81</v>
      </c>
      <c r="G155" s="4" t="s">
        <v>51</v>
      </c>
      <c r="H155" s="4" t="s">
        <v>52</v>
      </c>
      <c r="I155" s="4"/>
      <c r="J155" s="4"/>
      <c r="K155" s="4">
        <v>201</v>
      </c>
      <c r="L155" s="4">
        <v>1</v>
      </c>
      <c r="M155" s="4">
        <v>3</v>
      </c>
      <c r="N155" s="4" t="s">
        <v>5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45" x14ac:dyDescent="0.2">
      <c r="A156" s="4">
        <v>50</v>
      </c>
      <c r="B156" s="4">
        <v>0</v>
      </c>
      <c r="C156" s="4">
        <v>0</v>
      </c>
      <c r="D156" s="4">
        <v>1</v>
      </c>
      <c r="E156" s="4">
        <v>202</v>
      </c>
      <c r="F156" s="4">
        <f>ROUND(Source!P153,O156)</f>
        <v>113550.31</v>
      </c>
      <c r="G156" s="4" t="s">
        <v>53</v>
      </c>
      <c r="H156" s="4" t="s">
        <v>54</v>
      </c>
      <c r="I156" s="4"/>
      <c r="J156" s="4"/>
      <c r="K156" s="4">
        <v>202</v>
      </c>
      <c r="L156" s="4">
        <v>2</v>
      </c>
      <c r="M156" s="4">
        <v>3</v>
      </c>
      <c r="N156" s="4" t="s">
        <v>5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45" x14ac:dyDescent="0.2">
      <c r="A157" s="4">
        <v>50</v>
      </c>
      <c r="B157" s="4">
        <v>0</v>
      </c>
      <c r="C157" s="4">
        <v>0</v>
      </c>
      <c r="D157" s="4">
        <v>1</v>
      </c>
      <c r="E157" s="4">
        <v>222</v>
      </c>
      <c r="F157" s="4">
        <f>ROUND(Source!AO153,O157)</f>
        <v>0</v>
      </c>
      <c r="G157" s="4" t="s">
        <v>55</v>
      </c>
      <c r="H157" s="4" t="s">
        <v>56</v>
      </c>
      <c r="I157" s="4"/>
      <c r="J157" s="4"/>
      <c r="K157" s="4">
        <v>222</v>
      </c>
      <c r="L157" s="4">
        <v>3</v>
      </c>
      <c r="M157" s="4">
        <v>3</v>
      </c>
      <c r="N157" s="4" t="s">
        <v>5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45" x14ac:dyDescent="0.2">
      <c r="A158" s="4">
        <v>50</v>
      </c>
      <c r="B158" s="4">
        <v>0</v>
      </c>
      <c r="C158" s="4">
        <v>0</v>
      </c>
      <c r="D158" s="4">
        <v>1</v>
      </c>
      <c r="E158" s="4">
        <v>225</v>
      </c>
      <c r="F158" s="4">
        <f>ROUND(Source!AV153,O158)</f>
        <v>113550.31</v>
      </c>
      <c r="G158" s="4" t="s">
        <v>57</v>
      </c>
      <c r="H158" s="4" t="s">
        <v>58</v>
      </c>
      <c r="I158" s="4"/>
      <c r="J158" s="4"/>
      <c r="K158" s="4">
        <v>225</v>
      </c>
      <c r="L158" s="4">
        <v>4</v>
      </c>
      <c r="M158" s="4">
        <v>3</v>
      </c>
      <c r="N158" s="4" t="s">
        <v>5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45" x14ac:dyDescent="0.2">
      <c r="A159" s="4">
        <v>50</v>
      </c>
      <c r="B159" s="4">
        <v>0</v>
      </c>
      <c r="C159" s="4">
        <v>0</v>
      </c>
      <c r="D159" s="4">
        <v>1</v>
      </c>
      <c r="E159" s="4">
        <v>226</v>
      </c>
      <c r="F159" s="4">
        <f>ROUND(Source!AW153,O159)</f>
        <v>113550.31</v>
      </c>
      <c r="G159" s="4" t="s">
        <v>59</v>
      </c>
      <c r="H159" s="4" t="s">
        <v>60</v>
      </c>
      <c r="I159" s="4"/>
      <c r="J159" s="4"/>
      <c r="K159" s="4">
        <v>226</v>
      </c>
      <c r="L159" s="4">
        <v>5</v>
      </c>
      <c r="M159" s="4">
        <v>3</v>
      </c>
      <c r="N159" s="4" t="s">
        <v>5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45" x14ac:dyDescent="0.2">
      <c r="A160" s="4">
        <v>50</v>
      </c>
      <c r="B160" s="4">
        <v>0</v>
      </c>
      <c r="C160" s="4">
        <v>0</v>
      </c>
      <c r="D160" s="4">
        <v>1</v>
      </c>
      <c r="E160" s="4">
        <v>227</v>
      </c>
      <c r="F160" s="4">
        <f>ROUND(Source!AX153,O160)</f>
        <v>0</v>
      </c>
      <c r="G160" s="4" t="s">
        <v>61</v>
      </c>
      <c r="H160" s="4" t="s">
        <v>62</v>
      </c>
      <c r="I160" s="4"/>
      <c r="J160" s="4"/>
      <c r="K160" s="4">
        <v>227</v>
      </c>
      <c r="L160" s="4">
        <v>6</v>
      </c>
      <c r="M160" s="4">
        <v>3</v>
      </c>
      <c r="N160" s="4" t="s">
        <v>5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4">
        <v>50</v>
      </c>
      <c r="B161" s="4">
        <v>0</v>
      </c>
      <c r="C161" s="4">
        <v>0</v>
      </c>
      <c r="D161" s="4">
        <v>1</v>
      </c>
      <c r="E161" s="4">
        <v>228</v>
      </c>
      <c r="F161" s="4">
        <f>ROUND(Source!AY153,O161)</f>
        <v>113550.31</v>
      </c>
      <c r="G161" s="4" t="s">
        <v>63</v>
      </c>
      <c r="H161" s="4" t="s">
        <v>64</v>
      </c>
      <c r="I161" s="4"/>
      <c r="J161" s="4"/>
      <c r="K161" s="4">
        <v>228</v>
      </c>
      <c r="L161" s="4">
        <v>7</v>
      </c>
      <c r="M161" s="4">
        <v>3</v>
      </c>
      <c r="N161" s="4" t="s">
        <v>5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4">
        <v>50</v>
      </c>
      <c r="B162" s="4">
        <v>0</v>
      </c>
      <c r="C162" s="4">
        <v>0</v>
      </c>
      <c r="D162" s="4">
        <v>1</v>
      </c>
      <c r="E162" s="4">
        <v>216</v>
      </c>
      <c r="F162" s="4">
        <f>ROUND(Source!AP153,O162)</f>
        <v>0</v>
      </c>
      <c r="G162" s="4" t="s">
        <v>65</v>
      </c>
      <c r="H162" s="4" t="s">
        <v>66</v>
      </c>
      <c r="I162" s="4"/>
      <c r="J162" s="4"/>
      <c r="K162" s="4">
        <v>216</v>
      </c>
      <c r="L162" s="4">
        <v>8</v>
      </c>
      <c r="M162" s="4">
        <v>3</v>
      </c>
      <c r="N162" s="4" t="s">
        <v>5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4">
        <v>50</v>
      </c>
      <c r="B163" s="4">
        <v>0</v>
      </c>
      <c r="C163" s="4">
        <v>0</v>
      </c>
      <c r="D163" s="4">
        <v>1</v>
      </c>
      <c r="E163" s="4">
        <v>223</v>
      </c>
      <c r="F163" s="4">
        <f>ROUND(Source!AQ153,O163)</f>
        <v>0</v>
      </c>
      <c r="G163" s="4" t="s">
        <v>67</v>
      </c>
      <c r="H163" s="4" t="s">
        <v>68</v>
      </c>
      <c r="I163" s="4"/>
      <c r="J163" s="4"/>
      <c r="K163" s="4">
        <v>223</v>
      </c>
      <c r="L163" s="4">
        <v>9</v>
      </c>
      <c r="M163" s="4">
        <v>3</v>
      </c>
      <c r="N163" s="4" t="s">
        <v>5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4">
        <v>50</v>
      </c>
      <c r="B164" s="4">
        <v>0</v>
      </c>
      <c r="C164" s="4">
        <v>0</v>
      </c>
      <c r="D164" s="4">
        <v>1</v>
      </c>
      <c r="E164" s="4">
        <v>229</v>
      </c>
      <c r="F164" s="4">
        <f>ROUND(Source!AZ153,O164)</f>
        <v>0</v>
      </c>
      <c r="G164" s="4" t="s">
        <v>69</v>
      </c>
      <c r="H164" s="4" t="s">
        <v>70</v>
      </c>
      <c r="I164" s="4"/>
      <c r="J164" s="4"/>
      <c r="K164" s="4">
        <v>229</v>
      </c>
      <c r="L164" s="4">
        <v>10</v>
      </c>
      <c r="M164" s="4">
        <v>3</v>
      </c>
      <c r="N164" s="4" t="s">
        <v>5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4">
        <v>50</v>
      </c>
      <c r="B165" s="4">
        <v>0</v>
      </c>
      <c r="C165" s="4">
        <v>0</v>
      </c>
      <c r="D165" s="4">
        <v>1</v>
      </c>
      <c r="E165" s="4">
        <v>203</v>
      </c>
      <c r="F165" s="4">
        <f>ROUND(Source!Q153,O165)</f>
        <v>72634.09</v>
      </c>
      <c r="G165" s="4" t="s">
        <v>71</v>
      </c>
      <c r="H165" s="4" t="s">
        <v>72</v>
      </c>
      <c r="I165" s="4"/>
      <c r="J165" s="4"/>
      <c r="K165" s="4">
        <v>203</v>
      </c>
      <c r="L165" s="4">
        <v>11</v>
      </c>
      <c r="M165" s="4">
        <v>3</v>
      </c>
      <c r="N165" s="4" t="s">
        <v>5</v>
      </c>
      <c r="O165" s="4">
        <v>2</v>
      </c>
      <c r="P165" s="4"/>
      <c r="Q165" s="4"/>
      <c r="R165" s="4"/>
      <c r="S165" s="4"/>
      <c r="T165" s="4"/>
      <c r="U165" s="4"/>
      <c r="V165" s="4"/>
      <c r="W165" s="4"/>
    </row>
    <row r="166" spans="1:23" x14ac:dyDescent="0.2">
      <c r="A166" s="4">
        <v>50</v>
      </c>
      <c r="B166" s="4">
        <v>0</v>
      </c>
      <c r="C166" s="4">
        <v>0</v>
      </c>
      <c r="D166" s="4">
        <v>1</v>
      </c>
      <c r="E166" s="4">
        <v>231</v>
      </c>
      <c r="F166" s="4">
        <f>ROUND(Source!BB153,O166)</f>
        <v>0</v>
      </c>
      <c r="G166" s="4" t="s">
        <v>73</v>
      </c>
      <c r="H166" s="4" t="s">
        <v>74</v>
      </c>
      <c r="I166" s="4"/>
      <c r="J166" s="4"/>
      <c r="K166" s="4">
        <v>231</v>
      </c>
      <c r="L166" s="4">
        <v>12</v>
      </c>
      <c r="M166" s="4">
        <v>3</v>
      </c>
      <c r="N166" s="4" t="s">
        <v>5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4">
        <v>50</v>
      </c>
      <c r="B167" s="4">
        <v>0</v>
      </c>
      <c r="C167" s="4">
        <v>0</v>
      </c>
      <c r="D167" s="4">
        <v>1</v>
      </c>
      <c r="E167" s="4">
        <v>204</v>
      </c>
      <c r="F167" s="4">
        <f>ROUND(Source!R153,O167)</f>
        <v>21511.5</v>
      </c>
      <c r="G167" s="4" t="s">
        <v>75</v>
      </c>
      <c r="H167" s="4" t="s">
        <v>76</v>
      </c>
      <c r="I167" s="4"/>
      <c r="J167" s="4"/>
      <c r="K167" s="4">
        <v>204</v>
      </c>
      <c r="L167" s="4">
        <v>13</v>
      </c>
      <c r="M167" s="4">
        <v>3</v>
      </c>
      <c r="N167" s="4" t="s">
        <v>5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4">
        <v>50</v>
      </c>
      <c r="B168" s="4">
        <v>0</v>
      </c>
      <c r="C168" s="4">
        <v>0</v>
      </c>
      <c r="D168" s="4">
        <v>1</v>
      </c>
      <c r="E168" s="4">
        <v>205</v>
      </c>
      <c r="F168" s="4">
        <f>ROUND(Source!S153,O168)</f>
        <v>273961.40999999997</v>
      </c>
      <c r="G168" s="4" t="s">
        <v>77</v>
      </c>
      <c r="H168" s="4" t="s">
        <v>78</v>
      </c>
      <c r="I168" s="4"/>
      <c r="J168" s="4"/>
      <c r="K168" s="4">
        <v>205</v>
      </c>
      <c r="L168" s="4">
        <v>14</v>
      </c>
      <c r="M168" s="4">
        <v>3</v>
      </c>
      <c r="N168" s="4" t="s">
        <v>5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4">
        <v>50</v>
      </c>
      <c r="B169" s="4">
        <v>0</v>
      </c>
      <c r="C169" s="4">
        <v>0</v>
      </c>
      <c r="D169" s="4">
        <v>1</v>
      </c>
      <c r="E169" s="4">
        <v>232</v>
      </c>
      <c r="F169" s="4">
        <f>ROUND(Source!BC153,O169)</f>
        <v>0</v>
      </c>
      <c r="G169" s="4" t="s">
        <v>79</v>
      </c>
      <c r="H169" s="4" t="s">
        <v>80</v>
      </c>
      <c r="I169" s="4"/>
      <c r="J169" s="4"/>
      <c r="K169" s="4">
        <v>232</v>
      </c>
      <c r="L169" s="4">
        <v>15</v>
      </c>
      <c r="M169" s="4">
        <v>3</v>
      </c>
      <c r="N169" s="4" t="s">
        <v>5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3" x14ac:dyDescent="0.2">
      <c r="A170" s="4">
        <v>50</v>
      </c>
      <c r="B170" s="4">
        <v>0</v>
      </c>
      <c r="C170" s="4">
        <v>0</v>
      </c>
      <c r="D170" s="4">
        <v>1</v>
      </c>
      <c r="E170" s="4">
        <v>214</v>
      </c>
      <c r="F170" s="4">
        <f>ROUND(Source!AS153,O170)</f>
        <v>902080.48</v>
      </c>
      <c r="G170" s="4" t="s">
        <v>81</v>
      </c>
      <c r="H170" s="4" t="s">
        <v>82</v>
      </c>
      <c r="I170" s="4"/>
      <c r="J170" s="4"/>
      <c r="K170" s="4">
        <v>214</v>
      </c>
      <c r="L170" s="4">
        <v>16</v>
      </c>
      <c r="M170" s="4">
        <v>3</v>
      </c>
      <c r="N170" s="4" t="s">
        <v>5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3" x14ac:dyDescent="0.2">
      <c r="A171" s="4">
        <v>50</v>
      </c>
      <c r="B171" s="4">
        <v>0</v>
      </c>
      <c r="C171" s="4">
        <v>0</v>
      </c>
      <c r="D171" s="4">
        <v>1</v>
      </c>
      <c r="E171" s="4">
        <v>215</v>
      </c>
      <c r="F171" s="4">
        <f>ROUND(Source!AT153,O171)</f>
        <v>0</v>
      </c>
      <c r="G171" s="4" t="s">
        <v>83</v>
      </c>
      <c r="H171" s="4" t="s">
        <v>84</v>
      </c>
      <c r="I171" s="4"/>
      <c r="J171" s="4"/>
      <c r="K171" s="4">
        <v>215</v>
      </c>
      <c r="L171" s="4">
        <v>17</v>
      </c>
      <c r="M171" s="4">
        <v>3</v>
      </c>
      <c r="N171" s="4" t="s">
        <v>5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2">
      <c r="A172" s="4">
        <v>50</v>
      </c>
      <c r="B172" s="4">
        <v>0</v>
      </c>
      <c r="C172" s="4">
        <v>0</v>
      </c>
      <c r="D172" s="4">
        <v>1</v>
      </c>
      <c r="E172" s="4">
        <v>217</v>
      </c>
      <c r="F172" s="4">
        <f>ROUND(Source!AU153,O172)</f>
        <v>0</v>
      </c>
      <c r="G172" s="4" t="s">
        <v>85</v>
      </c>
      <c r="H172" s="4" t="s">
        <v>86</v>
      </c>
      <c r="I172" s="4"/>
      <c r="J172" s="4"/>
      <c r="K172" s="4">
        <v>217</v>
      </c>
      <c r="L172" s="4">
        <v>18</v>
      </c>
      <c r="M172" s="4">
        <v>3</v>
      </c>
      <c r="N172" s="4" t="s">
        <v>5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2">
      <c r="A173" s="4">
        <v>50</v>
      </c>
      <c r="B173" s="4">
        <v>0</v>
      </c>
      <c r="C173" s="4">
        <v>0</v>
      </c>
      <c r="D173" s="4">
        <v>1</v>
      </c>
      <c r="E173" s="4">
        <v>230</v>
      </c>
      <c r="F173" s="4">
        <f>ROUND(Source!BA153,O173)</f>
        <v>0</v>
      </c>
      <c r="G173" s="4" t="s">
        <v>87</v>
      </c>
      <c r="H173" s="4" t="s">
        <v>88</v>
      </c>
      <c r="I173" s="4"/>
      <c r="J173" s="4"/>
      <c r="K173" s="4">
        <v>230</v>
      </c>
      <c r="L173" s="4">
        <v>19</v>
      </c>
      <c r="M173" s="4">
        <v>3</v>
      </c>
      <c r="N173" s="4" t="s">
        <v>5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4">
        <v>50</v>
      </c>
      <c r="B174" s="4">
        <v>0</v>
      </c>
      <c r="C174" s="4">
        <v>0</v>
      </c>
      <c r="D174" s="4">
        <v>1</v>
      </c>
      <c r="E174" s="4">
        <v>206</v>
      </c>
      <c r="F174" s="4">
        <f>ROUND(Source!T153,O174)</f>
        <v>0</v>
      </c>
      <c r="G174" s="4" t="s">
        <v>89</v>
      </c>
      <c r="H174" s="4" t="s">
        <v>90</v>
      </c>
      <c r="I174" s="4"/>
      <c r="J174" s="4"/>
      <c r="K174" s="4">
        <v>206</v>
      </c>
      <c r="L174" s="4">
        <v>20</v>
      </c>
      <c r="M174" s="4">
        <v>3</v>
      </c>
      <c r="N174" s="4" t="s">
        <v>5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4">
        <v>50</v>
      </c>
      <c r="B175" s="4">
        <v>0</v>
      </c>
      <c r="C175" s="4">
        <v>0</v>
      </c>
      <c r="D175" s="4">
        <v>1</v>
      </c>
      <c r="E175" s="4">
        <v>207</v>
      </c>
      <c r="F175" s="4">
        <f>Source!U153</f>
        <v>990.60534299999995</v>
      </c>
      <c r="G175" s="4" t="s">
        <v>91</v>
      </c>
      <c r="H175" s="4" t="s">
        <v>92</v>
      </c>
      <c r="I175" s="4"/>
      <c r="J175" s="4"/>
      <c r="K175" s="4">
        <v>207</v>
      </c>
      <c r="L175" s="4">
        <v>21</v>
      </c>
      <c r="M175" s="4">
        <v>3</v>
      </c>
      <c r="N175" s="4" t="s">
        <v>5</v>
      </c>
      <c r="O175" s="4">
        <v>-1</v>
      </c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4">
        <v>50</v>
      </c>
      <c r="B176" s="4">
        <v>0</v>
      </c>
      <c r="C176" s="4">
        <v>0</v>
      </c>
      <c r="D176" s="4">
        <v>1</v>
      </c>
      <c r="E176" s="4">
        <v>208</v>
      </c>
      <c r="F176" s="4">
        <f>Source!V153</f>
        <v>0</v>
      </c>
      <c r="G176" s="4" t="s">
        <v>93</v>
      </c>
      <c r="H176" s="4" t="s">
        <v>94</v>
      </c>
      <c r="I176" s="4"/>
      <c r="J176" s="4"/>
      <c r="K176" s="4">
        <v>208</v>
      </c>
      <c r="L176" s="4">
        <v>22</v>
      </c>
      <c r="M176" s="4">
        <v>3</v>
      </c>
      <c r="N176" s="4" t="s">
        <v>5</v>
      </c>
      <c r="O176" s="4">
        <v>-1</v>
      </c>
      <c r="P176" s="4"/>
      <c r="Q176" s="4"/>
      <c r="R176" s="4"/>
      <c r="S176" s="4"/>
      <c r="T176" s="4"/>
      <c r="U176" s="4"/>
      <c r="V176" s="4"/>
      <c r="W176" s="4"/>
    </row>
    <row r="177" spans="1:245" x14ac:dyDescent="0.2">
      <c r="A177" s="4">
        <v>50</v>
      </c>
      <c r="B177" s="4">
        <v>0</v>
      </c>
      <c r="C177" s="4">
        <v>0</v>
      </c>
      <c r="D177" s="4">
        <v>1</v>
      </c>
      <c r="E177" s="4">
        <v>209</v>
      </c>
      <c r="F177" s="4">
        <f>ROUND(Source!W153,O177)</f>
        <v>0</v>
      </c>
      <c r="G177" s="4" t="s">
        <v>95</v>
      </c>
      <c r="H177" s="4" t="s">
        <v>96</v>
      </c>
      <c r="I177" s="4"/>
      <c r="J177" s="4"/>
      <c r="K177" s="4">
        <v>209</v>
      </c>
      <c r="L177" s="4">
        <v>23</v>
      </c>
      <c r="M177" s="4">
        <v>3</v>
      </c>
      <c r="N177" s="4" t="s">
        <v>5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45" x14ac:dyDescent="0.2">
      <c r="A178" s="4">
        <v>50</v>
      </c>
      <c r="B178" s="4">
        <v>0</v>
      </c>
      <c r="C178" s="4">
        <v>0</v>
      </c>
      <c r="D178" s="4">
        <v>1</v>
      </c>
      <c r="E178" s="4">
        <v>233</v>
      </c>
      <c r="F178" s="4">
        <f>ROUND(Source!BD153,O178)</f>
        <v>0</v>
      </c>
      <c r="G178" s="4" t="s">
        <v>97</v>
      </c>
      <c r="H178" s="4" t="s">
        <v>98</v>
      </c>
      <c r="I178" s="4"/>
      <c r="J178" s="4"/>
      <c r="K178" s="4">
        <v>233</v>
      </c>
      <c r="L178" s="4">
        <v>24</v>
      </c>
      <c r="M178" s="4">
        <v>3</v>
      </c>
      <c r="N178" s="4" t="s">
        <v>5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45" x14ac:dyDescent="0.2">
      <c r="A179" s="4">
        <v>50</v>
      </c>
      <c r="B179" s="4">
        <v>0</v>
      </c>
      <c r="C179" s="4">
        <v>0</v>
      </c>
      <c r="D179" s="4">
        <v>1</v>
      </c>
      <c r="E179" s="4">
        <v>210</v>
      </c>
      <c r="F179" s="4">
        <f>ROUND(Source!X153,O179)</f>
        <v>279382.21999999997</v>
      </c>
      <c r="G179" s="4" t="s">
        <v>99</v>
      </c>
      <c r="H179" s="4" t="s">
        <v>100</v>
      </c>
      <c r="I179" s="4"/>
      <c r="J179" s="4"/>
      <c r="K179" s="4">
        <v>210</v>
      </c>
      <c r="L179" s="4">
        <v>25</v>
      </c>
      <c r="M179" s="4">
        <v>3</v>
      </c>
      <c r="N179" s="4" t="s">
        <v>5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45" x14ac:dyDescent="0.2">
      <c r="A180" s="4">
        <v>50</v>
      </c>
      <c r="B180" s="4">
        <v>0</v>
      </c>
      <c r="C180" s="4">
        <v>0</v>
      </c>
      <c r="D180" s="4">
        <v>1</v>
      </c>
      <c r="E180" s="4">
        <v>211</v>
      </c>
      <c r="F180" s="4">
        <f>ROUND(Source!Y153,O180)</f>
        <v>128779.4</v>
      </c>
      <c r="G180" s="4" t="s">
        <v>101</v>
      </c>
      <c r="H180" s="4" t="s">
        <v>102</v>
      </c>
      <c r="I180" s="4"/>
      <c r="J180" s="4"/>
      <c r="K180" s="4">
        <v>211</v>
      </c>
      <c r="L180" s="4">
        <v>26</v>
      </c>
      <c r="M180" s="4">
        <v>3</v>
      </c>
      <c r="N180" s="4" t="s">
        <v>5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45" x14ac:dyDescent="0.2">
      <c r="A181" s="4">
        <v>50</v>
      </c>
      <c r="B181" s="4">
        <v>0</v>
      </c>
      <c r="C181" s="4">
        <v>0</v>
      </c>
      <c r="D181" s="4">
        <v>1</v>
      </c>
      <c r="E181" s="4">
        <v>224</v>
      </c>
      <c r="F181" s="4">
        <f>ROUND(Source!AR153,O181)</f>
        <v>902080.48</v>
      </c>
      <c r="G181" s="4" t="s">
        <v>103</v>
      </c>
      <c r="H181" s="4" t="s">
        <v>104</v>
      </c>
      <c r="I181" s="4"/>
      <c r="J181" s="4"/>
      <c r="K181" s="4">
        <v>224</v>
      </c>
      <c r="L181" s="4">
        <v>27</v>
      </c>
      <c r="M181" s="4">
        <v>3</v>
      </c>
      <c r="N181" s="4" t="s">
        <v>5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3" spans="1:245" x14ac:dyDescent="0.2">
      <c r="A183" s="1">
        <v>4</v>
      </c>
      <c r="B183" s="1">
        <v>1</v>
      </c>
      <c r="C183" s="1"/>
      <c r="D183" s="1">
        <f>ROW(A191)</f>
        <v>191</v>
      </c>
      <c r="E183" s="1"/>
      <c r="F183" s="1" t="s">
        <v>14</v>
      </c>
      <c r="G183" s="1" t="s">
        <v>147</v>
      </c>
      <c r="H183" s="1" t="s">
        <v>5</v>
      </c>
      <c r="I183" s="1">
        <v>0</v>
      </c>
      <c r="J183" s="1"/>
      <c r="K183" s="1">
        <v>0</v>
      </c>
      <c r="L183" s="1"/>
      <c r="M183" s="1" t="s">
        <v>5</v>
      </c>
      <c r="N183" s="1"/>
      <c r="O183" s="1"/>
      <c r="P183" s="1"/>
      <c r="Q183" s="1"/>
      <c r="R183" s="1"/>
      <c r="S183" s="1">
        <v>0</v>
      </c>
      <c r="T183" s="1"/>
      <c r="U183" s="1" t="s">
        <v>5</v>
      </c>
      <c r="V183" s="1">
        <v>0</v>
      </c>
      <c r="W183" s="1"/>
      <c r="X183" s="1"/>
      <c r="Y183" s="1"/>
      <c r="Z183" s="1"/>
      <c r="AA183" s="1"/>
      <c r="AB183" s="1" t="s">
        <v>5</v>
      </c>
      <c r="AC183" s="1" t="s">
        <v>5</v>
      </c>
      <c r="AD183" s="1" t="s">
        <v>5</v>
      </c>
      <c r="AE183" s="1" t="s">
        <v>5</v>
      </c>
      <c r="AF183" s="1" t="s">
        <v>5</v>
      </c>
      <c r="AG183" s="1" t="s">
        <v>5</v>
      </c>
      <c r="AH183" s="1"/>
      <c r="AI183" s="1"/>
      <c r="AJ183" s="1"/>
      <c r="AK183" s="1"/>
      <c r="AL183" s="1"/>
      <c r="AM183" s="1"/>
      <c r="AN183" s="1"/>
      <c r="AO183" s="1"/>
      <c r="AP183" s="1" t="s">
        <v>5</v>
      </c>
      <c r="AQ183" s="1" t="s">
        <v>5</v>
      </c>
      <c r="AR183" s="1" t="s">
        <v>5</v>
      </c>
      <c r="AS183" s="1"/>
      <c r="AT183" s="1"/>
      <c r="AU183" s="1"/>
      <c r="AV183" s="1"/>
      <c r="AW183" s="1"/>
      <c r="AX183" s="1"/>
      <c r="AY183" s="1"/>
      <c r="AZ183" s="1" t="s">
        <v>5</v>
      </c>
      <c r="BA183" s="1"/>
      <c r="BB183" s="1" t="s">
        <v>5</v>
      </c>
      <c r="BC183" s="1" t="s">
        <v>5</v>
      </c>
      <c r="BD183" s="1" t="s">
        <v>5</v>
      </c>
      <c r="BE183" s="1" t="s">
        <v>5</v>
      </c>
      <c r="BF183" s="1" t="s">
        <v>5</v>
      </c>
      <c r="BG183" s="1" t="s">
        <v>5</v>
      </c>
      <c r="BH183" s="1" t="s">
        <v>5</v>
      </c>
      <c r="BI183" s="1" t="s">
        <v>5</v>
      </c>
      <c r="BJ183" s="1" t="s">
        <v>5</v>
      </c>
      <c r="BK183" s="1" t="s">
        <v>5</v>
      </c>
      <c r="BL183" s="1" t="s">
        <v>5</v>
      </c>
      <c r="BM183" s="1" t="s">
        <v>5</v>
      </c>
      <c r="BN183" s="1" t="s">
        <v>5</v>
      </c>
      <c r="BO183" s="1" t="s">
        <v>5</v>
      </c>
      <c r="BP183" s="1" t="s">
        <v>5</v>
      </c>
      <c r="BQ183" s="1"/>
      <c r="BR183" s="1"/>
      <c r="BS183" s="1"/>
      <c r="BT183" s="1"/>
      <c r="BU183" s="1"/>
      <c r="BV183" s="1"/>
      <c r="BW183" s="1"/>
      <c r="BX183" s="1">
        <v>0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>
        <v>0</v>
      </c>
    </row>
    <row r="185" spans="1:245" x14ac:dyDescent="0.2">
      <c r="A185" s="2">
        <v>52</v>
      </c>
      <c r="B185" s="2">
        <f t="shared" ref="B185:G185" si="126">B191</f>
        <v>1</v>
      </c>
      <c r="C185" s="2">
        <f t="shared" si="126"/>
        <v>4</v>
      </c>
      <c r="D185" s="2">
        <f t="shared" si="126"/>
        <v>183</v>
      </c>
      <c r="E185" s="2">
        <f t="shared" si="126"/>
        <v>0</v>
      </c>
      <c r="F185" s="2" t="str">
        <f t="shared" si="126"/>
        <v>Новый раздел</v>
      </c>
      <c r="G185" s="2" t="str">
        <f t="shared" si="126"/>
        <v>Восстановление отпада деревьев с комом земли 1,0х1,0х0,6 м - 4 шт.</v>
      </c>
      <c r="H185" s="2"/>
      <c r="I185" s="2"/>
      <c r="J185" s="2"/>
      <c r="K185" s="2"/>
      <c r="L185" s="2"/>
      <c r="M185" s="2"/>
      <c r="N185" s="2"/>
      <c r="O185" s="2">
        <f t="shared" ref="O185:AT185" si="127">O191</f>
        <v>10840.87</v>
      </c>
      <c r="P185" s="2">
        <f t="shared" si="127"/>
        <v>160.13999999999999</v>
      </c>
      <c r="Q185" s="2">
        <f t="shared" si="127"/>
        <v>2612.25</v>
      </c>
      <c r="R185" s="2">
        <f t="shared" si="127"/>
        <v>705.89</v>
      </c>
      <c r="S185" s="2">
        <f t="shared" si="127"/>
        <v>8068.48</v>
      </c>
      <c r="T185" s="2">
        <f t="shared" si="127"/>
        <v>0</v>
      </c>
      <c r="U185" s="2">
        <f t="shared" si="127"/>
        <v>27.954000000000004</v>
      </c>
      <c r="V185" s="2">
        <f t="shared" si="127"/>
        <v>0</v>
      </c>
      <c r="W185" s="2">
        <f t="shared" si="127"/>
        <v>0</v>
      </c>
      <c r="X185" s="2">
        <f t="shared" si="127"/>
        <v>8229.84</v>
      </c>
      <c r="Y185" s="2">
        <f t="shared" si="127"/>
        <v>3792.18</v>
      </c>
      <c r="Z185" s="2">
        <f t="shared" si="127"/>
        <v>0</v>
      </c>
      <c r="AA185" s="2">
        <f t="shared" si="127"/>
        <v>0</v>
      </c>
      <c r="AB185" s="2">
        <f t="shared" si="127"/>
        <v>10840.87</v>
      </c>
      <c r="AC185" s="2">
        <f t="shared" si="127"/>
        <v>160.13999999999999</v>
      </c>
      <c r="AD185" s="2">
        <f t="shared" si="127"/>
        <v>2612.25</v>
      </c>
      <c r="AE185" s="2">
        <f t="shared" si="127"/>
        <v>705.89</v>
      </c>
      <c r="AF185" s="2">
        <f t="shared" si="127"/>
        <v>8068.48</v>
      </c>
      <c r="AG185" s="2">
        <f t="shared" si="127"/>
        <v>0</v>
      </c>
      <c r="AH185" s="2">
        <f t="shared" si="127"/>
        <v>27.954000000000004</v>
      </c>
      <c r="AI185" s="2">
        <f t="shared" si="127"/>
        <v>0</v>
      </c>
      <c r="AJ185" s="2">
        <f t="shared" si="127"/>
        <v>0</v>
      </c>
      <c r="AK185" s="2">
        <f t="shared" si="127"/>
        <v>8229.84</v>
      </c>
      <c r="AL185" s="2">
        <f t="shared" si="127"/>
        <v>3792.18</v>
      </c>
      <c r="AM185" s="2">
        <f t="shared" si="127"/>
        <v>0</v>
      </c>
      <c r="AN185" s="2">
        <f t="shared" si="127"/>
        <v>0</v>
      </c>
      <c r="AO185" s="2">
        <f t="shared" si="127"/>
        <v>0</v>
      </c>
      <c r="AP185" s="2">
        <f t="shared" si="127"/>
        <v>0</v>
      </c>
      <c r="AQ185" s="2">
        <f t="shared" si="127"/>
        <v>0</v>
      </c>
      <c r="AR185" s="2">
        <f t="shared" si="127"/>
        <v>23971.14</v>
      </c>
      <c r="AS185" s="2">
        <f t="shared" si="127"/>
        <v>23971.14</v>
      </c>
      <c r="AT185" s="2">
        <f t="shared" si="127"/>
        <v>0</v>
      </c>
      <c r="AU185" s="2">
        <f t="shared" ref="AU185:BZ185" si="128">AU191</f>
        <v>0</v>
      </c>
      <c r="AV185" s="2">
        <f t="shared" si="128"/>
        <v>160.13999999999999</v>
      </c>
      <c r="AW185" s="2">
        <f t="shared" si="128"/>
        <v>160.13999999999999</v>
      </c>
      <c r="AX185" s="2">
        <f t="shared" si="128"/>
        <v>0</v>
      </c>
      <c r="AY185" s="2">
        <f t="shared" si="128"/>
        <v>160.13999999999999</v>
      </c>
      <c r="AZ185" s="2">
        <f t="shared" si="128"/>
        <v>0</v>
      </c>
      <c r="BA185" s="2">
        <f t="shared" si="128"/>
        <v>0</v>
      </c>
      <c r="BB185" s="2">
        <f t="shared" si="128"/>
        <v>0</v>
      </c>
      <c r="BC185" s="2">
        <f t="shared" si="128"/>
        <v>0</v>
      </c>
      <c r="BD185" s="2">
        <f t="shared" si="128"/>
        <v>0</v>
      </c>
      <c r="BE185" s="2">
        <f t="shared" si="128"/>
        <v>0</v>
      </c>
      <c r="BF185" s="2">
        <f t="shared" si="128"/>
        <v>0</v>
      </c>
      <c r="BG185" s="2">
        <f t="shared" si="128"/>
        <v>0</v>
      </c>
      <c r="BH185" s="2">
        <f t="shared" si="128"/>
        <v>0</v>
      </c>
      <c r="BI185" s="2">
        <f t="shared" si="128"/>
        <v>0</v>
      </c>
      <c r="BJ185" s="2">
        <f t="shared" si="128"/>
        <v>0</v>
      </c>
      <c r="BK185" s="2">
        <f t="shared" si="128"/>
        <v>0</v>
      </c>
      <c r="BL185" s="2">
        <f t="shared" si="128"/>
        <v>0</v>
      </c>
      <c r="BM185" s="2">
        <f t="shared" si="128"/>
        <v>0</v>
      </c>
      <c r="BN185" s="2">
        <f t="shared" si="128"/>
        <v>0</v>
      </c>
      <c r="BO185" s="2">
        <f t="shared" si="128"/>
        <v>0</v>
      </c>
      <c r="BP185" s="2">
        <f t="shared" si="128"/>
        <v>0</v>
      </c>
      <c r="BQ185" s="2">
        <f t="shared" si="128"/>
        <v>0</v>
      </c>
      <c r="BR185" s="2">
        <f t="shared" si="128"/>
        <v>0</v>
      </c>
      <c r="BS185" s="2">
        <f t="shared" si="128"/>
        <v>0</v>
      </c>
      <c r="BT185" s="2">
        <f t="shared" si="128"/>
        <v>0</v>
      </c>
      <c r="BU185" s="2">
        <f t="shared" si="128"/>
        <v>0</v>
      </c>
      <c r="BV185" s="2">
        <f t="shared" si="128"/>
        <v>0</v>
      </c>
      <c r="BW185" s="2">
        <f t="shared" si="128"/>
        <v>0</v>
      </c>
      <c r="BX185" s="2">
        <f t="shared" si="128"/>
        <v>0</v>
      </c>
      <c r="BY185" s="2">
        <f t="shared" si="128"/>
        <v>0</v>
      </c>
      <c r="BZ185" s="2">
        <f t="shared" si="128"/>
        <v>0</v>
      </c>
      <c r="CA185" s="2">
        <f t="shared" ref="CA185:DF185" si="129">CA191</f>
        <v>23971.14</v>
      </c>
      <c r="CB185" s="2">
        <f t="shared" si="129"/>
        <v>23971.14</v>
      </c>
      <c r="CC185" s="2">
        <f t="shared" si="129"/>
        <v>0</v>
      </c>
      <c r="CD185" s="2">
        <f t="shared" si="129"/>
        <v>0</v>
      </c>
      <c r="CE185" s="2">
        <f t="shared" si="129"/>
        <v>160.13999999999999</v>
      </c>
      <c r="CF185" s="2">
        <f t="shared" si="129"/>
        <v>160.13999999999999</v>
      </c>
      <c r="CG185" s="2">
        <f t="shared" si="129"/>
        <v>0</v>
      </c>
      <c r="CH185" s="2">
        <f t="shared" si="129"/>
        <v>160.13999999999999</v>
      </c>
      <c r="CI185" s="2">
        <f t="shared" si="129"/>
        <v>0</v>
      </c>
      <c r="CJ185" s="2">
        <f t="shared" si="129"/>
        <v>0</v>
      </c>
      <c r="CK185" s="2">
        <f t="shared" si="129"/>
        <v>0</v>
      </c>
      <c r="CL185" s="2">
        <f t="shared" si="129"/>
        <v>0</v>
      </c>
      <c r="CM185" s="2">
        <f t="shared" si="129"/>
        <v>0</v>
      </c>
      <c r="CN185" s="2">
        <f t="shared" si="129"/>
        <v>0</v>
      </c>
      <c r="CO185" s="2">
        <f t="shared" si="129"/>
        <v>0</v>
      </c>
      <c r="CP185" s="2">
        <f t="shared" si="129"/>
        <v>0</v>
      </c>
      <c r="CQ185" s="2">
        <f t="shared" si="129"/>
        <v>0</v>
      </c>
      <c r="CR185" s="2">
        <f t="shared" si="129"/>
        <v>0</v>
      </c>
      <c r="CS185" s="2">
        <f t="shared" si="129"/>
        <v>0</v>
      </c>
      <c r="CT185" s="2">
        <f t="shared" si="129"/>
        <v>0</v>
      </c>
      <c r="CU185" s="2">
        <f t="shared" si="129"/>
        <v>0</v>
      </c>
      <c r="CV185" s="2">
        <f t="shared" si="129"/>
        <v>0</v>
      </c>
      <c r="CW185" s="2">
        <f t="shared" si="129"/>
        <v>0</v>
      </c>
      <c r="CX185" s="2">
        <f t="shared" si="129"/>
        <v>0</v>
      </c>
      <c r="CY185" s="2">
        <f t="shared" si="129"/>
        <v>0</v>
      </c>
      <c r="CZ185" s="2">
        <f t="shared" si="129"/>
        <v>0</v>
      </c>
      <c r="DA185" s="2">
        <f t="shared" si="129"/>
        <v>0</v>
      </c>
      <c r="DB185" s="2">
        <f t="shared" si="129"/>
        <v>0</v>
      </c>
      <c r="DC185" s="2">
        <f t="shared" si="129"/>
        <v>0</v>
      </c>
      <c r="DD185" s="2">
        <f t="shared" si="129"/>
        <v>0</v>
      </c>
      <c r="DE185" s="2">
        <f t="shared" si="129"/>
        <v>0</v>
      </c>
      <c r="DF185" s="2">
        <f t="shared" si="129"/>
        <v>0</v>
      </c>
      <c r="DG185" s="3">
        <f t="shared" ref="DG185:EL185" si="130">DG191</f>
        <v>0</v>
      </c>
      <c r="DH185" s="3">
        <f t="shared" si="130"/>
        <v>0</v>
      </c>
      <c r="DI185" s="3">
        <f t="shared" si="130"/>
        <v>0</v>
      </c>
      <c r="DJ185" s="3">
        <f t="shared" si="130"/>
        <v>0</v>
      </c>
      <c r="DK185" s="3">
        <f t="shared" si="130"/>
        <v>0</v>
      </c>
      <c r="DL185" s="3">
        <f t="shared" si="130"/>
        <v>0</v>
      </c>
      <c r="DM185" s="3">
        <f t="shared" si="130"/>
        <v>0</v>
      </c>
      <c r="DN185" s="3">
        <f t="shared" si="130"/>
        <v>0</v>
      </c>
      <c r="DO185" s="3">
        <f t="shared" si="130"/>
        <v>0</v>
      </c>
      <c r="DP185" s="3">
        <f t="shared" si="130"/>
        <v>0</v>
      </c>
      <c r="DQ185" s="3">
        <f t="shared" si="130"/>
        <v>0</v>
      </c>
      <c r="DR185" s="3">
        <f t="shared" si="130"/>
        <v>0</v>
      </c>
      <c r="DS185" s="3">
        <f t="shared" si="130"/>
        <v>0</v>
      </c>
      <c r="DT185" s="3">
        <f t="shared" si="130"/>
        <v>0</v>
      </c>
      <c r="DU185" s="3">
        <f t="shared" si="130"/>
        <v>0</v>
      </c>
      <c r="DV185" s="3">
        <f t="shared" si="130"/>
        <v>0</v>
      </c>
      <c r="DW185" s="3">
        <f t="shared" si="130"/>
        <v>0</v>
      </c>
      <c r="DX185" s="3">
        <f t="shared" si="130"/>
        <v>0</v>
      </c>
      <c r="DY185" s="3">
        <f t="shared" si="130"/>
        <v>0</v>
      </c>
      <c r="DZ185" s="3">
        <f t="shared" si="130"/>
        <v>0</v>
      </c>
      <c r="EA185" s="3">
        <f t="shared" si="130"/>
        <v>0</v>
      </c>
      <c r="EB185" s="3">
        <f t="shared" si="130"/>
        <v>0</v>
      </c>
      <c r="EC185" s="3">
        <f t="shared" si="130"/>
        <v>0</v>
      </c>
      <c r="ED185" s="3">
        <f t="shared" si="130"/>
        <v>0</v>
      </c>
      <c r="EE185" s="3">
        <f t="shared" si="130"/>
        <v>0</v>
      </c>
      <c r="EF185" s="3">
        <f t="shared" si="130"/>
        <v>0</v>
      </c>
      <c r="EG185" s="3">
        <f t="shared" si="130"/>
        <v>0</v>
      </c>
      <c r="EH185" s="3">
        <f t="shared" si="130"/>
        <v>0</v>
      </c>
      <c r="EI185" s="3">
        <f t="shared" si="130"/>
        <v>0</v>
      </c>
      <c r="EJ185" s="3">
        <f t="shared" si="130"/>
        <v>0</v>
      </c>
      <c r="EK185" s="3">
        <f t="shared" si="130"/>
        <v>0</v>
      </c>
      <c r="EL185" s="3">
        <f t="shared" si="130"/>
        <v>0</v>
      </c>
      <c r="EM185" s="3">
        <f t="shared" ref="EM185:FR185" si="131">EM191</f>
        <v>0</v>
      </c>
      <c r="EN185" s="3">
        <f t="shared" si="131"/>
        <v>0</v>
      </c>
      <c r="EO185" s="3">
        <f t="shared" si="131"/>
        <v>0</v>
      </c>
      <c r="EP185" s="3">
        <f t="shared" si="131"/>
        <v>0</v>
      </c>
      <c r="EQ185" s="3">
        <f t="shared" si="131"/>
        <v>0</v>
      </c>
      <c r="ER185" s="3">
        <f t="shared" si="131"/>
        <v>0</v>
      </c>
      <c r="ES185" s="3">
        <f t="shared" si="131"/>
        <v>0</v>
      </c>
      <c r="ET185" s="3">
        <f t="shared" si="131"/>
        <v>0</v>
      </c>
      <c r="EU185" s="3">
        <f t="shared" si="131"/>
        <v>0</v>
      </c>
      <c r="EV185" s="3">
        <f t="shared" si="131"/>
        <v>0</v>
      </c>
      <c r="EW185" s="3">
        <f t="shared" si="131"/>
        <v>0</v>
      </c>
      <c r="EX185" s="3">
        <f t="shared" si="131"/>
        <v>0</v>
      </c>
      <c r="EY185" s="3">
        <f t="shared" si="131"/>
        <v>0</v>
      </c>
      <c r="EZ185" s="3">
        <f t="shared" si="131"/>
        <v>0</v>
      </c>
      <c r="FA185" s="3">
        <f t="shared" si="131"/>
        <v>0</v>
      </c>
      <c r="FB185" s="3">
        <f t="shared" si="131"/>
        <v>0</v>
      </c>
      <c r="FC185" s="3">
        <f t="shared" si="131"/>
        <v>0</v>
      </c>
      <c r="FD185" s="3">
        <f t="shared" si="131"/>
        <v>0</v>
      </c>
      <c r="FE185" s="3">
        <f t="shared" si="131"/>
        <v>0</v>
      </c>
      <c r="FF185" s="3">
        <f t="shared" si="131"/>
        <v>0</v>
      </c>
      <c r="FG185" s="3">
        <f t="shared" si="131"/>
        <v>0</v>
      </c>
      <c r="FH185" s="3">
        <f t="shared" si="131"/>
        <v>0</v>
      </c>
      <c r="FI185" s="3">
        <f t="shared" si="131"/>
        <v>0</v>
      </c>
      <c r="FJ185" s="3">
        <f t="shared" si="131"/>
        <v>0</v>
      </c>
      <c r="FK185" s="3">
        <f t="shared" si="131"/>
        <v>0</v>
      </c>
      <c r="FL185" s="3">
        <f t="shared" si="131"/>
        <v>0</v>
      </c>
      <c r="FM185" s="3">
        <f t="shared" si="131"/>
        <v>0</v>
      </c>
      <c r="FN185" s="3">
        <f t="shared" si="131"/>
        <v>0</v>
      </c>
      <c r="FO185" s="3">
        <f t="shared" si="131"/>
        <v>0</v>
      </c>
      <c r="FP185" s="3">
        <f t="shared" si="131"/>
        <v>0</v>
      </c>
      <c r="FQ185" s="3">
        <f t="shared" si="131"/>
        <v>0</v>
      </c>
      <c r="FR185" s="3">
        <f t="shared" si="131"/>
        <v>0</v>
      </c>
      <c r="FS185" s="3">
        <f t="shared" ref="FS185:GX185" si="132">FS191</f>
        <v>0</v>
      </c>
      <c r="FT185" s="3">
        <f t="shared" si="132"/>
        <v>0</v>
      </c>
      <c r="FU185" s="3">
        <f t="shared" si="132"/>
        <v>0</v>
      </c>
      <c r="FV185" s="3">
        <f t="shared" si="132"/>
        <v>0</v>
      </c>
      <c r="FW185" s="3">
        <f t="shared" si="132"/>
        <v>0</v>
      </c>
      <c r="FX185" s="3">
        <f t="shared" si="132"/>
        <v>0</v>
      </c>
      <c r="FY185" s="3">
        <f t="shared" si="132"/>
        <v>0</v>
      </c>
      <c r="FZ185" s="3">
        <f t="shared" si="132"/>
        <v>0</v>
      </c>
      <c r="GA185" s="3">
        <f t="shared" si="132"/>
        <v>0</v>
      </c>
      <c r="GB185" s="3">
        <f t="shared" si="132"/>
        <v>0</v>
      </c>
      <c r="GC185" s="3">
        <f t="shared" si="132"/>
        <v>0</v>
      </c>
      <c r="GD185" s="3">
        <f t="shared" si="132"/>
        <v>0</v>
      </c>
      <c r="GE185" s="3">
        <f t="shared" si="132"/>
        <v>0</v>
      </c>
      <c r="GF185" s="3">
        <f t="shared" si="132"/>
        <v>0</v>
      </c>
      <c r="GG185" s="3">
        <f t="shared" si="132"/>
        <v>0</v>
      </c>
      <c r="GH185" s="3">
        <f t="shared" si="132"/>
        <v>0</v>
      </c>
      <c r="GI185" s="3">
        <f t="shared" si="132"/>
        <v>0</v>
      </c>
      <c r="GJ185" s="3">
        <f t="shared" si="132"/>
        <v>0</v>
      </c>
      <c r="GK185" s="3">
        <f t="shared" si="132"/>
        <v>0</v>
      </c>
      <c r="GL185" s="3">
        <f t="shared" si="132"/>
        <v>0</v>
      </c>
      <c r="GM185" s="3">
        <f t="shared" si="132"/>
        <v>0</v>
      </c>
      <c r="GN185" s="3">
        <f t="shared" si="132"/>
        <v>0</v>
      </c>
      <c r="GO185" s="3">
        <f t="shared" si="132"/>
        <v>0</v>
      </c>
      <c r="GP185" s="3">
        <f t="shared" si="132"/>
        <v>0</v>
      </c>
      <c r="GQ185" s="3">
        <f t="shared" si="132"/>
        <v>0</v>
      </c>
      <c r="GR185" s="3">
        <f t="shared" si="132"/>
        <v>0</v>
      </c>
      <c r="GS185" s="3">
        <f t="shared" si="132"/>
        <v>0</v>
      </c>
      <c r="GT185" s="3">
        <f t="shared" si="132"/>
        <v>0</v>
      </c>
      <c r="GU185" s="3">
        <f t="shared" si="132"/>
        <v>0</v>
      </c>
      <c r="GV185" s="3">
        <f t="shared" si="132"/>
        <v>0</v>
      </c>
      <c r="GW185" s="3">
        <f t="shared" si="132"/>
        <v>0</v>
      </c>
      <c r="GX185" s="3">
        <f t="shared" si="132"/>
        <v>0</v>
      </c>
    </row>
    <row r="187" spans="1:245" x14ac:dyDescent="0.2">
      <c r="A187">
        <v>17</v>
      </c>
      <c r="B187">
        <v>1</v>
      </c>
      <c r="C187">
        <f>ROW(SmtRes!A46)</f>
        <v>46</v>
      </c>
      <c r="D187">
        <f>ROW(EtalonRes!A49)</f>
        <v>49</v>
      </c>
      <c r="E187" t="s">
        <v>148</v>
      </c>
      <c r="F187" t="s">
        <v>149</v>
      </c>
      <c r="G187" t="s">
        <v>150</v>
      </c>
      <c r="H187" t="s">
        <v>19</v>
      </c>
      <c r="I187">
        <f>ROUND((4*0.75)/10,9)</f>
        <v>0.3</v>
      </c>
      <c r="J187">
        <v>0</v>
      </c>
      <c r="O187">
        <f>ROUND(CP187,2)</f>
        <v>1453.22</v>
      </c>
      <c r="P187">
        <f>ROUND((ROUND((AC187*AW187*I187),2)*BC187),2)</f>
        <v>0</v>
      </c>
      <c r="Q187">
        <f>(ROUND((ROUND(((ET187)*AV187*I187),2)*BB187),2)+ROUND((ROUND(((AE187-(EU187))*AV187*I187),2)*BS187),2))</f>
        <v>307.52999999999997</v>
      </c>
      <c r="R187">
        <f>ROUND((ROUND((AE187*AV187*I187),2)*BS187),2)</f>
        <v>188.14</v>
      </c>
      <c r="S187">
        <f>ROUND((ROUND((AF187*AV187*I187),2)*BA187),2)</f>
        <v>1145.69</v>
      </c>
      <c r="T187">
        <f>ROUND(CU187*I187,2)</f>
        <v>0</v>
      </c>
      <c r="U187">
        <f>CV187*I187</f>
        <v>4.593</v>
      </c>
      <c r="V187">
        <f>CW187*I187</f>
        <v>0</v>
      </c>
      <c r="W187">
        <f>ROUND(CX187*I187,2)</f>
        <v>0</v>
      </c>
      <c r="X187">
        <f t="shared" ref="X187:Y189" si="133">ROUND(CY187,2)</f>
        <v>1168.5999999999999</v>
      </c>
      <c r="Y187">
        <f t="shared" si="133"/>
        <v>538.47</v>
      </c>
      <c r="AA187">
        <v>49688178</v>
      </c>
      <c r="AB187">
        <f>ROUND((AC187+AD187+AF187),6)</f>
        <v>250.67</v>
      </c>
      <c r="AC187">
        <f>ROUND((ES187),6)</f>
        <v>0</v>
      </c>
      <c r="AD187">
        <f>ROUND((((ET187)-(EU187))+AE187),6)</f>
        <v>96.8</v>
      </c>
      <c r="AE187">
        <f t="shared" ref="AE187:AF189" si="134">ROUND((EU187),6)</f>
        <v>25.25</v>
      </c>
      <c r="AF187">
        <f t="shared" si="134"/>
        <v>153.87</v>
      </c>
      <c r="AG187">
        <f>ROUND((AP187),6)</f>
        <v>0</v>
      </c>
      <c r="AH187">
        <f t="shared" ref="AH187:AI189" si="135">(EW187)</f>
        <v>15.31</v>
      </c>
      <c r="AI187">
        <f t="shared" si="135"/>
        <v>0</v>
      </c>
      <c r="AJ187">
        <f>(AS187)</f>
        <v>0</v>
      </c>
      <c r="AK187">
        <v>250.67</v>
      </c>
      <c r="AL187">
        <v>0</v>
      </c>
      <c r="AM187">
        <v>96.8</v>
      </c>
      <c r="AN187">
        <v>25.25</v>
      </c>
      <c r="AO187">
        <v>153.87</v>
      </c>
      <c r="AP187">
        <v>0</v>
      </c>
      <c r="AQ187">
        <v>15.31</v>
      </c>
      <c r="AR187">
        <v>0</v>
      </c>
      <c r="AS187">
        <v>0</v>
      </c>
      <c r="AT187">
        <v>102</v>
      </c>
      <c r="AU187">
        <v>47</v>
      </c>
      <c r="AV187">
        <v>1</v>
      </c>
      <c r="AW187">
        <v>1</v>
      </c>
      <c r="AZ187">
        <v>1</v>
      </c>
      <c r="BA187">
        <v>24.82</v>
      </c>
      <c r="BB187">
        <v>10.59</v>
      </c>
      <c r="BC187">
        <v>1</v>
      </c>
      <c r="BD187" t="s">
        <v>5</v>
      </c>
      <c r="BE187" t="s">
        <v>5</v>
      </c>
      <c r="BF187" t="s">
        <v>5</v>
      </c>
      <c r="BG187" t="s">
        <v>5</v>
      </c>
      <c r="BH187">
        <v>0</v>
      </c>
      <c r="BI187">
        <v>1</v>
      </c>
      <c r="BJ187" t="s">
        <v>151</v>
      </c>
      <c r="BM187">
        <v>292</v>
      </c>
      <c r="BN187">
        <v>0</v>
      </c>
      <c r="BO187" t="s">
        <v>149</v>
      </c>
      <c r="BP187">
        <v>1</v>
      </c>
      <c r="BQ187">
        <v>30</v>
      </c>
      <c r="BR187">
        <v>0</v>
      </c>
      <c r="BS187">
        <v>24.82</v>
      </c>
      <c r="BT187">
        <v>1</v>
      </c>
      <c r="BU187">
        <v>1</v>
      </c>
      <c r="BV187">
        <v>1</v>
      </c>
      <c r="BW187">
        <v>1</v>
      </c>
      <c r="BX187">
        <v>1</v>
      </c>
      <c r="BY187" t="s">
        <v>5</v>
      </c>
      <c r="BZ187">
        <v>102</v>
      </c>
      <c r="CA187">
        <v>47</v>
      </c>
      <c r="CE187">
        <v>30</v>
      </c>
      <c r="CF187">
        <v>0</v>
      </c>
      <c r="CG187">
        <v>0</v>
      </c>
      <c r="CM187">
        <v>0</v>
      </c>
      <c r="CN187" t="s">
        <v>5</v>
      </c>
      <c r="CO187">
        <v>0</v>
      </c>
      <c r="CP187">
        <f>(P187+Q187+S187)</f>
        <v>1453.22</v>
      </c>
      <c r="CQ187">
        <f>ROUND((ROUND((AC187*AW187*1),2)*BC187),2)</f>
        <v>0</v>
      </c>
      <c r="CR187">
        <f>(ROUND((ROUND(((ET187)*AV187*1),2)*BB187),2)+ROUND((ROUND(((AE187-(EU187))*AV187*1),2)*BS187),2))</f>
        <v>1025.1099999999999</v>
      </c>
      <c r="CS187">
        <f>ROUND((ROUND((AE187*AV187*1),2)*BS187),2)</f>
        <v>626.71</v>
      </c>
      <c r="CT187">
        <f>ROUND((ROUND((AF187*AV187*1),2)*BA187),2)</f>
        <v>3819.05</v>
      </c>
      <c r="CU187">
        <f>AG187</f>
        <v>0</v>
      </c>
      <c r="CV187">
        <f>(AH187*AV187)</f>
        <v>15.31</v>
      </c>
      <c r="CW187">
        <f t="shared" ref="CW187:CX189" si="136">AI187</f>
        <v>0</v>
      </c>
      <c r="CX187">
        <f t="shared" si="136"/>
        <v>0</v>
      </c>
      <c r="CY187">
        <f>S187*(BZ187/100)</f>
        <v>1168.6038000000001</v>
      </c>
      <c r="CZ187">
        <f>S187*(CA187/100)</f>
        <v>538.47429999999997</v>
      </c>
      <c r="DC187" t="s">
        <v>5</v>
      </c>
      <c r="DD187" t="s">
        <v>5</v>
      </c>
      <c r="DE187" t="s">
        <v>5</v>
      </c>
      <c r="DF187" t="s">
        <v>5</v>
      </c>
      <c r="DG187" t="s">
        <v>5</v>
      </c>
      <c r="DH187" t="s">
        <v>5</v>
      </c>
      <c r="DI187" t="s">
        <v>5</v>
      </c>
      <c r="DJ187" t="s">
        <v>5</v>
      </c>
      <c r="DK187" t="s">
        <v>5</v>
      </c>
      <c r="DL187" t="s">
        <v>5</v>
      </c>
      <c r="DM187" t="s">
        <v>5</v>
      </c>
      <c r="DN187">
        <v>187</v>
      </c>
      <c r="DO187">
        <v>101</v>
      </c>
      <c r="DP187">
        <v>1</v>
      </c>
      <c r="DQ187">
        <v>1</v>
      </c>
      <c r="DU187">
        <v>1013</v>
      </c>
      <c r="DV187" t="s">
        <v>19</v>
      </c>
      <c r="DW187" t="s">
        <v>19</v>
      </c>
      <c r="DX187">
        <v>1</v>
      </c>
      <c r="DZ187" t="s">
        <v>5</v>
      </c>
      <c r="EA187" t="s">
        <v>5</v>
      </c>
      <c r="EB187" t="s">
        <v>5</v>
      </c>
      <c r="EC187" t="s">
        <v>5</v>
      </c>
      <c r="EE187">
        <v>49387988</v>
      </c>
      <c r="EF187">
        <v>30</v>
      </c>
      <c r="EG187" t="s">
        <v>21</v>
      </c>
      <c r="EH187">
        <v>0</v>
      </c>
      <c r="EI187" t="s">
        <v>5</v>
      </c>
      <c r="EJ187">
        <v>1</v>
      </c>
      <c r="EK187">
        <v>292</v>
      </c>
      <c r="EL187" t="s">
        <v>22</v>
      </c>
      <c r="EM187" t="s">
        <v>23</v>
      </c>
      <c r="EO187" t="s">
        <v>5</v>
      </c>
      <c r="EQ187">
        <v>0</v>
      </c>
      <c r="ER187">
        <v>250.67</v>
      </c>
      <c r="ES187">
        <v>0</v>
      </c>
      <c r="ET187">
        <v>96.8</v>
      </c>
      <c r="EU187">
        <v>25.25</v>
      </c>
      <c r="EV187">
        <v>153.87</v>
      </c>
      <c r="EW187">
        <v>15.31</v>
      </c>
      <c r="EX187">
        <v>0</v>
      </c>
      <c r="EY187">
        <v>0</v>
      </c>
      <c r="FQ187">
        <v>0</v>
      </c>
      <c r="FR187">
        <f>ROUND(IF(AND(BH187=3,BI187=3),P187,0),2)</f>
        <v>0</v>
      </c>
      <c r="FS187">
        <v>0</v>
      </c>
      <c r="FX187">
        <v>187</v>
      </c>
      <c r="FY187">
        <v>101</v>
      </c>
      <c r="GA187" t="s">
        <v>5</v>
      </c>
      <c r="GD187">
        <v>0</v>
      </c>
      <c r="GF187">
        <v>-987514891</v>
      </c>
      <c r="GG187">
        <v>2</v>
      </c>
      <c r="GH187">
        <v>1</v>
      </c>
      <c r="GI187">
        <v>2</v>
      </c>
      <c r="GJ187">
        <v>0</v>
      </c>
      <c r="GK187">
        <f>ROUND(R187*(R12)/100,2)</f>
        <v>295.38</v>
      </c>
      <c r="GL187">
        <f>ROUND(IF(AND(BH187=3,BI187=3,FS187&lt;&gt;0),P187,0),2)</f>
        <v>0</v>
      </c>
      <c r="GM187">
        <f>ROUND(O187+X187+Y187+GK187,2)+GX187</f>
        <v>3455.67</v>
      </c>
      <c r="GN187">
        <f>IF(OR(BI187=0,BI187=1),ROUND(O187+X187+Y187+GK187,2),0)</f>
        <v>3455.67</v>
      </c>
      <c r="GO187">
        <f>IF(BI187=2,ROUND(O187+X187+Y187+GK187,2),0)</f>
        <v>0</v>
      </c>
      <c r="GP187">
        <f>IF(BI187=4,ROUND(O187+X187+Y187+GK187,2)+GX187,0)</f>
        <v>0</v>
      </c>
      <c r="GR187">
        <v>0</v>
      </c>
      <c r="GS187">
        <v>3</v>
      </c>
      <c r="GT187">
        <v>0</v>
      </c>
      <c r="GU187" t="s">
        <v>5</v>
      </c>
      <c r="GV187">
        <f>ROUND((GT187),6)</f>
        <v>0</v>
      </c>
      <c r="GW187">
        <v>1</v>
      </c>
      <c r="GX187">
        <f>ROUND(HC187*I187,2)</f>
        <v>0</v>
      </c>
      <c r="HA187">
        <v>0</v>
      </c>
      <c r="HB187">
        <v>0</v>
      </c>
      <c r="HC187">
        <f>GV187*GW187</f>
        <v>0</v>
      </c>
      <c r="HE187" t="s">
        <v>5</v>
      </c>
      <c r="HF187" t="s">
        <v>5</v>
      </c>
      <c r="IK187">
        <v>0</v>
      </c>
    </row>
    <row r="188" spans="1:245" x14ac:dyDescent="0.2">
      <c r="A188">
        <v>17</v>
      </c>
      <c r="B188">
        <v>1</v>
      </c>
      <c r="C188">
        <f>ROW(SmtRes!A47)</f>
        <v>47</v>
      </c>
      <c r="D188">
        <f>ROW(EtalonRes!A50)</f>
        <v>50</v>
      </c>
      <c r="E188" t="s">
        <v>152</v>
      </c>
      <c r="F188" t="s">
        <v>153</v>
      </c>
      <c r="G188" t="s">
        <v>154</v>
      </c>
      <c r="H188" t="s">
        <v>19</v>
      </c>
      <c r="I188">
        <f>ROUND((4*0.25)/10,9)</f>
        <v>0.1</v>
      </c>
      <c r="J188">
        <v>0</v>
      </c>
      <c r="O188">
        <f>ROUND(CP188,2)</f>
        <v>1096.05</v>
      </c>
      <c r="P188">
        <f>ROUND((ROUND((AC188*AW188*I188),2)*BC188),2)</f>
        <v>0</v>
      </c>
      <c r="Q188">
        <f>(ROUND((ROUND(((ET188)*AV188*I188),2)*BB188),2)+ROUND((ROUND(((AE188-(EU188))*AV188*I188),2)*BS188),2))</f>
        <v>0</v>
      </c>
      <c r="R188">
        <f>ROUND((ROUND((AE188*AV188*I188),2)*BS188),2)</f>
        <v>0</v>
      </c>
      <c r="S188">
        <f>ROUND((ROUND((AF188*AV188*I188),2)*BA188),2)</f>
        <v>1096.05</v>
      </c>
      <c r="T188">
        <f>ROUND(CU188*I188,2)</f>
        <v>0</v>
      </c>
      <c r="U188">
        <f>CV188*I188</f>
        <v>4.3210000000000006</v>
      </c>
      <c r="V188">
        <f>CW188*I188</f>
        <v>0</v>
      </c>
      <c r="W188">
        <f>ROUND(CX188*I188,2)</f>
        <v>0</v>
      </c>
      <c r="X188">
        <f t="shared" si="133"/>
        <v>1117.97</v>
      </c>
      <c r="Y188">
        <f t="shared" si="133"/>
        <v>515.14</v>
      </c>
      <c r="AA188">
        <v>49688178</v>
      </c>
      <c r="AB188">
        <f>ROUND((AC188+AD188+AF188),6)</f>
        <v>441.61</v>
      </c>
      <c r="AC188">
        <f>ROUND((ES188),6)</f>
        <v>0</v>
      </c>
      <c r="AD188">
        <f>ROUND((((ET188)-(EU188))+AE188),6)</f>
        <v>0</v>
      </c>
      <c r="AE188">
        <f t="shared" si="134"/>
        <v>0</v>
      </c>
      <c r="AF188">
        <f t="shared" si="134"/>
        <v>441.61</v>
      </c>
      <c r="AG188">
        <f>ROUND((AP188),6)</f>
        <v>0</v>
      </c>
      <c r="AH188">
        <f t="shared" si="135"/>
        <v>43.21</v>
      </c>
      <c r="AI188">
        <f t="shared" si="135"/>
        <v>0</v>
      </c>
      <c r="AJ188">
        <f>(AS188)</f>
        <v>0</v>
      </c>
      <c r="AK188">
        <v>441.61</v>
      </c>
      <c r="AL188">
        <v>0</v>
      </c>
      <c r="AM188">
        <v>0</v>
      </c>
      <c r="AN188">
        <v>0</v>
      </c>
      <c r="AO188">
        <v>441.61</v>
      </c>
      <c r="AP188">
        <v>0</v>
      </c>
      <c r="AQ188">
        <v>43.21</v>
      </c>
      <c r="AR188">
        <v>0</v>
      </c>
      <c r="AS188">
        <v>0</v>
      </c>
      <c r="AT188">
        <v>102</v>
      </c>
      <c r="AU188">
        <v>47</v>
      </c>
      <c r="AV188">
        <v>1</v>
      </c>
      <c r="AW188">
        <v>1</v>
      </c>
      <c r="AZ188">
        <v>1</v>
      </c>
      <c r="BA188">
        <v>24.82</v>
      </c>
      <c r="BB188">
        <v>1</v>
      </c>
      <c r="BC188">
        <v>1</v>
      </c>
      <c r="BD188" t="s">
        <v>5</v>
      </c>
      <c r="BE188" t="s">
        <v>5</v>
      </c>
      <c r="BF188" t="s">
        <v>5</v>
      </c>
      <c r="BG188" t="s">
        <v>5</v>
      </c>
      <c r="BH188">
        <v>0</v>
      </c>
      <c r="BI188">
        <v>1</v>
      </c>
      <c r="BJ188" t="s">
        <v>155</v>
      </c>
      <c r="BM188">
        <v>292</v>
      </c>
      <c r="BN188">
        <v>0</v>
      </c>
      <c r="BO188" t="s">
        <v>153</v>
      </c>
      <c r="BP188">
        <v>1</v>
      </c>
      <c r="BQ188">
        <v>30</v>
      </c>
      <c r="BR188">
        <v>0</v>
      </c>
      <c r="BS188">
        <v>24.82</v>
      </c>
      <c r="BT188">
        <v>1</v>
      </c>
      <c r="BU188">
        <v>1</v>
      </c>
      <c r="BV188">
        <v>1</v>
      </c>
      <c r="BW188">
        <v>1</v>
      </c>
      <c r="BX188">
        <v>1</v>
      </c>
      <c r="BY188" t="s">
        <v>5</v>
      </c>
      <c r="BZ188">
        <v>102</v>
      </c>
      <c r="CA188">
        <v>47</v>
      </c>
      <c r="CE188">
        <v>30</v>
      </c>
      <c r="CF188">
        <v>0</v>
      </c>
      <c r="CG188">
        <v>0</v>
      </c>
      <c r="CM188">
        <v>0</v>
      </c>
      <c r="CN188" t="s">
        <v>5</v>
      </c>
      <c r="CO188">
        <v>0</v>
      </c>
      <c r="CP188">
        <f>(P188+Q188+S188)</f>
        <v>1096.05</v>
      </c>
      <c r="CQ188">
        <f>ROUND((ROUND((AC188*AW188*1),2)*BC188),2)</f>
        <v>0</v>
      </c>
      <c r="CR188">
        <f>(ROUND((ROUND(((ET188)*AV188*1),2)*BB188),2)+ROUND((ROUND(((AE188-(EU188))*AV188*1),2)*BS188),2))</f>
        <v>0</v>
      </c>
      <c r="CS188">
        <f>ROUND((ROUND((AE188*AV188*1),2)*BS188),2)</f>
        <v>0</v>
      </c>
      <c r="CT188">
        <f>ROUND((ROUND((AF188*AV188*1),2)*BA188),2)</f>
        <v>10960.76</v>
      </c>
      <c r="CU188">
        <f>AG188</f>
        <v>0</v>
      </c>
      <c r="CV188">
        <f>(AH188*AV188)</f>
        <v>43.21</v>
      </c>
      <c r="CW188">
        <f t="shared" si="136"/>
        <v>0</v>
      </c>
      <c r="CX188">
        <f t="shared" si="136"/>
        <v>0</v>
      </c>
      <c r="CY188">
        <f>S188*(BZ188/100)</f>
        <v>1117.971</v>
      </c>
      <c r="CZ188">
        <f>S188*(CA188/100)</f>
        <v>515.1434999999999</v>
      </c>
      <c r="DC188" t="s">
        <v>5</v>
      </c>
      <c r="DD188" t="s">
        <v>5</v>
      </c>
      <c r="DE188" t="s">
        <v>5</v>
      </c>
      <c r="DF188" t="s">
        <v>5</v>
      </c>
      <c r="DG188" t="s">
        <v>5</v>
      </c>
      <c r="DH188" t="s">
        <v>5</v>
      </c>
      <c r="DI188" t="s">
        <v>5</v>
      </c>
      <c r="DJ188" t="s">
        <v>5</v>
      </c>
      <c r="DK188" t="s">
        <v>5</v>
      </c>
      <c r="DL188" t="s">
        <v>5</v>
      </c>
      <c r="DM188" t="s">
        <v>5</v>
      </c>
      <c r="DN188">
        <v>187</v>
      </c>
      <c r="DO188">
        <v>101</v>
      </c>
      <c r="DP188">
        <v>1</v>
      </c>
      <c r="DQ188">
        <v>1</v>
      </c>
      <c r="DU188">
        <v>1013</v>
      </c>
      <c r="DV188" t="s">
        <v>19</v>
      </c>
      <c r="DW188" t="s">
        <v>19</v>
      </c>
      <c r="DX188">
        <v>1</v>
      </c>
      <c r="DZ188" t="s">
        <v>5</v>
      </c>
      <c r="EA188" t="s">
        <v>5</v>
      </c>
      <c r="EB188" t="s">
        <v>5</v>
      </c>
      <c r="EC188" t="s">
        <v>5</v>
      </c>
      <c r="EE188">
        <v>49387988</v>
      </c>
      <c r="EF188">
        <v>30</v>
      </c>
      <c r="EG188" t="s">
        <v>21</v>
      </c>
      <c r="EH188">
        <v>0</v>
      </c>
      <c r="EI188" t="s">
        <v>5</v>
      </c>
      <c r="EJ188">
        <v>1</v>
      </c>
      <c r="EK188">
        <v>292</v>
      </c>
      <c r="EL188" t="s">
        <v>22</v>
      </c>
      <c r="EM188" t="s">
        <v>23</v>
      </c>
      <c r="EO188" t="s">
        <v>5</v>
      </c>
      <c r="EQ188">
        <v>0</v>
      </c>
      <c r="ER188">
        <v>441.61</v>
      </c>
      <c r="ES188">
        <v>0</v>
      </c>
      <c r="ET188">
        <v>0</v>
      </c>
      <c r="EU188">
        <v>0</v>
      </c>
      <c r="EV188">
        <v>441.61</v>
      </c>
      <c r="EW188">
        <v>43.21</v>
      </c>
      <c r="EX188">
        <v>0</v>
      </c>
      <c r="EY188">
        <v>0</v>
      </c>
      <c r="FQ188">
        <v>0</v>
      </c>
      <c r="FR188">
        <f>ROUND(IF(AND(BH188=3,BI188=3),P188,0),2)</f>
        <v>0</v>
      </c>
      <c r="FS188">
        <v>0</v>
      </c>
      <c r="FX188">
        <v>187</v>
      </c>
      <c r="FY188">
        <v>101</v>
      </c>
      <c r="GA188" t="s">
        <v>5</v>
      </c>
      <c r="GD188">
        <v>0</v>
      </c>
      <c r="GF188">
        <v>1229345195</v>
      </c>
      <c r="GG188">
        <v>2</v>
      </c>
      <c r="GH188">
        <v>1</v>
      </c>
      <c r="GI188">
        <v>2</v>
      </c>
      <c r="GJ188">
        <v>0</v>
      </c>
      <c r="GK188">
        <f>ROUND(R188*(R12)/100,2)</f>
        <v>0</v>
      </c>
      <c r="GL188">
        <f>ROUND(IF(AND(BH188=3,BI188=3,FS188&lt;&gt;0),P188,0),2)</f>
        <v>0</v>
      </c>
      <c r="GM188">
        <f>ROUND(O188+X188+Y188+GK188,2)+GX188</f>
        <v>2729.16</v>
      </c>
      <c r="GN188">
        <f>IF(OR(BI188=0,BI188=1),ROUND(O188+X188+Y188+GK188,2),0)</f>
        <v>2729.16</v>
      </c>
      <c r="GO188">
        <f>IF(BI188=2,ROUND(O188+X188+Y188+GK188,2),0)</f>
        <v>0</v>
      </c>
      <c r="GP188">
        <f>IF(BI188=4,ROUND(O188+X188+Y188+GK188,2)+GX188,0)</f>
        <v>0</v>
      </c>
      <c r="GR188">
        <v>0</v>
      </c>
      <c r="GS188">
        <v>3</v>
      </c>
      <c r="GT188">
        <v>0</v>
      </c>
      <c r="GU188" t="s">
        <v>5</v>
      </c>
      <c r="GV188">
        <f>ROUND((GT188),6)</f>
        <v>0</v>
      </c>
      <c r="GW188">
        <v>1</v>
      </c>
      <c r="GX188">
        <f>ROUND(HC188*I188,2)</f>
        <v>0</v>
      </c>
      <c r="HA188">
        <v>0</v>
      </c>
      <c r="HB188">
        <v>0</v>
      </c>
      <c r="HC188">
        <f>GV188*GW188</f>
        <v>0</v>
      </c>
      <c r="HE188" t="s">
        <v>5</v>
      </c>
      <c r="HF188" t="s">
        <v>5</v>
      </c>
      <c r="IK188">
        <v>0</v>
      </c>
    </row>
    <row r="189" spans="1:245" x14ac:dyDescent="0.2">
      <c r="A189">
        <v>17</v>
      </c>
      <c r="B189">
        <v>1</v>
      </c>
      <c r="C189">
        <f>ROW(SmtRes!A52)</f>
        <v>52</v>
      </c>
      <c r="D189">
        <f>ROW(EtalonRes!A56)</f>
        <v>56</v>
      </c>
      <c r="E189" t="s">
        <v>156</v>
      </c>
      <c r="F189" t="s">
        <v>141</v>
      </c>
      <c r="G189" t="s">
        <v>142</v>
      </c>
      <c r="H189" t="s">
        <v>37</v>
      </c>
      <c r="I189">
        <f>ROUND(4/10,9)</f>
        <v>0.4</v>
      </c>
      <c r="J189">
        <v>0</v>
      </c>
      <c r="O189">
        <f>ROUND(CP189,2)</f>
        <v>8291.6</v>
      </c>
      <c r="P189">
        <f>ROUND((ROUND((AC189*AW189*I189),2)*BC189),2)</f>
        <v>160.13999999999999</v>
      </c>
      <c r="Q189">
        <f>(ROUND((ROUND(((ET189)*AV189*I189),2)*BB189),2)+ROUND((ROUND(((AE189-(EU189))*AV189*I189),2)*BS189),2))</f>
        <v>2304.7199999999998</v>
      </c>
      <c r="R189">
        <f>ROUND((ROUND((AE189*AV189*I189),2)*BS189),2)</f>
        <v>517.75</v>
      </c>
      <c r="S189">
        <f>ROUND((ROUND((AF189*AV189*I189),2)*BA189),2)</f>
        <v>5826.74</v>
      </c>
      <c r="T189">
        <f>ROUND(CU189*I189,2)</f>
        <v>0</v>
      </c>
      <c r="U189">
        <f>CV189*I189</f>
        <v>19.040000000000003</v>
      </c>
      <c r="V189">
        <f>CW189*I189</f>
        <v>0</v>
      </c>
      <c r="W189">
        <f>ROUND(CX189*I189,2)</f>
        <v>0</v>
      </c>
      <c r="X189">
        <f t="shared" si="133"/>
        <v>5943.27</v>
      </c>
      <c r="Y189">
        <f t="shared" si="133"/>
        <v>2738.57</v>
      </c>
      <c r="AA189">
        <v>49688178</v>
      </c>
      <c r="AB189">
        <f>ROUND((AC189+AD189+AF189),6)</f>
        <v>1365.29</v>
      </c>
      <c r="AC189">
        <f>ROUND((ES189),6)</f>
        <v>74</v>
      </c>
      <c r="AD189">
        <f>ROUND((((ET189)-(EU189))+AE189),6)</f>
        <v>704.38</v>
      </c>
      <c r="AE189">
        <f t="shared" si="134"/>
        <v>52.14</v>
      </c>
      <c r="AF189">
        <f t="shared" si="134"/>
        <v>586.91</v>
      </c>
      <c r="AG189">
        <f>ROUND((AP189),6)</f>
        <v>0</v>
      </c>
      <c r="AH189">
        <f t="shared" si="135"/>
        <v>47.6</v>
      </c>
      <c r="AI189">
        <f t="shared" si="135"/>
        <v>0</v>
      </c>
      <c r="AJ189">
        <f>(AS189)</f>
        <v>0</v>
      </c>
      <c r="AK189">
        <v>1365.29</v>
      </c>
      <c r="AL189">
        <v>74</v>
      </c>
      <c r="AM189">
        <v>704.38</v>
      </c>
      <c r="AN189">
        <v>52.14</v>
      </c>
      <c r="AO189">
        <v>586.91</v>
      </c>
      <c r="AP189">
        <v>0</v>
      </c>
      <c r="AQ189">
        <v>47.6</v>
      </c>
      <c r="AR189">
        <v>0</v>
      </c>
      <c r="AS189">
        <v>0</v>
      </c>
      <c r="AT189">
        <v>102</v>
      </c>
      <c r="AU189">
        <v>47</v>
      </c>
      <c r="AV189">
        <v>1</v>
      </c>
      <c r="AW189">
        <v>1</v>
      </c>
      <c r="AZ189">
        <v>1</v>
      </c>
      <c r="BA189">
        <v>24.82</v>
      </c>
      <c r="BB189">
        <v>8.18</v>
      </c>
      <c r="BC189">
        <v>5.41</v>
      </c>
      <c r="BD189" t="s">
        <v>5</v>
      </c>
      <c r="BE189" t="s">
        <v>5</v>
      </c>
      <c r="BF189" t="s">
        <v>5</v>
      </c>
      <c r="BG189" t="s">
        <v>5</v>
      </c>
      <c r="BH189">
        <v>0</v>
      </c>
      <c r="BI189">
        <v>1</v>
      </c>
      <c r="BJ189" t="s">
        <v>143</v>
      </c>
      <c r="BM189">
        <v>292</v>
      </c>
      <c r="BN189">
        <v>0</v>
      </c>
      <c r="BO189" t="s">
        <v>141</v>
      </c>
      <c r="BP189">
        <v>1</v>
      </c>
      <c r="BQ189">
        <v>30</v>
      </c>
      <c r="BR189">
        <v>0</v>
      </c>
      <c r="BS189">
        <v>24.82</v>
      </c>
      <c r="BT189">
        <v>1</v>
      </c>
      <c r="BU189">
        <v>1</v>
      </c>
      <c r="BV189">
        <v>1</v>
      </c>
      <c r="BW189">
        <v>1</v>
      </c>
      <c r="BX189">
        <v>1</v>
      </c>
      <c r="BY189" t="s">
        <v>5</v>
      </c>
      <c r="BZ189">
        <v>102</v>
      </c>
      <c r="CA189">
        <v>47</v>
      </c>
      <c r="CE189">
        <v>30</v>
      </c>
      <c r="CF189">
        <v>0</v>
      </c>
      <c r="CG189">
        <v>0</v>
      </c>
      <c r="CM189">
        <v>0</v>
      </c>
      <c r="CN189" t="s">
        <v>5</v>
      </c>
      <c r="CO189">
        <v>0</v>
      </c>
      <c r="CP189">
        <f>(P189+Q189+S189)</f>
        <v>8291.5999999999985</v>
      </c>
      <c r="CQ189">
        <f>ROUND((ROUND((AC189*AW189*1),2)*BC189),2)</f>
        <v>400.34</v>
      </c>
      <c r="CR189">
        <f>(ROUND((ROUND(((ET189)*AV189*1),2)*BB189),2)+ROUND((ROUND(((AE189-(EU189))*AV189*1),2)*BS189),2))</f>
        <v>5761.83</v>
      </c>
      <c r="CS189">
        <f>ROUND((ROUND((AE189*AV189*1),2)*BS189),2)</f>
        <v>1294.1099999999999</v>
      </c>
      <c r="CT189">
        <f>ROUND((ROUND((AF189*AV189*1),2)*BA189),2)</f>
        <v>14567.11</v>
      </c>
      <c r="CU189">
        <f>AG189</f>
        <v>0</v>
      </c>
      <c r="CV189">
        <f>(AH189*AV189)</f>
        <v>47.6</v>
      </c>
      <c r="CW189">
        <f t="shared" si="136"/>
        <v>0</v>
      </c>
      <c r="CX189">
        <f t="shared" si="136"/>
        <v>0</v>
      </c>
      <c r="CY189">
        <f>S189*(BZ189/100)</f>
        <v>5943.2748000000001</v>
      </c>
      <c r="CZ189">
        <f>S189*(CA189/100)</f>
        <v>2738.5677999999998</v>
      </c>
      <c r="DC189" t="s">
        <v>5</v>
      </c>
      <c r="DD189" t="s">
        <v>5</v>
      </c>
      <c r="DE189" t="s">
        <v>5</v>
      </c>
      <c r="DF189" t="s">
        <v>5</v>
      </c>
      <c r="DG189" t="s">
        <v>5</v>
      </c>
      <c r="DH189" t="s">
        <v>5</v>
      </c>
      <c r="DI189" t="s">
        <v>5</v>
      </c>
      <c r="DJ189" t="s">
        <v>5</v>
      </c>
      <c r="DK189" t="s">
        <v>5</v>
      </c>
      <c r="DL189" t="s">
        <v>5</v>
      </c>
      <c r="DM189" t="s">
        <v>5</v>
      </c>
      <c r="DN189">
        <v>187</v>
      </c>
      <c r="DO189">
        <v>101</v>
      </c>
      <c r="DP189">
        <v>1</v>
      </c>
      <c r="DQ189">
        <v>1</v>
      </c>
      <c r="DU189">
        <v>1013</v>
      </c>
      <c r="DV189" t="s">
        <v>37</v>
      </c>
      <c r="DW189" t="s">
        <v>37</v>
      </c>
      <c r="DX189">
        <v>1</v>
      </c>
      <c r="DZ189" t="s">
        <v>5</v>
      </c>
      <c r="EA189" t="s">
        <v>5</v>
      </c>
      <c r="EB189" t="s">
        <v>5</v>
      </c>
      <c r="EC189" t="s">
        <v>5</v>
      </c>
      <c r="EE189">
        <v>49387988</v>
      </c>
      <c r="EF189">
        <v>30</v>
      </c>
      <c r="EG189" t="s">
        <v>21</v>
      </c>
      <c r="EH189">
        <v>0</v>
      </c>
      <c r="EI189" t="s">
        <v>5</v>
      </c>
      <c r="EJ189">
        <v>1</v>
      </c>
      <c r="EK189">
        <v>292</v>
      </c>
      <c r="EL189" t="s">
        <v>22</v>
      </c>
      <c r="EM189" t="s">
        <v>23</v>
      </c>
      <c r="EO189" t="s">
        <v>5</v>
      </c>
      <c r="EQ189">
        <v>0</v>
      </c>
      <c r="ER189">
        <v>1365.29</v>
      </c>
      <c r="ES189">
        <v>74</v>
      </c>
      <c r="ET189">
        <v>704.38</v>
      </c>
      <c r="EU189">
        <v>52.14</v>
      </c>
      <c r="EV189">
        <v>586.91</v>
      </c>
      <c r="EW189">
        <v>47.6</v>
      </c>
      <c r="EX189">
        <v>0</v>
      </c>
      <c r="EY189">
        <v>0</v>
      </c>
      <c r="FQ189">
        <v>0</v>
      </c>
      <c r="FR189">
        <f>ROUND(IF(AND(BH189=3,BI189=3),P189,0),2)</f>
        <v>0</v>
      </c>
      <c r="FS189">
        <v>0</v>
      </c>
      <c r="FX189">
        <v>187</v>
      </c>
      <c r="FY189">
        <v>101</v>
      </c>
      <c r="GA189" t="s">
        <v>5</v>
      </c>
      <c r="GD189">
        <v>0</v>
      </c>
      <c r="GF189">
        <v>1638244401</v>
      </c>
      <c r="GG189">
        <v>2</v>
      </c>
      <c r="GH189">
        <v>1</v>
      </c>
      <c r="GI189">
        <v>2</v>
      </c>
      <c r="GJ189">
        <v>0</v>
      </c>
      <c r="GK189">
        <f>ROUND(R189*(R12)/100,2)</f>
        <v>812.87</v>
      </c>
      <c r="GL189">
        <f>ROUND(IF(AND(BH189=3,BI189=3,FS189&lt;&gt;0),P189,0),2)</f>
        <v>0</v>
      </c>
      <c r="GM189">
        <f>ROUND(O189+X189+Y189+GK189,2)+GX189</f>
        <v>17786.310000000001</v>
      </c>
      <c r="GN189">
        <f>IF(OR(BI189=0,BI189=1),ROUND(O189+X189+Y189+GK189,2),0)</f>
        <v>17786.310000000001</v>
      </c>
      <c r="GO189">
        <f>IF(BI189=2,ROUND(O189+X189+Y189+GK189,2),0)</f>
        <v>0</v>
      </c>
      <c r="GP189">
        <f>IF(BI189=4,ROUND(O189+X189+Y189+GK189,2)+GX189,0)</f>
        <v>0</v>
      </c>
      <c r="GR189">
        <v>0</v>
      </c>
      <c r="GS189">
        <v>3</v>
      </c>
      <c r="GT189">
        <v>0</v>
      </c>
      <c r="GU189" t="s">
        <v>5</v>
      </c>
      <c r="GV189">
        <f>ROUND((GT189),6)</f>
        <v>0</v>
      </c>
      <c r="GW189">
        <v>1</v>
      </c>
      <c r="GX189">
        <f>ROUND(HC189*I189,2)</f>
        <v>0</v>
      </c>
      <c r="HA189">
        <v>0</v>
      </c>
      <c r="HB189">
        <v>0</v>
      </c>
      <c r="HC189">
        <f>GV189*GW189</f>
        <v>0</v>
      </c>
      <c r="HE189" t="s">
        <v>5</v>
      </c>
      <c r="HF189" t="s">
        <v>5</v>
      </c>
      <c r="IK189">
        <v>0</v>
      </c>
    </row>
    <row r="191" spans="1:245" x14ac:dyDescent="0.2">
      <c r="A191" s="2">
        <v>51</v>
      </c>
      <c r="B191" s="2">
        <f>B183</f>
        <v>1</v>
      </c>
      <c r="C191" s="2">
        <f>A183</f>
        <v>4</v>
      </c>
      <c r="D191" s="2">
        <f>ROW(A183)</f>
        <v>183</v>
      </c>
      <c r="E191" s="2"/>
      <c r="F191" s="2" t="str">
        <f>IF(F183&lt;&gt;"",F183,"")</f>
        <v>Новый раздел</v>
      </c>
      <c r="G191" s="2" t="str">
        <f>IF(G183&lt;&gt;"",G183,"")</f>
        <v>Восстановление отпада деревьев с комом земли 1,0х1,0х0,6 м - 4 шт.</v>
      </c>
      <c r="H191" s="2">
        <v>0</v>
      </c>
      <c r="I191" s="2"/>
      <c r="J191" s="2"/>
      <c r="K191" s="2"/>
      <c r="L191" s="2"/>
      <c r="M191" s="2"/>
      <c r="N191" s="2"/>
      <c r="O191" s="2">
        <f t="shared" ref="O191:T191" si="137">ROUND(AB191,2)</f>
        <v>10840.87</v>
      </c>
      <c r="P191" s="2">
        <f t="shared" si="137"/>
        <v>160.13999999999999</v>
      </c>
      <c r="Q191" s="2">
        <f t="shared" si="137"/>
        <v>2612.25</v>
      </c>
      <c r="R191" s="2">
        <f t="shared" si="137"/>
        <v>705.89</v>
      </c>
      <c r="S191" s="2">
        <f t="shared" si="137"/>
        <v>8068.48</v>
      </c>
      <c r="T191" s="2">
        <f t="shared" si="137"/>
        <v>0</v>
      </c>
      <c r="U191" s="2">
        <f>AH191</f>
        <v>27.954000000000004</v>
      </c>
      <c r="V191" s="2">
        <f>AI191</f>
        <v>0</v>
      </c>
      <c r="W191" s="2">
        <f>ROUND(AJ191,2)</f>
        <v>0</v>
      </c>
      <c r="X191" s="2">
        <f>ROUND(AK191,2)</f>
        <v>8229.84</v>
      </c>
      <c r="Y191" s="2">
        <f>ROUND(AL191,2)</f>
        <v>3792.18</v>
      </c>
      <c r="Z191" s="2"/>
      <c r="AA191" s="2"/>
      <c r="AB191" s="2">
        <f>ROUND(SUMIF(AA187:AA189,"=49688178",O187:O189),2)</f>
        <v>10840.87</v>
      </c>
      <c r="AC191" s="2">
        <f>ROUND(SUMIF(AA187:AA189,"=49688178",P187:P189),2)</f>
        <v>160.13999999999999</v>
      </c>
      <c r="AD191" s="2">
        <f>ROUND(SUMIF(AA187:AA189,"=49688178",Q187:Q189),2)</f>
        <v>2612.25</v>
      </c>
      <c r="AE191" s="2">
        <f>ROUND(SUMIF(AA187:AA189,"=49688178",R187:R189),2)</f>
        <v>705.89</v>
      </c>
      <c r="AF191" s="2">
        <f>ROUND(SUMIF(AA187:AA189,"=49688178",S187:S189),2)</f>
        <v>8068.48</v>
      </c>
      <c r="AG191" s="2">
        <f>ROUND(SUMIF(AA187:AA189,"=49688178",T187:T189),2)</f>
        <v>0</v>
      </c>
      <c r="AH191" s="2">
        <f>SUMIF(AA187:AA189,"=49688178",U187:U189)</f>
        <v>27.954000000000004</v>
      </c>
      <c r="AI191" s="2">
        <f>SUMIF(AA187:AA189,"=49688178",V187:V189)</f>
        <v>0</v>
      </c>
      <c r="AJ191" s="2">
        <f>ROUND(SUMIF(AA187:AA189,"=49688178",W187:W189),2)</f>
        <v>0</v>
      </c>
      <c r="AK191" s="2">
        <f>ROUND(SUMIF(AA187:AA189,"=49688178",X187:X189),2)</f>
        <v>8229.84</v>
      </c>
      <c r="AL191" s="2">
        <f>ROUND(SUMIF(AA187:AA189,"=49688178",Y187:Y189),2)</f>
        <v>3792.18</v>
      </c>
      <c r="AM191" s="2"/>
      <c r="AN191" s="2"/>
      <c r="AO191" s="2">
        <f t="shared" ref="AO191:BD191" si="138">ROUND(BX191,2)</f>
        <v>0</v>
      </c>
      <c r="AP191" s="2">
        <f t="shared" si="138"/>
        <v>0</v>
      </c>
      <c r="AQ191" s="2">
        <f t="shared" si="138"/>
        <v>0</v>
      </c>
      <c r="AR191" s="2">
        <f t="shared" si="138"/>
        <v>23971.14</v>
      </c>
      <c r="AS191" s="2">
        <f t="shared" si="138"/>
        <v>23971.14</v>
      </c>
      <c r="AT191" s="2">
        <f t="shared" si="138"/>
        <v>0</v>
      </c>
      <c r="AU191" s="2">
        <f t="shared" si="138"/>
        <v>0</v>
      </c>
      <c r="AV191" s="2">
        <f t="shared" si="138"/>
        <v>160.13999999999999</v>
      </c>
      <c r="AW191" s="2">
        <f t="shared" si="138"/>
        <v>160.13999999999999</v>
      </c>
      <c r="AX191" s="2">
        <f t="shared" si="138"/>
        <v>0</v>
      </c>
      <c r="AY191" s="2">
        <f t="shared" si="138"/>
        <v>160.13999999999999</v>
      </c>
      <c r="AZ191" s="2">
        <f t="shared" si="138"/>
        <v>0</v>
      </c>
      <c r="BA191" s="2">
        <f t="shared" si="138"/>
        <v>0</v>
      </c>
      <c r="BB191" s="2">
        <f t="shared" si="138"/>
        <v>0</v>
      </c>
      <c r="BC191" s="2">
        <f t="shared" si="138"/>
        <v>0</v>
      </c>
      <c r="BD191" s="2">
        <f t="shared" si="138"/>
        <v>0</v>
      </c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>
        <f>ROUND(SUMIF(AA187:AA189,"=49688178",FQ187:FQ189),2)</f>
        <v>0</v>
      </c>
      <c r="BY191" s="2">
        <f>ROUND(SUMIF(AA187:AA189,"=49688178",FR187:FR189),2)</f>
        <v>0</v>
      </c>
      <c r="BZ191" s="2">
        <f>ROUND(SUMIF(AA187:AA189,"=49688178",GL187:GL189),2)</f>
        <v>0</v>
      </c>
      <c r="CA191" s="2">
        <f>ROUND(SUMIF(AA187:AA189,"=49688178",GM187:GM189),2)</f>
        <v>23971.14</v>
      </c>
      <c r="CB191" s="2">
        <f>ROUND(SUMIF(AA187:AA189,"=49688178",GN187:GN189),2)</f>
        <v>23971.14</v>
      </c>
      <c r="CC191" s="2">
        <f>ROUND(SUMIF(AA187:AA189,"=49688178",GO187:GO189),2)</f>
        <v>0</v>
      </c>
      <c r="CD191" s="2">
        <f>ROUND(SUMIF(AA187:AA189,"=49688178",GP187:GP189),2)</f>
        <v>0</v>
      </c>
      <c r="CE191" s="2">
        <f>AC191-BX191</f>
        <v>160.13999999999999</v>
      </c>
      <c r="CF191" s="2">
        <f>AC191-BY191</f>
        <v>160.13999999999999</v>
      </c>
      <c r="CG191" s="2">
        <f>BX191-BZ191</f>
        <v>0</v>
      </c>
      <c r="CH191" s="2">
        <f>AC191-BX191-BY191+BZ191</f>
        <v>160.13999999999999</v>
      </c>
      <c r="CI191" s="2">
        <f>BY191-BZ191</f>
        <v>0</v>
      </c>
      <c r="CJ191" s="2">
        <f>ROUND(SUMIF(AA187:AA189,"=49688178",GX187:GX189),2)</f>
        <v>0</v>
      </c>
      <c r="CK191" s="2">
        <f>ROUND(SUMIF(AA187:AA189,"=49688178",GY187:GY189),2)</f>
        <v>0</v>
      </c>
      <c r="CL191" s="2">
        <f>ROUND(SUMIF(AA187:AA189,"=49688178",GZ187:GZ189),2)</f>
        <v>0</v>
      </c>
      <c r="CM191" s="2">
        <f>ROUND(SUMIF(AA187:AA189,"=49688178",HD187:HD189),2)</f>
        <v>0</v>
      </c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>
        <v>0</v>
      </c>
    </row>
    <row r="193" spans="1:23" x14ac:dyDescent="0.2">
      <c r="A193" s="4">
        <v>50</v>
      </c>
      <c r="B193" s="4">
        <v>0</v>
      </c>
      <c r="C193" s="4">
        <v>0</v>
      </c>
      <c r="D193" s="4">
        <v>1</v>
      </c>
      <c r="E193" s="4">
        <v>201</v>
      </c>
      <c r="F193" s="4">
        <f>ROUND(Source!O191,O193)</f>
        <v>10840.87</v>
      </c>
      <c r="G193" s="4" t="s">
        <v>51</v>
      </c>
      <c r="H193" s="4" t="s">
        <v>52</v>
      </c>
      <c r="I193" s="4"/>
      <c r="J193" s="4"/>
      <c r="K193" s="4">
        <v>201</v>
      </c>
      <c r="L193" s="4">
        <v>1</v>
      </c>
      <c r="M193" s="4">
        <v>3</v>
      </c>
      <c r="N193" s="4" t="s">
        <v>5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>
        <v>50</v>
      </c>
      <c r="B194" s="4">
        <v>0</v>
      </c>
      <c r="C194" s="4">
        <v>0</v>
      </c>
      <c r="D194" s="4">
        <v>1</v>
      </c>
      <c r="E194" s="4">
        <v>202</v>
      </c>
      <c r="F194" s="4">
        <f>ROUND(Source!P191,O194)</f>
        <v>160.13999999999999</v>
      </c>
      <c r="G194" s="4" t="s">
        <v>53</v>
      </c>
      <c r="H194" s="4" t="s">
        <v>54</v>
      </c>
      <c r="I194" s="4"/>
      <c r="J194" s="4"/>
      <c r="K194" s="4">
        <v>202</v>
      </c>
      <c r="L194" s="4">
        <v>2</v>
      </c>
      <c r="M194" s="4">
        <v>3</v>
      </c>
      <c r="N194" s="4" t="s">
        <v>5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>
        <v>50</v>
      </c>
      <c r="B195" s="4">
        <v>0</v>
      </c>
      <c r="C195" s="4">
        <v>0</v>
      </c>
      <c r="D195" s="4">
        <v>1</v>
      </c>
      <c r="E195" s="4">
        <v>222</v>
      </c>
      <c r="F195" s="4">
        <f>ROUND(Source!AO191,O195)</f>
        <v>0</v>
      </c>
      <c r="G195" s="4" t="s">
        <v>55</v>
      </c>
      <c r="H195" s="4" t="s">
        <v>56</v>
      </c>
      <c r="I195" s="4"/>
      <c r="J195" s="4"/>
      <c r="K195" s="4">
        <v>222</v>
      </c>
      <c r="L195" s="4">
        <v>3</v>
      </c>
      <c r="M195" s="4">
        <v>3</v>
      </c>
      <c r="N195" s="4" t="s">
        <v>5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>
        <v>50</v>
      </c>
      <c r="B196" s="4">
        <v>0</v>
      </c>
      <c r="C196" s="4">
        <v>0</v>
      </c>
      <c r="D196" s="4">
        <v>1</v>
      </c>
      <c r="E196" s="4">
        <v>225</v>
      </c>
      <c r="F196" s="4">
        <f>ROUND(Source!AV191,O196)</f>
        <v>160.13999999999999</v>
      </c>
      <c r="G196" s="4" t="s">
        <v>57</v>
      </c>
      <c r="H196" s="4" t="s">
        <v>58</v>
      </c>
      <c r="I196" s="4"/>
      <c r="J196" s="4"/>
      <c r="K196" s="4">
        <v>225</v>
      </c>
      <c r="L196" s="4">
        <v>4</v>
      </c>
      <c r="M196" s="4">
        <v>3</v>
      </c>
      <c r="N196" s="4" t="s">
        <v>5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>
        <v>50</v>
      </c>
      <c r="B197" s="4">
        <v>0</v>
      </c>
      <c r="C197" s="4">
        <v>0</v>
      </c>
      <c r="D197" s="4">
        <v>1</v>
      </c>
      <c r="E197" s="4">
        <v>226</v>
      </c>
      <c r="F197" s="4">
        <f>ROUND(Source!AW191,O197)</f>
        <v>160.13999999999999</v>
      </c>
      <c r="G197" s="4" t="s">
        <v>59</v>
      </c>
      <c r="H197" s="4" t="s">
        <v>60</v>
      </c>
      <c r="I197" s="4"/>
      <c r="J197" s="4"/>
      <c r="K197" s="4">
        <v>226</v>
      </c>
      <c r="L197" s="4">
        <v>5</v>
      </c>
      <c r="M197" s="4">
        <v>3</v>
      </c>
      <c r="N197" s="4" t="s">
        <v>5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>
        <v>50</v>
      </c>
      <c r="B198" s="4">
        <v>0</v>
      </c>
      <c r="C198" s="4">
        <v>0</v>
      </c>
      <c r="D198" s="4">
        <v>1</v>
      </c>
      <c r="E198" s="4">
        <v>227</v>
      </c>
      <c r="F198" s="4">
        <f>ROUND(Source!AX191,O198)</f>
        <v>0</v>
      </c>
      <c r="G198" s="4" t="s">
        <v>61</v>
      </c>
      <c r="H198" s="4" t="s">
        <v>62</v>
      </c>
      <c r="I198" s="4"/>
      <c r="J198" s="4"/>
      <c r="K198" s="4">
        <v>227</v>
      </c>
      <c r="L198" s="4">
        <v>6</v>
      </c>
      <c r="M198" s="4">
        <v>3</v>
      </c>
      <c r="N198" s="4" t="s">
        <v>5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>
        <v>50</v>
      </c>
      <c r="B199" s="4">
        <v>0</v>
      </c>
      <c r="C199" s="4">
        <v>0</v>
      </c>
      <c r="D199" s="4">
        <v>1</v>
      </c>
      <c r="E199" s="4">
        <v>228</v>
      </c>
      <c r="F199" s="4">
        <f>ROUND(Source!AY191,O199)</f>
        <v>160.13999999999999</v>
      </c>
      <c r="G199" s="4" t="s">
        <v>63</v>
      </c>
      <c r="H199" s="4" t="s">
        <v>64</v>
      </c>
      <c r="I199" s="4"/>
      <c r="J199" s="4"/>
      <c r="K199" s="4">
        <v>228</v>
      </c>
      <c r="L199" s="4">
        <v>7</v>
      </c>
      <c r="M199" s="4">
        <v>3</v>
      </c>
      <c r="N199" s="4" t="s">
        <v>5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>
        <v>50</v>
      </c>
      <c r="B200" s="4">
        <v>0</v>
      </c>
      <c r="C200" s="4">
        <v>0</v>
      </c>
      <c r="D200" s="4">
        <v>1</v>
      </c>
      <c r="E200" s="4">
        <v>216</v>
      </c>
      <c r="F200" s="4">
        <f>ROUND(Source!AP191,O200)</f>
        <v>0</v>
      </c>
      <c r="G200" s="4" t="s">
        <v>65</v>
      </c>
      <c r="H200" s="4" t="s">
        <v>66</v>
      </c>
      <c r="I200" s="4"/>
      <c r="J200" s="4"/>
      <c r="K200" s="4">
        <v>216</v>
      </c>
      <c r="L200" s="4">
        <v>8</v>
      </c>
      <c r="M200" s="4">
        <v>3</v>
      </c>
      <c r="N200" s="4" t="s">
        <v>5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4">
        <v>50</v>
      </c>
      <c r="B201" s="4">
        <v>0</v>
      </c>
      <c r="C201" s="4">
        <v>0</v>
      </c>
      <c r="D201" s="4">
        <v>1</v>
      </c>
      <c r="E201" s="4">
        <v>223</v>
      </c>
      <c r="F201" s="4">
        <f>ROUND(Source!AQ191,O201)</f>
        <v>0</v>
      </c>
      <c r="G201" s="4" t="s">
        <v>67</v>
      </c>
      <c r="H201" s="4" t="s">
        <v>68</v>
      </c>
      <c r="I201" s="4"/>
      <c r="J201" s="4"/>
      <c r="K201" s="4">
        <v>223</v>
      </c>
      <c r="L201" s="4">
        <v>9</v>
      </c>
      <c r="M201" s="4">
        <v>3</v>
      </c>
      <c r="N201" s="4" t="s">
        <v>5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4">
        <v>50</v>
      </c>
      <c r="B202" s="4">
        <v>0</v>
      </c>
      <c r="C202" s="4">
        <v>0</v>
      </c>
      <c r="D202" s="4">
        <v>1</v>
      </c>
      <c r="E202" s="4">
        <v>229</v>
      </c>
      <c r="F202" s="4">
        <f>ROUND(Source!AZ191,O202)</f>
        <v>0</v>
      </c>
      <c r="G202" s="4" t="s">
        <v>69</v>
      </c>
      <c r="H202" s="4" t="s">
        <v>70</v>
      </c>
      <c r="I202" s="4"/>
      <c r="J202" s="4"/>
      <c r="K202" s="4">
        <v>229</v>
      </c>
      <c r="L202" s="4">
        <v>10</v>
      </c>
      <c r="M202" s="4">
        <v>3</v>
      </c>
      <c r="N202" s="4" t="s">
        <v>5</v>
      </c>
      <c r="O202" s="4">
        <v>2</v>
      </c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4">
        <v>50</v>
      </c>
      <c r="B203" s="4">
        <v>0</v>
      </c>
      <c r="C203" s="4">
        <v>0</v>
      </c>
      <c r="D203" s="4">
        <v>1</v>
      </c>
      <c r="E203" s="4">
        <v>203</v>
      </c>
      <c r="F203" s="4">
        <f>ROUND(Source!Q191,O203)</f>
        <v>2612.25</v>
      </c>
      <c r="G203" s="4" t="s">
        <v>71</v>
      </c>
      <c r="H203" s="4" t="s">
        <v>72</v>
      </c>
      <c r="I203" s="4"/>
      <c r="J203" s="4"/>
      <c r="K203" s="4">
        <v>203</v>
      </c>
      <c r="L203" s="4">
        <v>11</v>
      </c>
      <c r="M203" s="4">
        <v>3</v>
      </c>
      <c r="N203" s="4" t="s">
        <v>5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4">
        <v>50</v>
      </c>
      <c r="B204" s="4">
        <v>0</v>
      </c>
      <c r="C204" s="4">
        <v>0</v>
      </c>
      <c r="D204" s="4">
        <v>1</v>
      </c>
      <c r="E204" s="4">
        <v>231</v>
      </c>
      <c r="F204" s="4">
        <f>ROUND(Source!BB191,O204)</f>
        <v>0</v>
      </c>
      <c r="G204" s="4" t="s">
        <v>73</v>
      </c>
      <c r="H204" s="4" t="s">
        <v>74</v>
      </c>
      <c r="I204" s="4"/>
      <c r="J204" s="4"/>
      <c r="K204" s="4">
        <v>231</v>
      </c>
      <c r="L204" s="4">
        <v>12</v>
      </c>
      <c r="M204" s="4">
        <v>3</v>
      </c>
      <c r="N204" s="4" t="s">
        <v>5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4">
        <v>50</v>
      </c>
      <c r="B205" s="4">
        <v>0</v>
      </c>
      <c r="C205" s="4">
        <v>0</v>
      </c>
      <c r="D205" s="4">
        <v>1</v>
      </c>
      <c r="E205" s="4">
        <v>204</v>
      </c>
      <c r="F205" s="4">
        <f>ROUND(Source!R191,O205)</f>
        <v>705.89</v>
      </c>
      <c r="G205" s="4" t="s">
        <v>75</v>
      </c>
      <c r="H205" s="4" t="s">
        <v>76</v>
      </c>
      <c r="I205" s="4"/>
      <c r="J205" s="4"/>
      <c r="K205" s="4">
        <v>204</v>
      </c>
      <c r="L205" s="4">
        <v>13</v>
      </c>
      <c r="M205" s="4">
        <v>3</v>
      </c>
      <c r="N205" s="4" t="s">
        <v>5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4">
        <v>50</v>
      </c>
      <c r="B206" s="4">
        <v>0</v>
      </c>
      <c r="C206" s="4">
        <v>0</v>
      </c>
      <c r="D206" s="4">
        <v>1</v>
      </c>
      <c r="E206" s="4">
        <v>205</v>
      </c>
      <c r="F206" s="4">
        <f>ROUND(Source!S191,O206)</f>
        <v>8068.48</v>
      </c>
      <c r="G206" s="4" t="s">
        <v>77</v>
      </c>
      <c r="H206" s="4" t="s">
        <v>78</v>
      </c>
      <c r="I206" s="4"/>
      <c r="J206" s="4"/>
      <c r="K206" s="4">
        <v>205</v>
      </c>
      <c r="L206" s="4">
        <v>14</v>
      </c>
      <c r="M206" s="4">
        <v>3</v>
      </c>
      <c r="N206" s="4" t="s">
        <v>5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4">
        <v>50</v>
      </c>
      <c r="B207" s="4">
        <v>0</v>
      </c>
      <c r="C207" s="4">
        <v>0</v>
      </c>
      <c r="D207" s="4">
        <v>1</v>
      </c>
      <c r="E207" s="4">
        <v>232</v>
      </c>
      <c r="F207" s="4">
        <f>ROUND(Source!BC191,O207)</f>
        <v>0</v>
      </c>
      <c r="G207" s="4" t="s">
        <v>79</v>
      </c>
      <c r="H207" s="4" t="s">
        <v>80</v>
      </c>
      <c r="I207" s="4"/>
      <c r="J207" s="4"/>
      <c r="K207" s="4">
        <v>232</v>
      </c>
      <c r="L207" s="4">
        <v>15</v>
      </c>
      <c r="M207" s="4">
        <v>3</v>
      </c>
      <c r="N207" s="4" t="s">
        <v>5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4">
        <v>50</v>
      </c>
      <c r="B208" s="4">
        <v>0</v>
      </c>
      <c r="C208" s="4">
        <v>0</v>
      </c>
      <c r="D208" s="4">
        <v>1</v>
      </c>
      <c r="E208" s="4">
        <v>214</v>
      </c>
      <c r="F208" s="4">
        <f>ROUND(Source!AS191,O208)</f>
        <v>23971.14</v>
      </c>
      <c r="G208" s="4" t="s">
        <v>81</v>
      </c>
      <c r="H208" s="4" t="s">
        <v>82</v>
      </c>
      <c r="I208" s="4"/>
      <c r="J208" s="4"/>
      <c r="K208" s="4">
        <v>214</v>
      </c>
      <c r="L208" s="4">
        <v>16</v>
      </c>
      <c r="M208" s="4">
        <v>3</v>
      </c>
      <c r="N208" s="4" t="s">
        <v>5</v>
      </c>
      <c r="O208" s="4">
        <v>2</v>
      </c>
      <c r="P208" s="4"/>
      <c r="Q208" s="4"/>
      <c r="R208" s="4"/>
      <c r="S208" s="4"/>
      <c r="T208" s="4"/>
      <c r="U208" s="4"/>
      <c r="V208" s="4"/>
      <c r="W208" s="4"/>
    </row>
    <row r="209" spans="1:206" x14ac:dyDescent="0.2">
      <c r="A209" s="4">
        <v>50</v>
      </c>
      <c r="B209" s="4">
        <v>0</v>
      </c>
      <c r="C209" s="4">
        <v>0</v>
      </c>
      <c r="D209" s="4">
        <v>1</v>
      </c>
      <c r="E209" s="4">
        <v>215</v>
      </c>
      <c r="F209" s="4">
        <f>ROUND(Source!AT191,O209)</f>
        <v>0</v>
      </c>
      <c r="G209" s="4" t="s">
        <v>83</v>
      </c>
      <c r="H209" s="4" t="s">
        <v>84</v>
      </c>
      <c r="I209" s="4"/>
      <c r="J209" s="4"/>
      <c r="K209" s="4">
        <v>215</v>
      </c>
      <c r="L209" s="4">
        <v>17</v>
      </c>
      <c r="M209" s="4">
        <v>3</v>
      </c>
      <c r="N209" s="4" t="s">
        <v>5</v>
      </c>
      <c r="O209" s="4">
        <v>2</v>
      </c>
      <c r="P209" s="4"/>
      <c r="Q209" s="4"/>
      <c r="R209" s="4"/>
      <c r="S209" s="4"/>
      <c r="T209" s="4"/>
      <c r="U209" s="4"/>
      <c r="V209" s="4"/>
      <c r="W209" s="4"/>
    </row>
    <row r="210" spans="1:206" x14ac:dyDescent="0.2">
      <c r="A210" s="4">
        <v>50</v>
      </c>
      <c r="B210" s="4">
        <v>0</v>
      </c>
      <c r="C210" s="4">
        <v>0</v>
      </c>
      <c r="D210" s="4">
        <v>1</v>
      </c>
      <c r="E210" s="4">
        <v>217</v>
      </c>
      <c r="F210" s="4">
        <f>ROUND(Source!AU191,O210)</f>
        <v>0</v>
      </c>
      <c r="G210" s="4" t="s">
        <v>85</v>
      </c>
      <c r="H210" s="4" t="s">
        <v>86</v>
      </c>
      <c r="I210" s="4"/>
      <c r="J210" s="4"/>
      <c r="K210" s="4">
        <v>217</v>
      </c>
      <c r="L210" s="4">
        <v>18</v>
      </c>
      <c r="M210" s="4">
        <v>3</v>
      </c>
      <c r="N210" s="4" t="s">
        <v>5</v>
      </c>
      <c r="O210" s="4">
        <v>2</v>
      </c>
      <c r="P210" s="4"/>
      <c r="Q210" s="4"/>
      <c r="R210" s="4"/>
      <c r="S210" s="4"/>
      <c r="T210" s="4"/>
      <c r="U210" s="4"/>
      <c r="V210" s="4"/>
      <c r="W210" s="4"/>
    </row>
    <row r="211" spans="1:206" x14ac:dyDescent="0.2">
      <c r="A211" s="4">
        <v>50</v>
      </c>
      <c r="B211" s="4">
        <v>0</v>
      </c>
      <c r="C211" s="4">
        <v>0</v>
      </c>
      <c r="D211" s="4">
        <v>1</v>
      </c>
      <c r="E211" s="4">
        <v>230</v>
      </c>
      <c r="F211" s="4">
        <f>ROUND(Source!BA191,O211)</f>
        <v>0</v>
      </c>
      <c r="G211" s="4" t="s">
        <v>87</v>
      </c>
      <c r="H211" s="4" t="s">
        <v>88</v>
      </c>
      <c r="I211" s="4"/>
      <c r="J211" s="4"/>
      <c r="K211" s="4">
        <v>230</v>
      </c>
      <c r="L211" s="4">
        <v>19</v>
      </c>
      <c r="M211" s="4">
        <v>3</v>
      </c>
      <c r="N211" s="4" t="s">
        <v>5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206" x14ac:dyDescent="0.2">
      <c r="A212" s="4">
        <v>50</v>
      </c>
      <c r="B212" s="4">
        <v>0</v>
      </c>
      <c r="C212" s="4">
        <v>0</v>
      </c>
      <c r="D212" s="4">
        <v>1</v>
      </c>
      <c r="E212" s="4">
        <v>206</v>
      </c>
      <c r="F212" s="4">
        <f>ROUND(Source!T191,O212)</f>
        <v>0</v>
      </c>
      <c r="G212" s="4" t="s">
        <v>89</v>
      </c>
      <c r="H212" s="4" t="s">
        <v>90</v>
      </c>
      <c r="I212" s="4"/>
      <c r="J212" s="4"/>
      <c r="K212" s="4">
        <v>206</v>
      </c>
      <c r="L212" s="4">
        <v>20</v>
      </c>
      <c r="M212" s="4">
        <v>3</v>
      </c>
      <c r="N212" s="4" t="s">
        <v>5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06" x14ac:dyDescent="0.2">
      <c r="A213" s="4">
        <v>50</v>
      </c>
      <c r="B213" s="4">
        <v>0</v>
      </c>
      <c r="C213" s="4">
        <v>0</v>
      </c>
      <c r="D213" s="4">
        <v>1</v>
      </c>
      <c r="E213" s="4">
        <v>207</v>
      </c>
      <c r="F213" s="4">
        <f>Source!U191</f>
        <v>27.954000000000004</v>
      </c>
      <c r="G213" s="4" t="s">
        <v>91</v>
      </c>
      <c r="H213" s="4" t="s">
        <v>92</v>
      </c>
      <c r="I213" s="4"/>
      <c r="J213" s="4"/>
      <c r="K213" s="4">
        <v>207</v>
      </c>
      <c r="L213" s="4">
        <v>21</v>
      </c>
      <c r="M213" s="4">
        <v>3</v>
      </c>
      <c r="N213" s="4" t="s">
        <v>5</v>
      </c>
      <c r="O213" s="4">
        <v>-1</v>
      </c>
      <c r="P213" s="4"/>
      <c r="Q213" s="4"/>
      <c r="R213" s="4"/>
      <c r="S213" s="4"/>
      <c r="T213" s="4"/>
      <c r="U213" s="4"/>
      <c r="V213" s="4"/>
      <c r="W213" s="4"/>
    </row>
    <row r="214" spans="1:206" x14ac:dyDescent="0.2">
      <c r="A214" s="4">
        <v>50</v>
      </c>
      <c r="B214" s="4">
        <v>0</v>
      </c>
      <c r="C214" s="4">
        <v>0</v>
      </c>
      <c r="D214" s="4">
        <v>1</v>
      </c>
      <c r="E214" s="4">
        <v>208</v>
      </c>
      <c r="F214" s="4">
        <f>Source!V191</f>
        <v>0</v>
      </c>
      <c r="G214" s="4" t="s">
        <v>93</v>
      </c>
      <c r="H214" s="4" t="s">
        <v>94</v>
      </c>
      <c r="I214" s="4"/>
      <c r="J214" s="4"/>
      <c r="K214" s="4">
        <v>208</v>
      </c>
      <c r="L214" s="4">
        <v>22</v>
      </c>
      <c r="M214" s="4">
        <v>3</v>
      </c>
      <c r="N214" s="4" t="s">
        <v>5</v>
      </c>
      <c r="O214" s="4">
        <v>-1</v>
      </c>
      <c r="P214" s="4"/>
      <c r="Q214" s="4"/>
      <c r="R214" s="4"/>
      <c r="S214" s="4"/>
      <c r="T214" s="4"/>
      <c r="U214" s="4"/>
      <c r="V214" s="4"/>
      <c r="W214" s="4"/>
    </row>
    <row r="215" spans="1:206" x14ac:dyDescent="0.2">
      <c r="A215" s="4">
        <v>50</v>
      </c>
      <c r="B215" s="4">
        <v>0</v>
      </c>
      <c r="C215" s="4">
        <v>0</v>
      </c>
      <c r="D215" s="4">
        <v>1</v>
      </c>
      <c r="E215" s="4">
        <v>209</v>
      </c>
      <c r="F215" s="4">
        <f>ROUND(Source!W191,O215)</f>
        <v>0</v>
      </c>
      <c r="G215" s="4" t="s">
        <v>95</v>
      </c>
      <c r="H215" s="4" t="s">
        <v>96</v>
      </c>
      <c r="I215" s="4"/>
      <c r="J215" s="4"/>
      <c r="K215" s="4">
        <v>209</v>
      </c>
      <c r="L215" s="4">
        <v>23</v>
      </c>
      <c r="M215" s="4">
        <v>3</v>
      </c>
      <c r="N215" s="4" t="s">
        <v>5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206" x14ac:dyDescent="0.2">
      <c r="A216" s="4">
        <v>50</v>
      </c>
      <c r="B216" s="4">
        <v>0</v>
      </c>
      <c r="C216" s="4">
        <v>0</v>
      </c>
      <c r="D216" s="4">
        <v>1</v>
      </c>
      <c r="E216" s="4">
        <v>233</v>
      </c>
      <c r="F216" s="4">
        <f>ROUND(Source!BD191,O216)</f>
        <v>0</v>
      </c>
      <c r="G216" s="4" t="s">
        <v>97</v>
      </c>
      <c r="H216" s="4" t="s">
        <v>98</v>
      </c>
      <c r="I216" s="4"/>
      <c r="J216" s="4"/>
      <c r="K216" s="4">
        <v>233</v>
      </c>
      <c r="L216" s="4">
        <v>24</v>
      </c>
      <c r="M216" s="4">
        <v>3</v>
      </c>
      <c r="N216" s="4" t="s">
        <v>5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7" spans="1:206" x14ac:dyDescent="0.2">
      <c r="A217" s="4">
        <v>50</v>
      </c>
      <c r="B217" s="4">
        <v>0</v>
      </c>
      <c r="C217" s="4">
        <v>0</v>
      </c>
      <c r="D217" s="4">
        <v>1</v>
      </c>
      <c r="E217" s="4">
        <v>210</v>
      </c>
      <c r="F217" s="4">
        <f>ROUND(Source!X191,O217)</f>
        <v>8229.84</v>
      </c>
      <c r="G217" s="4" t="s">
        <v>99</v>
      </c>
      <c r="H217" s="4" t="s">
        <v>100</v>
      </c>
      <c r="I217" s="4"/>
      <c r="J217" s="4"/>
      <c r="K217" s="4">
        <v>210</v>
      </c>
      <c r="L217" s="4">
        <v>25</v>
      </c>
      <c r="M217" s="4">
        <v>3</v>
      </c>
      <c r="N217" s="4" t="s">
        <v>5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206" x14ac:dyDescent="0.2">
      <c r="A218" s="4">
        <v>50</v>
      </c>
      <c r="B218" s="4">
        <v>0</v>
      </c>
      <c r="C218" s="4">
        <v>0</v>
      </c>
      <c r="D218" s="4">
        <v>1</v>
      </c>
      <c r="E218" s="4">
        <v>211</v>
      </c>
      <c r="F218" s="4">
        <f>ROUND(Source!Y191,O218)</f>
        <v>3792.18</v>
      </c>
      <c r="G218" s="4" t="s">
        <v>101</v>
      </c>
      <c r="H218" s="4" t="s">
        <v>102</v>
      </c>
      <c r="I218" s="4"/>
      <c r="J218" s="4"/>
      <c r="K218" s="4">
        <v>211</v>
      </c>
      <c r="L218" s="4">
        <v>26</v>
      </c>
      <c r="M218" s="4">
        <v>3</v>
      </c>
      <c r="N218" s="4" t="s">
        <v>5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206" x14ac:dyDescent="0.2">
      <c r="A219" s="4">
        <v>50</v>
      </c>
      <c r="B219" s="4">
        <v>0</v>
      </c>
      <c r="C219" s="4">
        <v>0</v>
      </c>
      <c r="D219" s="4">
        <v>1</v>
      </c>
      <c r="E219" s="4">
        <v>224</v>
      </c>
      <c r="F219" s="4">
        <f>ROUND(Source!AR191,O219)</f>
        <v>23971.14</v>
      </c>
      <c r="G219" s="4" t="s">
        <v>103</v>
      </c>
      <c r="H219" s="4" t="s">
        <v>104</v>
      </c>
      <c r="I219" s="4"/>
      <c r="J219" s="4"/>
      <c r="K219" s="4">
        <v>224</v>
      </c>
      <c r="L219" s="4">
        <v>27</v>
      </c>
      <c r="M219" s="4">
        <v>3</v>
      </c>
      <c r="N219" s="4" t="s">
        <v>5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1" spans="1:206" x14ac:dyDescent="0.2">
      <c r="A221" s="1">
        <v>4</v>
      </c>
      <c r="B221" s="1">
        <v>1</v>
      </c>
      <c r="C221" s="1"/>
      <c r="D221" s="1">
        <f>ROW(A228)</f>
        <v>228</v>
      </c>
      <c r="E221" s="1"/>
      <c r="F221" s="1" t="s">
        <v>14</v>
      </c>
      <c r="G221" s="1" t="s">
        <v>157</v>
      </c>
      <c r="H221" s="1" t="s">
        <v>5</v>
      </c>
      <c r="I221" s="1">
        <v>0</v>
      </c>
      <c r="J221" s="1"/>
      <c r="K221" s="1">
        <v>0</v>
      </c>
      <c r="L221" s="1"/>
      <c r="M221" s="1" t="s">
        <v>5</v>
      </c>
      <c r="N221" s="1"/>
      <c r="O221" s="1"/>
      <c r="P221" s="1"/>
      <c r="Q221" s="1"/>
      <c r="R221" s="1"/>
      <c r="S221" s="1">
        <v>0</v>
      </c>
      <c r="T221" s="1"/>
      <c r="U221" s="1" t="s">
        <v>5</v>
      </c>
      <c r="V221" s="1">
        <v>0</v>
      </c>
      <c r="W221" s="1"/>
      <c r="X221" s="1"/>
      <c r="Y221" s="1"/>
      <c r="Z221" s="1"/>
      <c r="AA221" s="1"/>
      <c r="AB221" s="1" t="s">
        <v>5</v>
      </c>
      <c r="AC221" s="1" t="s">
        <v>5</v>
      </c>
      <c r="AD221" s="1" t="s">
        <v>5</v>
      </c>
      <c r="AE221" s="1" t="s">
        <v>5</v>
      </c>
      <c r="AF221" s="1" t="s">
        <v>5</v>
      </c>
      <c r="AG221" s="1" t="s">
        <v>5</v>
      </c>
      <c r="AH221" s="1"/>
      <c r="AI221" s="1"/>
      <c r="AJ221" s="1"/>
      <c r="AK221" s="1"/>
      <c r="AL221" s="1"/>
      <c r="AM221" s="1"/>
      <c r="AN221" s="1"/>
      <c r="AO221" s="1"/>
      <c r="AP221" s="1" t="s">
        <v>5</v>
      </c>
      <c r="AQ221" s="1" t="s">
        <v>5</v>
      </c>
      <c r="AR221" s="1" t="s">
        <v>5</v>
      </c>
      <c r="AS221" s="1"/>
      <c r="AT221" s="1"/>
      <c r="AU221" s="1"/>
      <c r="AV221" s="1"/>
      <c r="AW221" s="1"/>
      <c r="AX221" s="1"/>
      <c r="AY221" s="1"/>
      <c r="AZ221" s="1" t="s">
        <v>5</v>
      </c>
      <c r="BA221" s="1"/>
      <c r="BB221" s="1" t="s">
        <v>5</v>
      </c>
      <c r="BC221" s="1" t="s">
        <v>5</v>
      </c>
      <c r="BD221" s="1" t="s">
        <v>5</v>
      </c>
      <c r="BE221" s="1" t="s">
        <v>5</v>
      </c>
      <c r="BF221" s="1" t="s">
        <v>5</v>
      </c>
      <c r="BG221" s="1" t="s">
        <v>5</v>
      </c>
      <c r="BH221" s="1" t="s">
        <v>5</v>
      </c>
      <c r="BI221" s="1" t="s">
        <v>5</v>
      </c>
      <c r="BJ221" s="1" t="s">
        <v>5</v>
      </c>
      <c r="BK221" s="1" t="s">
        <v>5</v>
      </c>
      <c r="BL221" s="1" t="s">
        <v>5</v>
      </c>
      <c r="BM221" s="1" t="s">
        <v>5</v>
      </c>
      <c r="BN221" s="1" t="s">
        <v>5</v>
      </c>
      <c r="BO221" s="1" t="s">
        <v>5</v>
      </c>
      <c r="BP221" s="1" t="s">
        <v>5</v>
      </c>
      <c r="BQ221" s="1"/>
      <c r="BR221" s="1"/>
      <c r="BS221" s="1"/>
      <c r="BT221" s="1"/>
      <c r="BU221" s="1"/>
      <c r="BV221" s="1"/>
      <c r="BW221" s="1"/>
      <c r="BX221" s="1">
        <v>0</v>
      </c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>
        <v>0</v>
      </c>
    </row>
    <row r="223" spans="1:206" x14ac:dyDescent="0.2">
      <c r="A223" s="2">
        <v>52</v>
      </c>
      <c r="B223" s="2">
        <f t="shared" ref="B223:G223" si="139">B228</f>
        <v>1</v>
      </c>
      <c r="C223" s="2">
        <f t="shared" si="139"/>
        <v>4</v>
      </c>
      <c r="D223" s="2">
        <f t="shared" si="139"/>
        <v>221</v>
      </c>
      <c r="E223" s="2">
        <f t="shared" si="139"/>
        <v>0</v>
      </c>
      <c r="F223" s="2" t="str">
        <f t="shared" si="139"/>
        <v>Новый раздел</v>
      </c>
      <c r="G223" s="2" t="str">
        <f t="shared" si="139"/>
        <v>Уход за деревьями с комом 1,0х1,0х0,6 м - 91 шт.</v>
      </c>
      <c r="H223" s="2"/>
      <c r="I223" s="2"/>
      <c r="J223" s="2"/>
      <c r="K223" s="2"/>
      <c r="L223" s="2"/>
      <c r="M223" s="2"/>
      <c r="N223" s="2"/>
      <c r="O223" s="2">
        <f t="shared" ref="O223:AT223" si="140">O228</f>
        <v>46523.76</v>
      </c>
      <c r="P223" s="2">
        <f t="shared" si="140"/>
        <v>1390.76</v>
      </c>
      <c r="Q223" s="2">
        <f t="shared" si="140"/>
        <v>18646.580000000002</v>
      </c>
      <c r="R223" s="2">
        <f t="shared" si="140"/>
        <v>3140.72</v>
      </c>
      <c r="S223" s="2">
        <f t="shared" si="140"/>
        <v>26486.42</v>
      </c>
      <c r="T223" s="2">
        <f t="shared" si="140"/>
        <v>0</v>
      </c>
      <c r="U223" s="2">
        <f t="shared" si="140"/>
        <v>105.911624</v>
      </c>
      <c r="V223" s="2">
        <f t="shared" si="140"/>
        <v>0</v>
      </c>
      <c r="W223" s="2">
        <f t="shared" si="140"/>
        <v>0</v>
      </c>
      <c r="X223" s="2">
        <f t="shared" si="140"/>
        <v>27016.15</v>
      </c>
      <c r="Y223" s="2">
        <f t="shared" si="140"/>
        <v>12448.62</v>
      </c>
      <c r="Z223" s="2">
        <f t="shared" si="140"/>
        <v>0</v>
      </c>
      <c r="AA223" s="2">
        <f t="shared" si="140"/>
        <v>0</v>
      </c>
      <c r="AB223" s="2">
        <f t="shared" si="140"/>
        <v>46523.76</v>
      </c>
      <c r="AC223" s="2">
        <f t="shared" si="140"/>
        <v>1390.76</v>
      </c>
      <c r="AD223" s="2">
        <f t="shared" si="140"/>
        <v>18646.580000000002</v>
      </c>
      <c r="AE223" s="2">
        <f t="shared" si="140"/>
        <v>3140.72</v>
      </c>
      <c r="AF223" s="2">
        <f t="shared" si="140"/>
        <v>26486.42</v>
      </c>
      <c r="AG223" s="2">
        <f t="shared" si="140"/>
        <v>0</v>
      </c>
      <c r="AH223" s="2">
        <f t="shared" si="140"/>
        <v>105.911624</v>
      </c>
      <c r="AI223" s="2">
        <f t="shared" si="140"/>
        <v>0</v>
      </c>
      <c r="AJ223" s="2">
        <f t="shared" si="140"/>
        <v>0</v>
      </c>
      <c r="AK223" s="2">
        <f t="shared" si="140"/>
        <v>27016.15</v>
      </c>
      <c r="AL223" s="2">
        <f t="shared" si="140"/>
        <v>12448.62</v>
      </c>
      <c r="AM223" s="2">
        <f t="shared" si="140"/>
        <v>0</v>
      </c>
      <c r="AN223" s="2">
        <f t="shared" si="140"/>
        <v>0</v>
      </c>
      <c r="AO223" s="2">
        <f t="shared" si="140"/>
        <v>0</v>
      </c>
      <c r="AP223" s="2">
        <f t="shared" si="140"/>
        <v>0</v>
      </c>
      <c r="AQ223" s="2">
        <f t="shared" si="140"/>
        <v>0</v>
      </c>
      <c r="AR223" s="2">
        <f t="shared" si="140"/>
        <v>90919.46</v>
      </c>
      <c r="AS223" s="2">
        <f t="shared" si="140"/>
        <v>90919.46</v>
      </c>
      <c r="AT223" s="2">
        <f t="shared" si="140"/>
        <v>0</v>
      </c>
      <c r="AU223" s="2">
        <f t="shared" ref="AU223:BZ223" si="141">AU228</f>
        <v>0</v>
      </c>
      <c r="AV223" s="2">
        <f t="shared" si="141"/>
        <v>1390.76</v>
      </c>
      <c r="AW223" s="2">
        <f t="shared" si="141"/>
        <v>1390.76</v>
      </c>
      <c r="AX223" s="2">
        <f t="shared" si="141"/>
        <v>0</v>
      </c>
      <c r="AY223" s="2">
        <f t="shared" si="141"/>
        <v>1390.76</v>
      </c>
      <c r="AZ223" s="2">
        <f t="shared" si="141"/>
        <v>0</v>
      </c>
      <c r="BA223" s="2">
        <f t="shared" si="141"/>
        <v>0</v>
      </c>
      <c r="BB223" s="2">
        <f t="shared" si="141"/>
        <v>0</v>
      </c>
      <c r="BC223" s="2">
        <f t="shared" si="141"/>
        <v>0</v>
      </c>
      <c r="BD223" s="2">
        <f t="shared" si="141"/>
        <v>0</v>
      </c>
      <c r="BE223" s="2">
        <f t="shared" si="141"/>
        <v>0</v>
      </c>
      <c r="BF223" s="2">
        <f t="shared" si="141"/>
        <v>0</v>
      </c>
      <c r="BG223" s="2">
        <f t="shared" si="141"/>
        <v>0</v>
      </c>
      <c r="BH223" s="2">
        <f t="shared" si="141"/>
        <v>0</v>
      </c>
      <c r="BI223" s="2">
        <f t="shared" si="141"/>
        <v>0</v>
      </c>
      <c r="BJ223" s="2">
        <f t="shared" si="141"/>
        <v>0</v>
      </c>
      <c r="BK223" s="2">
        <f t="shared" si="141"/>
        <v>0</v>
      </c>
      <c r="BL223" s="2">
        <f t="shared" si="141"/>
        <v>0</v>
      </c>
      <c r="BM223" s="2">
        <f t="shared" si="141"/>
        <v>0</v>
      </c>
      <c r="BN223" s="2">
        <f t="shared" si="141"/>
        <v>0</v>
      </c>
      <c r="BO223" s="2">
        <f t="shared" si="141"/>
        <v>0</v>
      </c>
      <c r="BP223" s="2">
        <f t="shared" si="141"/>
        <v>0</v>
      </c>
      <c r="BQ223" s="2">
        <f t="shared" si="141"/>
        <v>0</v>
      </c>
      <c r="BR223" s="2">
        <f t="shared" si="141"/>
        <v>0</v>
      </c>
      <c r="BS223" s="2">
        <f t="shared" si="141"/>
        <v>0</v>
      </c>
      <c r="BT223" s="2">
        <f t="shared" si="141"/>
        <v>0</v>
      </c>
      <c r="BU223" s="2">
        <f t="shared" si="141"/>
        <v>0</v>
      </c>
      <c r="BV223" s="2">
        <f t="shared" si="141"/>
        <v>0</v>
      </c>
      <c r="BW223" s="2">
        <f t="shared" si="141"/>
        <v>0</v>
      </c>
      <c r="BX223" s="2">
        <f t="shared" si="141"/>
        <v>0</v>
      </c>
      <c r="BY223" s="2">
        <f t="shared" si="141"/>
        <v>0</v>
      </c>
      <c r="BZ223" s="2">
        <f t="shared" si="141"/>
        <v>0</v>
      </c>
      <c r="CA223" s="2">
        <f t="shared" ref="CA223:DF223" si="142">CA228</f>
        <v>90919.46</v>
      </c>
      <c r="CB223" s="2">
        <f t="shared" si="142"/>
        <v>90919.46</v>
      </c>
      <c r="CC223" s="2">
        <f t="shared" si="142"/>
        <v>0</v>
      </c>
      <c r="CD223" s="2">
        <f t="shared" si="142"/>
        <v>0</v>
      </c>
      <c r="CE223" s="2">
        <f t="shared" si="142"/>
        <v>1390.76</v>
      </c>
      <c r="CF223" s="2">
        <f t="shared" si="142"/>
        <v>1390.76</v>
      </c>
      <c r="CG223" s="2">
        <f t="shared" si="142"/>
        <v>0</v>
      </c>
      <c r="CH223" s="2">
        <f t="shared" si="142"/>
        <v>1390.76</v>
      </c>
      <c r="CI223" s="2">
        <f t="shared" si="142"/>
        <v>0</v>
      </c>
      <c r="CJ223" s="2">
        <f t="shared" si="142"/>
        <v>0</v>
      </c>
      <c r="CK223" s="2">
        <f t="shared" si="142"/>
        <v>0</v>
      </c>
      <c r="CL223" s="2">
        <f t="shared" si="142"/>
        <v>0</v>
      </c>
      <c r="CM223" s="2">
        <f t="shared" si="142"/>
        <v>0</v>
      </c>
      <c r="CN223" s="2">
        <f t="shared" si="142"/>
        <v>0</v>
      </c>
      <c r="CO223" s="2">
        <f t="shared" si="142"/>
        <v>0</v>
      </c>
      <c r="CP223" s="2">
        <f t="shared" si="142"/>
        <v>0</v>
      </c>
      <c r="CQ223" s="2">
        <f t="shared" si="142"/>
        <v>0</v>
      </c>
      <c r="CR223" s="2">
        <f t="shared" si="142"/>
        <v>0</v>
      </c>
      <c r="CS223" s="2">
        <f t="shared" si="142"/>
        <v>0</v>
      </c>
      <c r="CT223" s="2">
        <f t="shared" si="142"/>
        <v>0</v>
      </c>
      <c r="CU223" s="2">
        <f t="shared" si="142"/>
        <v>0</v>
      </c>
      <c r="CV223" s="2">
        <f t="shared" si="142"/>
        <v>0</v>
      </c>
      <c r="CW223" s="2">
        <f t="shared" si="142"/>
        <v>0</v>
      </c>
      <c r="CX223" s="2">
        <f t="shared" si="142"/>
        <v>0</v>
      </c>
      <c r="CY223" s="2">
        <f t="shared" si="142"/>
        <v>0</v>
      </c>
      <c r="CZ223" s="2">
        <f t="shared" si="142"/>
        <v>0</v>
      </c>
      <c r="DA223" s="2">
        <f t="shared" si="142"/>
        <v>0</v>
      </c>
      <c r="DB223" s="2">
        <f t="shared" si="142"/>
        <v>0</v>
      </c>
      <c r="DC223" s="2">
        <f t="shared" si="142"/>
        <v>0</v>
      </c>
      <c r="DD223" s="2">
        <f t="shared" si="142"/>
        <v>0</v>
      </c>
      <c r="DE223" s="2">
        <f t="shared" si="142"/>
        <v>0</v>
      </c>
      <c r="DF223" s="2">
        <f t="shared" si="142"/>
        <v>0</v>
      </c>
      <c r="DG223" s="3">
        <f t="shared" ref="DG223:EL223" si="143">DG228</f>
        <v>0</v>
      </c>
      <c r="DH223" s="3">
        <f t="shared" si="143"/>
        <v>0</v>
      </c>
      <c r="DI223" s="3">
        <f t="shared" si="143"/>
        <v>0</v>
      </c>
      <c r="DJ223" s="3">
        <f t="shared" si="143"/>
        <v>0</v>
      </c>
      <c r="DK223" s="3">
        <f t="shared" si="143"/>
        <v>0</v>
      </c>
      <c r="DL223" s="3">
        <f t="shared" si="143"/>
        <v>0</v>
      </c>
      <c r="DM223" s="3">
        <f t="shared" si="143"/>
        <v>0</v>
      </c>
      <c r="DN223" s="3">
        <f t="shared" si="143"/>
        <v>0</v>
      </c>
      <c r="DO223" s="3">
        <f t="shared" si="143"/>
        <v>0</v>
      </c>
      <c r="DP223" s="3">
        <f t="shared" si="143"/>
        <v>0</v>
      </c>
      <c r="DQ223" s="3">
        <f t="shared" si="143"/>
        <v>0</v>
      </c>
      <c r="DR223" s="3">
        <f t="shared" si="143"/>
        <v>0</v>
      </c>
      <c r="DS223" s="3">
        <f t="shared" si="143"/>
        <v>0</v>
      </c>
      <c r="DT223" s="3">
        <f t="shared" si="143"/>
        <v>0</v>
      </c>
      <c r="DU223" s="3">
        <f t="shared" si="143"/>
        <v>0</v>
      </c>
      <c r="DV223" s="3">
        <f t="shared" si="143"/>
        <v>0</v>
      </c>
      <c r="DW223" s="3">
        <f t="shared" si="143"/>
        <v>0</v>
      </c>
      <c r="DX223" s="3">
        <f t="shared" si="143"/>
        <v>0</v>
      </c>
      <c r="DY223" s="3">
        <f t="shared" si="143"/>
        <v>0</v>
      </c>
      <c r="DZ223" s="3">
        <f t="shared" si="143"/>
        <v>0</v>
      </c>
      <c r="EA223" s="3">
        <f t="shared" si="143"/>
        <v>0</v>
      </c>
      <c r="EB223" s="3">
        <f t="shared" si="143"/>
        <v>0</v>
      </c>
      <c r="EC223" s="3">
        <f t="shared" si="143"/>
        <v>0</v>
      </c>
      <c r="ED223" s="3">
        <f t="shared" si="143"/>
        <v>0</v>
      </c>
      <c r="EE223" s="3">
        <f t="shared" si="143"/>
        <v>0</v>
      </c>
      <c r="EF223" s="3">
        <f t="shared" si="143"/>
        <v>0</v>
      </c>
      <c r="EG223" s="3">
        <f t="shared" si="143"/>
        <v>0</v>
      </c>
      <c r="EH223" s="3">
        <f t="shared" si="143"/>
        <v>0</v>
      </c>
      <c r="EI223" s="3">
        <f t="shared" si="143"/>
        <v>0</v>
      </c>
      <c r="EJ223" s="3">
        <f t="shared" si="143"/>
        <v>0</v>
      </c>
      <c r="EK223" s="3">
        <f t="shared" si="143"/>
        <v>0</v>
      </c>
      <c r="EL223" s="3">
        <f t="shared" si="143"/>
        <v>0</v>
      </c>
      <c r="EM223" s="3">
        <f t="shared" ref="EM223:FR223" si="144">EM228</f>
        <v>0</v>
      </c>
      <c r="EN223" s="3">
        <f t="shared" si="144"/>
        <v>0</v>
      </c>
      <c r="EO223" s="3">
        <f t="shared" si="144"/>
        <v>0</v>
      </c>
      <c r="EP223" s="3">
        <f t="shared" si="144"/>
        <v>0</v>
      </c>
      <c r="EQ223" s="3">
        <f t="shared" si="144"/>
        <v>0</v>
      </c>
      <c r="ER223" s="3">
        <f t="shared" si="144"/>
        <v>0</v>
      </c>
      <c r="ES223" s="3">
        <f t="shared" si="144"/>
        <v>0</v>
      </c>
      <c r="ET223" s="3">
        <f t="shared" si="144"/>
        <v>0</v>
      </c>
      <c r="EU223" s="3">
        <f t="shared" si="144"/>
        <v>0</v>
      </c>
      <c r="EV223" s="3">
        <f t="shared" si="144"/>
        <v>0</v>
      </c>
      <c r="EW223" s="3">
        <f t="shared" si="144"/>
        <v>0</v>
      </c>
      <c r="EX223" s="3">
        <f t="shared" si="144"/>
        <v>0</v>
      </c>
      <c r="EY223" s="3">
        <f t="shared" si="144"/>
        <v>0</v>
      </c>
      <c r="EZ223" s="3">
        <f t="shared" si="144"/>
        <v>0</v>
      </c>
      <c r="FA223" s="3">
        <f t="shared" si="144"/>
        <v>0</v>
      </c>
      <c r="FB223" s="3">
        <f t="shared" si="144"/>
        <v>0</v>
      </c>
      <c r="FC223" s="3">
        <f t="shared" si="144"/>
        <v>0</v>
      </c>
      <c r="FD223" s="3">
        <f t="shared" si="144"/>
        <v>0</v>
      </c>
      <c r="FE223" s="3">
        <f t="shared" si="144"/>
        <v>0</v>
      </c>
      <c r="FF223" s="3">
        <f t="shared" si="144"/>
        <v>0</v>
      </c>
      <c r="FG223" s="3">
        <f t="shared" si="144"/>
        <v>0</v>
      </c>
      <c r="FH223" s="3">
        <f t="shared" si="144"/>
        <v>0</v>
      </c>
      <c r="FI223" s="3">
        <f t="shared" si="144"/>
        <v>0</v>
      </c>
      <c r="FJ223" s="3">
        <f t="shared" si="144"/>
        <v>0</v>
      </c>
      <c r="FK223" s="3">
        <f t="shared" si="144"/>
        <v>0</v>
      </c>
      <c r="FL223" s="3">
        <f t="shared" si="144"/>
        <v>0</v>
      </c>
      <c r="FM223" s="3">
        <f t="shared" si="144"/>
        <v>0</v>
      </c>
      <c r="FN223" s="3">
        <f t="shared" si="144"/>
        <v>0</v>
      </c>
      <c r="FO223" s="3">
        <f t="shared" si="144"/>
        <v>0</v>
      </c>
      <c r="FP223" s="3">
        <f t="shared" si="144"/>
        <v>0</v>
      </c>
      <c r="FQ223" s="3">
        <f t="shared" si="144"/>
        <v>0</v>
      </c>
      <c r="FR223" s="3">
        <f t="shared" si="144"/>
        <v>0</v>
      </c>
      <c r="FS223" s="3">
        <f t="shared" ref="FS223:GX223" si="145">FS228</f>
        <v>0</v>
      </c>
      <c r="FT223" s="3">
        <f t="shared" si="145"/>
        <v>0</v>
      </c>
      <c r="FU223" s="3">
        <f t="shared" si="145"/>
        <v>0</v>
      </c>
      <c r="FV223" s="3">
        <f t="shared" si="145"/>
        <v>0</v>
      </c>
      <c r="FW223" s="3">
        <f t="shared" si="145"/>
        <v>0</v>
      </c>
      <c r="FX223" s="3">
        <f t="shared" si="145"/>
        <v>0</v>
      </c>
      <c r="FY223" s="3">
        <f t="shared" si="145"/>
        <v>0</v>
      </c>
      <c r="FZ223" s="3">
        <f t="shared" si="145"/>
        <v>0</v>
      </c>
      <c r="GA223" s="3">
        <f t="shared" si="145"/>
        <v>0</v>
      </c>
      <c r="GB223" s="3">
        <f t="shared" si="145"/>
        <v>0</v>
      </c>
      <c r="GC223" s="3">
        <f t="shared" si="145"/>
        <v>0</v>
      </c>
      <c r="GD223" s="3">
        <f t="shared" si="145"/>
        <v>0</v>
      </c>
      <c r="GE223" s="3">
        <f t="shared" si="145"/>
        <v>0</v>
      </c>
      <c r="GF223" s="3">
        <f t="shared" si="145"/>
        <v>0</v>
      </c>
      <c r="GG223" s="3">
        <f t="shared" si="145"/>
        <v>0</v>
      </c>
      <c r="GH223" s="3">
        <f t="shared" si="145"/>
        <v>0</v>
      </c>
      <c r="GI223" s="3">
        <f t="shared" si="145"/>
        <v>0</v>
      </c>
      <c r="GJ223" s="3">
        <f t="shared" si="145"/>
        <v>0</v>
      </c>
      <c r="GK223" s="3">
        <f t="shared" si="145"/>
        <v>0</v>
      </c>
      <c r="GL223" s="3">
        <f t="shared" si="145"/>
        <v>0</v>
      </c>
      <c r="GM223" s="3">
        <f t="shared" si="145"/>
        <v>0</v>
      </c>
      <c r="GN223" s="3">
        <f t="shared" si="145"/>
        <v>0</v>
      </c>
      <c r="GO223" s="3">
        <f t="shared" si="145"/>
        <v>0</v>
      </c>
      <c r="GP223" s="3">
        <f t="shared" si="145"/>
        <v>0</v>
      </c>
      <c r="GQ223" s="3">
        <f t="shared" si="145"/>
        <v>0</v>
      </c>
      <c r="GR223" s="3">
        <f t="shared" si="145"/>
        <v>0</v>
      </c>
      <c r="GS223" s="3">
        <f t="shared" si="145"/>
        <v>0</v>
      </c>
      <c r="GT223" s="3">
        <f t="shared" si="145"/>
        <v>0</v>
      </c>
      <c r="GU223" s="3">
        <f t="shared" si="145"/>
        <v>0</v>
      </c>
      <c r="GV223" s="3">
        <f t="shared" si="145"/>
        <v>0</v>
      </c>
      <c r="GW223" s="3">
        <f t="shared" si="145"/>
        <v>0</v>
      </c>
      <c r="GX223" s="3">
        <f t="shared" si="145"/>
        <v>0</v>
      </c>
    </row>
    <row r="225" spans="1:245" x14ac:dyDescent="0.2">
      <c r="A225">
        <v>17</v>
      </c>
      <c r="B225">
        <v>1</v>
      </c>
      <c r="C225">
        <f>ROW(SmtRes!A55)</f>
        <v>55</v>
      </c>
      <c r="D225">
        <f>ROW(EtalonRes!A59)</f>
        <v>59</v>
      </c>
      <c r="E225" t="s">
        <v>158</v>
      </c>
      <c r="F225" t="s">
        <v>117</v>
      </c>
      <c r="G225" t="s">
        <v>118</v>
      </c>
      <c r="H225" t="s">
        <v>119</v>
      </c>
      <c r="I225">
        <f>ROUND(30*3.61/1000*91,9)</f>
        <v>9.8552999999999997</v>
      </c>
      <c r="J225">
        <v>0</v>
      </c>
      <c r="O225">
        <f>ROUND(CP225,2)</f>
        <v>24557.81</v>
      </c>
      <c r="P225">
        <f>ROUND((ROUND((AC225*AW225*I225),2)*BC225),2)</f>
        <v>1390.76</v>
      </c>
      <c r="Q225">
        <f>(ROUND((ROUND((((ET225*4))*AV225*I225),2)*BB225),2)+ROUND((ROUND(((AE225-((EU225*4)))*AV225*I225),2)*BS225),2))</f>
        <v>18646.580000000002</v>
      </c>
      <c r="R225">
        <f>ROUND((ROUND((AE225*AV225*I225),2)*BS225),2)</f>
        <v>3140.72</v>
      </c>
      <c r="S225">
        <f>ROUND((ROUND((AF225*AV225*I225),2)*BA225),2)</f>
        <v>4520.47</v>
      </c>
      <c r="T225">
        <f>ROUND(CU225*I225,2)</f>
        <v>0</v>
      </c>
      <c r="U225">
        <f>CV225*I225</f>
        <v>19.316388</v>
      </c>
      <c r="V225">
        <f>CW225*I225</f>
        <v>0</v>
      </c>
      <c r="W225">
        <f>ROUND(CX225*I225,2)</f>
        <v>0</v>
      </c>
      <c r="X225">
        <f>ROUND(CY225,2)</f>
        <v>4610.88</v>
      </c>
      <c r="Y225">
        <f>ROUND(CZ225,2)</f>
        <v>2124.62</v>
      </c>
      <c r="AA225">
        <v>49688178</v>
      </c>
      <c r="AB225">
        <f>ROUND((AC225+AD225+AF225),6)</f>
        <v>283.56</v>
      </c>
      <c r="AC225">
        <f>ROUND(((ES225*4)),6)</f>
        <v>28.28</v>
      </c>
      <c r="AD225">
        <f>ROUND(((((ET225*4))-((EU225*4)))+AE225),6)</f>
        <v>236.8</v>
      </c>
      <c r="AE225">
        <f>ROUND(((EU225*4)),6)</f>
        <v>12.84</v>
      </c>
      <c r="AF225">
        <f>ROUND(((EV225*4)),6)</f>
        <v>18.48</v>
      </c>
      <c r="AG225">
        <f>ROUND((AP225),6)</f>
        <v>0</v>
      </c>
      <c r="AH225">
        <f>((EW225*4))</f>
        <v>1.96</v>
      </c>
      <c r="AI225">
        <f>((EX225*4))</f>
        <v>0</v>
      </c>
      <c r="AJ225">
        <f>(AS225)</f>
        <v>0</v>
      </c>
      <c r="AK225">
        <v>70.89</v>
      </c>
      <c r="AL225">
        <v>7.07</v>
      </c>
      <c r="AM225">
        <v>59.2</v>
      </c>
      <c r="AN225">
        <v>3.21</v>
      </c>
      <c r="AO225">
        <v>4.62</v>
      </c>
      <c r="AP225">
        <v>0</v>
      </c>
      <c r="AQ225">
        <v>0.49</v>
      </c>
      <c r="AR225">
        <v>0</v>
      </c>
      <c r="AS225">
        <v>0</v>
      </c>
      <c r="AT225">
        <v>102</v>
      </c>
      <c r="AU225">
        <v>47</v>
      </c>
      <c r="AV225">
        <v>1</v>
      </c>
      <c r="AW225">
        <v>1</v>
      </c>
      <c r="AZ225">
        <v>1</v>
      </c>
      <c r="BA225">
        <v>24.82</v>
      </c>
      <c r="BB225">
        <v>7.99</v>
      </c>
      <c r="BC225">
        <v>4.99</v>
      </c>
      <c r="BD225" t="s">
        <v>5</v>
      </c>
      <c r="BE225" t="s">
        <v>5</v>
      </c>
      <c r="BF225" t="s">
        <v>5</v>
      </c>
      <c r="BG225" t="s">
        <v>5</v>
      </c>
      <c r="BH225">
        <v>0</v>
      </c>
      <c r="BI225">
        <v>1</v>
      </c>
      <c r="BJ225" t="s">
        <v>120</v>
      </c>
      <c r="BM225">
        <v>297</v>
      </c>
      <c r="BN225">
        <v>0</v>
      </c>
      <c r="BO225" t="s">
        <v>117</v>
      </c>
      <c r="BP225">
        <v>1</v>
      </c>
      <c r="BQ225">
        <v>30</v>
      </c>
      <c r="BR225">
        <v>0</v>
      </c>
      <c r="BS225">
        <v>24.82</v>
      </c>
      <c r="BT225">
        <v>1</v>
      </c>
      <c r="BU225">
        <v>1</v>
      </c>
      <c r="BV225">
        <v>1</v>
      </c>
      <c r="BW225">
        <v>1</v>
      </c>
      <c r="BX225">
        <v>1</v>
      </c>
      <c r="BY225" t="s">
        <v>5</v>
      </c>
      <c r="BZ225">
        <v>102</v>
      </c>
      <c r="CA225">
        <v>47</v>
      </c>
      <c r="CE225">
        <v>30</v>
      </c>
      <c r="CF225">
        <v>0</v>
      </c>
      <c r="CG225">
        <v>0</v>
      </c>
      <c r="CM225">
        <v>0</v>
      </c>
      <c r="CN225" t="s">
        <v>5</v>
      </c>
      <c r="CO225">
        <v>0</v>
      </c>
      <c r="CP225">
        <f>(P225+Q225+S225)</f>
        <v>24557.81</v>
      </c>
      <c r="CQ225">
        <f>ROUND((ROUND((AC225*AW225*1),2)*BC225),2)</f>
        <v>141.12</v>
      </c>
      <c r="CR225">
        <f>(ROUND((ROUND((((ET225*4))*AV225*1),2)*BB225),2)+ROUND((ROUND(((AE225-((EU225*4)))*AV225*1),2)*BS225),2))</f>
        <v>1892.03</v>
      </c>
      <c r="CS225">
        <f>ROUND((ROUND((AE225*AV225*1),2)*BS225),2)</f>
        <v>318.69</v>
      </c>
      <c r="CT225">
        <f>ROUND((ROUND((AF225*AV225*1),2)*BA225),2)</f>
        <v>458.67</v>
      </c>
      <c r="CU225">
        <f>AG225</f>
        <v>0</v>
      </c>
      <c r="CV225">
        <f>(AH225*AV225)</f>
        <v>1.96</v>
      </c>
      <c r="CW225">
        <f>AI225</f>
        <v>0</v>
      </c>
      <c r="CX225">
        <f>AJ225</f>
        <v>0</v>
      </c>
      <c r="CY225">
        <f>S225*(BZ225/100)</f>
        <v>4610.8794000000007</v>
      </c>
      <c r="CZ225">
        <f>S225*(CA225/100)</f>
        <v>2124.6208999999999</v>
      </c>
      <c r="DC225" t="s">
        <v>5</v>
      </c>
      <c r="DD225" t="s">
        <v>121</v>
      </c>
      <c r="DE225" t="s">
        <v>121</v>
      </c>
      <c r="DF225" t="s">
        <v>121</v>
      </c>
      <c r="DG225" t="s">
        <v>121</v>
      </c>
      <c r="DH225" t="s">
        <v>5</v>
      </c>
      <c r="DI225" t="s">
        <v>121</v>
      </c>
      <c r="DJ225" t="s">
        <v>121</v>
      </c>
      <c r="DK225" t="s">
        <v>5</v>
      </c>
      <c r="DL225" t="s">
        <v>5</v>
      </c>
      <c r="DM225" t="s">
        <v>5</v>
      </c>
      <c r="DN225">
        <v>187</v>
      </c>
      <c r="DO225">
        <v>101</v>
      </c>
      <c r="DP225">
        <v>1</v>
      </c>
      <c r="DQ225">
        <v>1</v>
      </c>
      <c r="DU225">
        <v>1013</v>
      </c>
      <c r="DV225" t="s">
        <v>119</v>
      </c>
      <c r="DW225" t="s">
        <v>119</v>
      </c>
      <c r="DX225">
        <v>1</v>
      </c>
      <c r="DZ225" t="s">
        <v>5</v>
      </c>
      <c r="EA225" t="s">
        <v>5</v>
      </c>
      <c r="EB225" t="s">
        <v>5</v>
      </c>
      <c r="EC225" t="s">
        <v>5</v>
      </c>
      <c r="EE225">
        <v>49387993</v>
      </c>
      <c r="EF225">
        <v>30</v>
      </c>
      <c r="EG225" t="s">
        <v>21</v>
      </c>
      <c r="EH225">
        <v>0</v>
      </c>
      <c r="EI225" t="s">
        <v>5</v>
      </c>
      <c r="EJ225">
        <v>1</v>
      </c>
      <c r="EK225">
        <v>297</v>
      </c>
      <c r="EL225" t="s">
        <v>122</v>
      </c>
      <c r="EM225" t="s">
        <v>123</v>
      </c>
      <c r="EO225" t="s">
        <v>5</v>
      </c>
      <c r="EQ225">
        <v>0</v>
      </c>
      <c r="ER225">
        <v>70.89</v>
      </c>
      <c r="ES225">
        <v>7.07</v>
      </c>
      <c r="ET225">
        <v>59.2</v>
      </c>
      <c r="EU225">
        <v>3.21</v>
      </c>
      <c r="EV225">
        <v>4.62</v>
      </c>
      <c r="EW225">
        <v>0.49</v>
      </c>
      <c r="EX225">
        <v>0</v>
      </c>
      <c r="EY225">
        <v>0</v>
      </c>
      <c r="FQ225">
        <v>0</v>
      </c>
      <c r="FR225">
        <f>ROUND(IF(AND(BH225=3,BI225=3),P225,0),2)</f>
        <v>0</v>
      </c>
      <c r="FS225">
        <v>0</v>
      </c>
      <c r="FX225">
        <v>187</v>
      </c>
      <c r="FY225">
        <v>101</v>
      </c>
      <c r="GA225" t="s">
        <v>5</v>
      </c>
      <c r="GD225">
        <v>0</v>
      </c>
      <c r="GF225">
        <v>196013782</v>
      </c>
      <c r="GG225">
        <v>2</v>
      </c>
      <c r="GH225">
        <v>1</v>
      </c>
      <c r="GI225">
        <v>2</v>
      </c>
      <c r="GJ225">
        <v>0</v>
      </c>
      <c r="GK225">
        <f>ROUND(R225*(R12)/100,2)</f>
        <v>4930.93</v>
      </c>
      <c r="GL225">
        <f>ROUND(IF(AND(BH225=3,BI225=3,FS225&lt;&gt;0),P225,0),2)</f>
        <v>0</v>
      </c>
      <c r="GM225">
        <f>ROUND(O225+X225+Y225+GK225,2)+GX225</f>
        <v>36224.239999999998</v>
      </c>
      <c r="GN225">
        <f>IF(OR(BI225=0,BI225=1),ROUND(O225+X225+Y225+GK225,2),0)</f>
        <v>36224.239999999998</v>
      </c>
      <c r="GO225">
        <f>IF(BI225=2,ROUND(O225+X225+Y225+GK225,2),0)</f>
        <v>0</v>
      </c>
      <c r="GP225">
        <f>IF(BI225=4,ROUND(O225+X225+Y225+GK225,2)+GX225,0)</f>
        <v>0</v>
      </c>
      <c r="GR225">
        <v>0</v>
      </c>
      <c r="GS225">
        <v>3</v>
      </c>
      <c r="GT225">
        <v>0</v>
      </c>
      <c r="GU225" t="s">
        <v>5</v>
      </c>
      <c r="GV225">
        <f>ROUND((GT225),6)</f>
        <v>0</v>
      </c>
      <c r="GW225">
        <v>1</v>
      </c>
      <c r="GX225">
        <f>ROUND(HC225*I225,2)</f>
        <v>0</v>
      </c>
      <c r="HA225">
        <v>0</v>
      </c>
      <c r="HB225">
        <v>0</v>
      </c>
      <c r="HC225">
        <f>GV225*GW225</f>
        <v>0</v>
      </c>
      <c r="HE225" t="s">
        <v>5</v>
      </c>
      <c r="HF225" t="s">
        <v>5</v>
      </c>
      <c r="IK225">
        <v>0</v>
      </c>
    </row>
    <row r="226" spans="1:245" x14ac:dyDescent="0.2">
      <c r="A226">
        <v>17</v>
      </c>
      <c r="B226">
        <v>1</v>
      </c>
      <c r="C226">
        <f>ROW(SmtRes!A56)</f>
        <v>56</v>
      </c>
      <c r="D226">
        <f>ROW(EtalonRes!A60)</f>
        <v>60</v>
      </c>
      <c r="E226" t="s">
        <v>159</v>
      </c>
      <c r="F226" t="s">
        <v>125</v>
      </c>
      <c r="G226" t="s">
        <v>126</v>
      </c>
      <c r="H226" t="s">
        <v>127</v>
      </c>
      <c r="I226">
        <f>ROUND((3.61*91)/100,9)</f>
        <v>3.2850999999999999</v>
      </c>
      <c r="J226">
        <v>0</v>
      </c>
      <c r="O226">
        <f>ROUND(CP226,2)</f>
        <v>21965.95</v>
      </c>
      <c r="P226">
        <f>ROUND((ROUND((AC226*AW226*I226),2)*BC226),2)</f>
        <v>0</v>
      </c>
      <c r="Q226">
        <f>(ROUND((ROUND((((ET226*4))*AV226*I226),2)*BB226),2)+ROUND((ROUND(((AE226-((EU226*4)))*AV226*I226),2)*BS226),2))</f>
        <v>0</v>
      </c>
      <c r="R226">
        <f>ROUND((ROUND((AE226*AV226*I226),2)*BS226),2)</f>
        <v>0</v>
      </c>
      <c r="S226">
        <f>ROUND((ROUND((AF226*AV226*I226),2)*BA226),2)</f>
        <v>21965.95</v>
      </c>
      <c r="T226">
        <f>ROUND(CU226*I226,2)</f>
        <v>0</v>
      </c>
      <c r="U226">
        <f>CV226*I226</f>
        <v>86.595236</v>
      </c>
      <c r="V226">
        <f>CW226*I226</f>
        <v>0</v>
      </c>
      <c r="W226">
        <f>ROUND(CX226*I226,2)</f>
        <v>0</v>
      </c>
      <c r="X226">
        <f>ROUND(CY226,2)</f>
        <v>22405.27</v>
      </c>
      <c r="Y226">
        <f>ROUND(CZ226,2)</f>
        <v>10324</v>
      </c>
      <c r="AA226">
        <v>49688178</v>
      </c>
      <c r="AB226">
        <f>ROUND((AC226+AD226+AF226),6)</f>
        <v>269.39999999999998</v>
      </c>
      <c r="AC226">
        <f>ROUND(((ES226*4)),6)</f>
        <v>0</v>
      </c>
      <c r="AD226">
        <f>ROUND(((((ET226*4))-((EU226*4)))+AE226),6)</f>
        <v>0</v>
      </c>
      <c r="AE226">
        <f>ROUND(((EU226*4)),6)</f>
        <v>0</v>
      </c>
      <c r="AF226">
        <f>ROUND(((EV226*4)),6)</f>
        <v>269.39999999999998</v>
      </c>
      <c r="AG226">
        <f>ROUND((AP226),6)</f>
        <v>0</v>
      </c>
      <c r="AH226">
        <f>((EW226*4))</f>
        <v>26.36</v>
      </c>
      <c r="AI226">
        <f>((EX226*4))</f>
        <v>0</v>
      </c>
      <c r="AJ226">
        <f>(AS226)</f>
        <v>0</v>
      </c>
      <c r="AK226">
        <v>67.349999999999994</v>
      </c>
      <c r="AL226">
        <v>0</v>
      </c>
      <c r="AM226">
        <v>0</v>
      </c>
      <c r="AN226">
        <v>0</v>
      </c>
      <c r="AO226">
        <v>67.349999999999994</v>
      </c>
      <c r="AP226">
        <v>0</v>
      </c>
      <c r="AQ226">
        <v>6.59</v>
      </c>
      <c r="AR226">
        <v>0</v>
      </c>
      <c r="AS226">
        <v>0</v>
      </c>
      <c r="AT226">
        <v>102</v>
      </c>
      <c r="AU226">
        <v>47</v>
      </c>
      <c r="AV226">
        <v>1</v>
      </c>
      <c r="AW226">
        <v>1</v>
      </c>
      <c r="AZ226">
        <v>1</v>
      </c>
      <c r="BA226">
        <v>24.82</v>
      </c>
      <c r="BB226">
        <v>1</v>
      </c>
      <c r="BC226">
        <v>1</v>
      </c>
      <c r="BD226" t="s">
        <v>5</v>
      </c>
      <c r="BE226" t="s">
        <v>5</v>
      </c>
      <c r="BF226" t="s">
        <v>5</v>
      </c>
      <c r="BG226" t="s">
        <v>5</v>
      </c>
      <c r="BH226">
        <v>0</v>
      </c>
      <c r="BI226">
        <v>1</v>
      </c>
      <c r="BJ226" t="s">
        <v>128</v>
      </c>
      <c r="BM226">
        <v>297</v>
      </c>
      <c r="BN226">
        <v>0</v>
      </c>
      <c r="BO226" t="s">
        <v>125</v>
      </c>
      <c r="BP226">
        <v>1</v>
      </c>
      <c r="BQ226">
        <v>30</v>
      </c>
      <c r="BR226">
        <v>0</v>
      </c>
      <c r="BS226">
        <v>24.82</v>
      </c>
      <c r="BT226">
        <v>1</v>
      </c>
      <c r="BU226">
        <v>1</v>
      </c>
      <c r="BV226">
        <v>1</v>
      </c>
      <c r="BW226">
        <v>1</v>
      </c>
      <c r="BX226">
        <v>1</v>
      </c>
      <c r="BY226" t="s">
        <v>5</v>
      </c>
      <c r="BZ226">
        <v>102</v>
      </c>
      <c r="CA226">
        <v>47</v>
      </c>
      <c r="CE226">
        <v>30</v>
      </c>
      <c r="CF226">
        <v>0</v>
      </c>
      <c r="CG226">
        <v>0</v>
      </c>
      <c r="CM226">
        <v>0</v>
      </c>
      <c r="CN226" t="s">
        <v>5</v>
      </c>
      <c r="CO226">
        <v>0</v>
      </c>
      <c r="CP226">
        <f>(P226+Q226+S226)</f>
        <v>21965.95</v>
      </c>
      <c r="CQ226">
        <f>ROUND((ROUND((AC226*AW226*1),2)*BC226),2)</f>
        <v>0</v>
      </c>
      <c r="CR226">
        <f>(ROUND((ROUND((((ET226*4))*AV226*1),2)*BB226),2)+ROUND((ROUND(((AE226-((EU226*4)))*AV226*1),2)*BS226),2))</f>
        <v>0</v>
      </c>
      <c r="CS226">
        <f>ROUND((ROUND((AE226*AV226*1),2)*BS226),2)</f>
        <v>0</v>
      </c>
      <c r="CT226">
        <f>ROUND((ROUND((AF226*AV226*1),2)*BA226),2)</f>
        <v>6686.51</v>
      </c>
      <c r="CU226">
        <f>AG226</f>
        <v>0</v>
      </c>
      <c r="CV226">
        <f>(AH226*AV226)</f>
        <v>26.36</v>
      </c>
      <c r="CW226">
        <f>AI226</f>
        <v>0</v>
      </c>
      <c r="CX226">
        <f>AJ226</f>
        <v>0</v>
      </c>
      <c r="CY226">
        <f>S226*(BZ226/100)</f>
        <v>22405.269</v>
      </c>
      <c r="CZ226">
        <f>S226*(CA226/100)</f>
        <v>10323.996499999999</v>
      </c>
      <c r="DC226" t="s">
        <v>5</v>
      </c>
      <c r="DD226" t="s">
        <v>121</v>
      </c>
      <c r="DE226" t="s">
        <v>121</v>
      </c>
      <c r="DF226" t="s">
        <v>121</v>
      </c>
      <c r="DG226" t="s">
        <v>121</v>
      </c>
      <c r="DH226" t="s">
        <v>5</v>
      </c>
      <c r="DI226" t="s">
        <v>121</v>
      </c>
      <c r="DJ226" t="s">
        <v>121</v>
      </c>
      <c r="DK226" t="s">
        <v>5</v>
      </c>
      <c r="DL226" t="s">
        <v>5</v>
      </c>
      <c r="DM226" t="s">
        <v>5</v>
      </c>
      <c r="DN226">
        <v>187</v>
      </c>
      <c r="DO226">
        <v>101</v>
      </c>
      <c r="DP226">
        <v>1</v>
      </c>
      <c r="DQ226">
        <v>1</v>
      </c>
      <c r="DU226">
        <v>1013</v>
      </c>
      <c r="DV226" t="s">
        <v>127</v>
      </c>
      <c r="DW226" t="s">
        <v>127</v>
      </c>
      <c r="DX226">
        <v>1</v>
      </c>
      <c r="DZ226" t="s">
        <v>5</v>
      </c>
      <c r="EA226" t="s">
        <v>5</v>
      </c>
      <c r="EB226" t="s">
        <v>5</v>
      </c>
      <c r="EC226" t="s">
        <v>5</v>
      </c>
      <c r="EE226">
        <v>49387993</v>
      </c>
      <c r="EF226">
        <v>30</v>
      </c>
      <c r="EG226" t="s">
        <v>21</v>
      </c>
      <c r="EH226">
        <v>0</v>
      </c>
      <c r="EI226" t="s">
        <v>5</v>
      </c>
      <c r="EJ226">
        <v>1</v>
      </c>
      <c r="EK226">
        <v>297</v>
      </c>
      <c r="EL226" t="s">
        <v>122</v>
      </c>
      <c r="EM226" t="s">
        <v>123</v>
      </c>
      <c r="EO226" t="s">
        <v>5</v>
      </c>
      <c r="EQ226">
        <v>0</v>
      </c>
      <c r="ER226">
        <v>67.349999999999994</v>
      </c>
      <c r="ES226">
        <v>0</v>
      </c>
      <c r="ET226">
        <v>0</v>
      </c>
      <c r="EU226">
        <v>0</v>
      </c>
      <c r="EV226">
        <v>67.349999999999994</v>
      </c>
      <c r="EW226">
        <v>6.59</v>
      </c>
      <c r="EX226">
        <v>0</v>
      </c>
      <c r="EY226">
        <v>0</v>
      </c>
      <c r="FQ226">
        <v>0</v>
      </c>
      <c r="FR226">
        <f>ROUND(IF(AND(BH226=3,BI226=3),P226,0),2)</f>
        <v>0</v>
      </c>
      <c r="FS226">
        <v>0</v>
      </c>
      <c r="FX226">
        <v>187</v>
      </c>
      <c r="FY226">
        <v>101</v>
      </c>
      <c r="GA226" t="s">
        <v>5</v>
      </c>
      <c r="GD226">
        <v>0</v>
      </c>
      <c r="GF226">
        <v>699904863</v>
      </c>
      <c r="GG226">
        <v>2</v>
      </c>
      <c r="GH226">
        <v>1</v>
      </c>
      <c r="GI226">
        <v>2</v>
      </c>
      <c r="GJ226">
        <v>0</v>
      </c>
      <c r="GK226">
        <f>ROUND(R226*(R12)/100,2)</f>
        <v>0</v>
      </c>
      <c r="GL226">
        <f>ROUND(IF(AND(BH226=3,BI226=3,FS226&lt;&gt;0),P226,0),2)</f>
        <v>0</v>
      </c>
      <c r="GM226">
        <f>ROUND(O226+X226+Y226+GK226,2)+GX226</f>
        <v>54695.22</v>
      </c>
      <c r="GN226">
        <f>IF(OR(BI226=0,BI226=1),ROUND(O226+X226+Y226+GK226,2),0)</f>
        <v>54695.22</v>
      </c>
      <c r="GO226">
        <f>IF(BI226=2,ROUND(O226+X226+Y226+GK226,2),0)</f>
        <v>0</v>
      </c>
      <c r="GP226">
        <f>IF(BI226=4,ROUND(O226+X226+Y226+GK226,2)+GX226,0)</f>
        <v>0</v>
      </c>
      <c r="GR226">
        <v>0</v>
      </c>
      <c r="GS226">
        <v>3</v>
      </c>
      <c r="GT226">
        <v>0</v>
      </c>
      <c r="GU226" t="s">
        <v>5</v>
      </c>
      <c r="GV226">
        <f>ROUND((GT226),6)</f>
        <v>0</v>
      </c>
      <c r="GW226">
        <v>1</v>
      </c>
      <c r="GX226">
        <f>ROUND(HC226*I226,2)</f>
        <v>0</v>
      </c>
      <c r="HA226">
        <v>0</v>
      </c>
      <c r="HB226">
        <v>0</v>
      </c>
      <c r="HC226">
        <f>GV226*GW226</f>
        <v>0</v>
      </c>
      <c r="HE226" t="s">
        <v>5</v>
      </c>
      <c r="HF226" t="s">
        <v>5</v>
      </c>
      <c r="IK226">
        <v>0</v>
      </c>
    </row>
    <row r="228" spans="1:245" x14ac:dyDescent="0.2">
      <c r="A228" s="2">
        <v>51</v>
      </c>
      <c r="B228" s="2">
        <f>B221</f>
        <v>1</v>
      </c>
      <c r="C228" s="2">
        <f>A221</f>
        <v>4</v>
      </c>
      <c r="D228" s="2">
        <f>ROW(A221)</f>
        <v>221</v>
      </c>
      <c r="E228" s="2"/>
      <c r="F228" s="2" t="str">
        <f>IF(F221&lt;&gt;"",F221,"")</f>
        <v>Новый раздел</v>
      </c>
      <c r="G228" s="2" t="str">
        <f>IF(G221&lt;&gt;"",G221,"")</f>
        <v>Уход за деревьями с комом 1,0х1,0х0,6 м - 91 шт.</v>
      </c>
      <c r="H228" s="2">
        <v>0</v>
      </c>
      <c r="I228" s="2"/>
      <c r="J228" s="2"/>
      <c r="K228" s="2"/>
      <c r="L228" s="2"/>
      <c r="M228" s="2"/>
      <c r="N228" s="2"/>
      <c r="O228" s="2">
        <f t="shared" ref="O228:T228" si="146">ROUND(AB228,2)</f>
        <v>46523.76</v>
      </c>
      <c r="P228" s="2">
        <f t="shared" si="146"/>
        <v>1390.76</v>
      </c>
      <c r="Q228" s="2">
        <f t="shared" si="146"/>
        <v>18646.580000000002</v>
      </c>
      <c r="R228" s="2">
        <f t="shared" si="146"/>
        <v>3140.72</v>
      </c>
      <c r="S228" s="2">
        <f t="shared" si="146"/>
        <v>26486.42</v>
      </c>
      <c r="T228" s="2">
        <f t="shared" si="146"/>
        <v>0</v>
      </c>
      <c r="U228" s="2">
        <f>AH228</f>
        <v>105.911624</v>
      </c>
      <c r="V228" s="2">
        <f>AI228</f>
        <v>0</v>
      </c>
      <c r="W228" s="2">
        <f>ROUND(AJ228,2)</f>
        <v>0</v>
      </c>
      <c r="X228" s="2">
        <f>ROUND(AK228,2)</f>
        <v>27016.15</v>
      </c>
      <c r="Y228" s="2">
        <f>ROUND(AL228,2)</f>
        <v>12448.62</v>
      </c>
      <c r="Z228" s="2"/>
      <c r="AA228" s="2"/>
      <c r="AB228" s="2">
        <f>ROUND(SUMIF(AA225:AA226,"=49688178",O225:O226),2)</f>
        <v>46523.76</v>
      </c>
      <c r="AC228" s="2">
        <f>ROUND(SUMIF(AA225:AA226,"=49688178",P225:P226),2)</f>
        <v>1390.76</v>
      </c>
      <c r="AD228" s="2">
        <f>ROUND(SUMIF(AA225:AA226,"=49688178",Q225:Q226),2)</f>
        <v>18646.580000000002</v>
      </c>
      <c r="AE228" s="2">
        <f>ROUND(SUMIF(AA225:AA226,"=49688178",R225:R226),2)</f>
        <v>3140.72</v>
      </c>
      <c r="AF228" s="2">
        <f>ROUND(SUMIF(AA225:AA226,"=49688178",S225:S226),2)</f>
        <v>26486.42</v>
      </c>
      <c r="AG228" s="2">
        <f>ROUND(SUMIF(AA225:AA226,"=49688178",T225:T226),2)</f>
        <v>0</v>
      </c>
      <c r="AH228" s="2">
        <f>SUMIF(AA225:AA226,"=49688178",U225:U226)</f>
        <v>105.911624</v>
      </c>
      <c r="AI228" s="2">
        <f>SUMIF(AA225:AA226,"=49688178",V225:V226)</f>
        <v>0</v>
      </c>
      <c r="AJ228" s="2">
        <f>ROUND(SUMIF(AA225:AA226,"=49688178",W225:W226),2)</f>
        <v>0</v>
      </c>
      <c r="AK228" s="2">
        <f>ROUND(SUMIF(AA225:AA226,"=49688178",X225:X226),2)</f>
        <v>27016.15</v>
      </c>
      <c r="AL228" s="2">
        <f>ROUND(SUMIF(AA225:AA226,"=49688178",Y225:Y226),2)</f>
        <v>12448.62</v>
      </c>
      <c r="AM228" s="2"/>
      <c r="AN228" s="2"/>
      <c r="AO228" s="2">
        <f t="shared" ref="AO228:BD228" si="147">ROUND(BX228,2)</f>
        <v>0</v>
      </c>
      <c r="AP228" s="2">
        <f t="shared" si="147"/>
        <v>0</v>
      </c>
      <c r="AQ228" s="2">
        <f t="shared" si="147"/>
        <v>0</v>
      </c>
      <c r="AR228" s="2">
        <f t="shared" si="147"/>
        <v>90919.46</v>
      </c>
      <c r="AS228" s="2">
        <f t="shared" si="147"/>
        <v>90919.46</v>
      </c>
      <c r="AT228" s="2">
        <f t="shared" si="147"/>
        <v>0</v>
      </c>
      <c r="AU228" s="2">
        <f t="shared" si="147"/>
        <v>0</v>
      </c>
      <c r="AV228" s="2">
        <f t="shared" si="147"/>
        <v>1390.76</v>
      </c>
      <c r="AW228" s="2">
        <f t="shared" si="147"/>
        <v>1390.76</v>
      </c>
      <c r="AX228" s="2">
        <f t="shared" si="147"/>
        <v>0</v>
      </c>
      <c r="AY228" s="2">
        <f t="shared" si="147"/>
        <v>1390.76</v>
      </c>
      <c r="AZ228" s="2">
        <f t="shared" si="147"/>
        <v>0</v>
      </c>
      <c r="BA228" s="2">
        <f t="shared" si="147"/>
        <v>0</v>
      </c>
      <c r="BB228" s="2">
        <f t="shared" si="147"/>
        <v>0</v>
      </c>
      <c r="BC228" s="2">
        <f t="shared" si="147"/>
        <v>0</v>
      </c>
      <c r="BD228" s="2">
        <f t="shared" si="147"/>
        <v>0</v>
      </c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>
        <f>ROUND(SUMIF(AA225:AA226,"=49688178",FQ225:FQ226),2)</f>
        <v>0</v>
      </c>
      <c r="BY228" s="2">
        <f>ROUND(SUMIF(AA225:AA226,"=49688178",FR225:FR226),2)</f>
        <v>0</v>
      </c>
      <c r="BZ228" s="2">
        <f>ROUND(SUMIF(AA225:AA226,"=49688178",GL225:GL226),2)</f>
        <v>0</v>
      </c>
      <c r="CA228" s="2">
        <f>ROUND(SUMIF(AA225:AA226,"=49688178",GM225:GM226),2)</f>
        <v>90919.46</v>
      </c>
      <c r="CB228" s="2">
        <f>ROUND(SUMIF(AA225:AA226,"=49688178",GN225:GN226),2)</f>
        <v>90919.46</v>
      </c>
      <c r="CC228" s="2">
        <f>ROUND(SUMIF(AA225:AA226,"=49688178",GO225:GO226),2)</f>
        <v>0</v>
      </c>
      <c r="CD228" s="2">
        <f>ROUND(SUMIF(AA225:AA226,"=49688178",GP225:GP226),2)</f>
        <v>0</v>
      </c>
      <c r="CE228" s="2">
        <f>AC228-BX228</f>
        <v>1390.76</v>
      </c>
      <c r="CF228" s="2">
        <f>AC228-BY228</f>
        <v>1390.76</v>
      </c>
      <c r="CG228" s="2">
        <f>BX228-BZ228</f>
        <v>0</v>
      </c>
      <c r="CH228" s="2">
        <f>AC228-BX228-BY228+BZ228</f>
        <v>1390.76</v>
      </c>
      <c r="CI228" s="2">
        <f>BY228-BZ228</f>
        <v>0</v>
      </c>
      <c r="CJ228" s="2">
        <f>ROUND(SUMIF(AA225:AA226,"=49688178",GX225:GX226),2)</f>
        <v>0</v>
      </c>
      <c r="CK228" s="2">
        <f>ROUND(SUMIF(AA225:AA226,"=49688178",GY225:GY226),2)</f>
        <v>0</v>
      </c>
      <c r="CL228" s="2">
        <f>ROUND(SUMIF(AA225:AA226,"=49688178",GZ225:GZ226),2)</f>
        <v>0</v>
      </c>
      <c r="CM228" s="2">
        <f>ROUND(SUMIF(AA225:AA226,"=49688178",HD225:HD226),2)</f>
        <v>0</v>
      </c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>
        <v>0</v>
      </c>
    </row>
    <row r="230" spans="1:245" x14ac:dyDescent="0.2">
      <c r="A230" s="4">
        <v>50</v>
      </c>
      <c r="B230" s="4">
        <v>0</v>
      </c>
      <c r="C230" s="4">
        <v>0</v>
      </c>
      <c r="D230" s="4">
        <v>1</v>
      </c>
      <c r="E230" s="4">
        <v>201</v>
      </c>
      <c r="F230" s="4">
        <f>ROUND(Source!O228,O230)</f>
        <v>46523.76</v>
      </c>
      <c r="G230" s="4" t="s">
        <v>51</v>
      </c>
      <c r="H230" s="4" t="s">
        <v>52</v>
      </c>
      <c r="I230" s="4"/>
      <c r="J230" s="4"/>
      <c r="K230" s="4">
        <v>201</v>
      </c>
      <c r="L230" s="4">
        <v>1</v>
      </c>
      <c r="M230" s="4">
        <v>3</v>
      </c>
      <c r="N230" s="4" t="s">
        <v>5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45" x14ac:dyDescent="0.2">
      <c r="A231" s="4">
        <v>50</v>
      </c>
      <c r="B231" s="4">
        <v>0</v>
      </c>
      <c r="C231" s="4">
        <v>0</v>
      </c>
      <c r="D231" s="4">
        <v>1</v>
      </c>
      <c r="E231" s="4">
        <v>202</v>
      </c>
      <c r="F231" s="4">
        <f>ROUND(Source!P228,O231)</f>
        <v>1390.76</v>
      </c>
      <c r="G231" s="4" t="s">
        <v>53</v>
      </c>
      <c r="H231" s="4" t="s">
        <v>54</v>
      </c>
      <c r="I231" s="4"/>
      <c r="J231" s="4"/>
      <c r="K231" s="4">
        <v>202</v>
      </c>
      <c r="L231" s="4">
        <v>2</v>
      </c>
      <c r="M231" s="4">
        <v>3</v>
      </c>
      <c r="N231" s="4" t="s">
        <v>5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45" x14ac:dyDescent="0.2">
      <c r="A232" s="4">
        <v>50</v>
      </c>
      <c r="B232" s="4">
        <v>0</v>
      </c>
      <c r="C232" s="4">
        <v>0</v>
      </c>
      <c r="D232" s="4">
        <v>1</v>
      </c>
      <c r="E232" s="4">
        <v>222</v>
      </c>
      <c r="F232" s="4">
        <f>ROUND(Source!AO228,O232)</f>
        <v>0</v>
      </c>
      <c r="G232" s="4" t="s">
        <v>55</v>
      </c>
      <c r="H232" s="4" t="s">
        <v>56</v>
      </c>
      <c r="I232" s="4"/>
      <c r="J232" s="4"/>
      <c r="K232" s="4">
        <v>222</v>
      </c>
      <c r="L232" s="4">
        <v>3</v>
      </c>
      <c r="M232" s="4">
        <v>3</v>
      </c>
      <c r="N232" s="4" t="s">
        <v>5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45" x14ac:dyDescent="0.2">
      <c r="A233" s="4">
        <v>50</v>
      </c>
      <c r="B233" s="4">
        <v>0</v>
      </c>
      <c r="C233" s="4">
        <v>0</v>
      </c>
      <c r="D233" s="4">
        <v>1</v>
      </c>
      <c r="E233" s="4">
        <v>225</v>
      </c>
      <c r="F233" s="4">
        <f>ROUND(Source!AV228,O233)</f>
        <v>1390.76</v>
      </c>
      <c r="G233" s="4" t="s">
        <v>57</v>
      </c>
      <c r="H233" s="4" t="s">
        <v>58</v>
      </c>
      <c r="I233" s="4"/>
      <c r="J233" s="4"/>
      <c r="K233" s="4">
        <v>225</v>
      </c>
      <c r="L233" s="4">
        <v>4</v>
      </c>
      <c r="M233" s="4">
        <v>3</v>
      </c>
      <c r="N233" s="4" t="s">
        <v>5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45" x14ac:dyDescent="0.2">
      <c r="A234" s="4">
        <v>50</v>
      </c>
      <c r="B234" s="4">
        <v>0</v>
      </c>
      <c r="C234" s="4">
        <v>0</v>
      </c>
      <c r="D234" s="4">
        <v>1</v>
      </c>
      <c r="E234" s="4">
        <v>226</v>
      </c>
      <c r="F234" s="4">
        <f>ROUND(Source!AW228,O234)</f>
        <v>1390.76</v>
      </c>
      <c r="G234" s="4" t="s">
        <v>59</v>
      </c>
      <c r="H234" s="4" t="s">
        <v>60</v>
      </c>
      <c r="I234" s="4"/>
      <c r="J234" s="4"/>
      <c r="K234" s="4">
        <v>226</v>
      </c>
      <c r="L234" s="4">
        <v>5</v>
      </c>
      <c r="M234" s="4">
        <v>3</v>
      </c>
      <c r="N234" s="4" t="s">
        <v>5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45" x14ac:dyDescent="0.2">
      <c r="A235" s="4">
        <v>50</v>
      </c>
      <c r="B235" s="4">
        <v>0</v>
      </c>
      <c r="C235" s="4">
        <v>0</v>
      </c>
      <c r="D235" s="4">
        <v>1</v>
      </c>
      <c r="E235" s="4">
        <v>227</v>
      </c>
      <c r="F235" s="4">
        <f>ROUND(Source!AX228,O235)</f>
        <v>0</v>
      </c>
      <c r="G235" s="4" t="s">
        <v>61</v>
      </c>
      <c r="H235" s="4" t="s">
        <v>62</v>
      </c>
      <c r="I235" s="4"/>
      <c r="J235" s="4"/>
      <c r="K235" s="4">
        <v>227</v>
      </c>
      <c r="L235" s="4">
        <v>6</v>
      </c>
      <c r="M235" s="4">
        <v>3</v>
      </c>
      <c r="N235" s="4" t="s">
        <v>5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45" x14ac:dyDescent="0.2">
      <c r="A236" s="4">
        <v>50</v>
      </c>
      <c r="B236" s="4">
        <v>0</v>
      </c>
      <c r="C236" s="4">
        <v>0</v>
      </c>
      <c r="D236" s="4">
        <v>1</v>
      </c>
      <c r="E236" s="4">
        <v>228</v>
      </c>
      <c r="F236" s="4">
        <f>ROUND(Source!AY228,O236)</f>
        <v>1390.76</v>
      </c>
      <c r="G236" s="4" t="s">
        <v>63</v>
      </c>
      <c r="H236" s="4" t="s">
        <v>64</v>
      </c>
      <c r="I236" s="4"/>
      <c r="J236" s="4"/>
      <c r="K236" s="4">
        <v>228</v>
      </c>
      <c r="L236" s="4">
        <v>7</v>
      </c>
      <c r="M236" s="4">
        <v>3</v>
      </c>
      <c r="N236" s="4" t="s">
        <v>5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45" x14ac:dyDescent="0.2">
      <c r="A237" s="4">
        <v>50</v>
      </c>
      <c r="B237" s="4">
        <v>0</v>
      </c>
      <c r="C237" s="4">
        <v>0</v>
      </c>
      <c r="D237" s="4">
        <v>1</v>
      </c>
      <c r="E237" s="4">
        <v>216</v>
      </c>
      <c r="F237" s="4">
        <f>ROUND(Source!AP228,O237)</f>
        <v>0</v>
      </c>
      <c r="G237" s="4" t="s">
        <v>65</v>
      </c>
      <c r="H237" s="4" t="s">
        <v>66</v>
      </c>
      <c r="I237" s="4"/>
      <c r="J237" s="4"/>
      <c r="K237" s="4">
        <v>216</v>
      </c>
      <c r="L237" s="4">
        <v>8</v>
      </c>
      <c r="M237" s="4">
        <v>3</v>
      </c>
      <c r="N237" s="4" t="s">
        <v>5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45" x14ac:dyDescent="0.2">
      <c r="A238" s="4">
        <v>50</v>
      </c>
      <c r="B238" s="4">
        <v>0</v>
      </c>
      <c r="C238" s="4">
        <v>0</v>
      </c>
      <c r="D238" s="4">
        <v>1</v>
      </c>
      <c r="E238" s="4">
        <v>223</v>
      </c>
      <c r="F238" s="4">
        <f>ROUND(Source!AQ228,O238)</f>
        <v>0</v>
      </c>
      <c r="G238" s="4" t="s">
        <v>67</v>
      </c>
      <c r="H238" s="4" t="s">
        <v>68</v>
      </c>
      <c r="I238" s="4"/>
      <c r="J238" s="4"/>
      <c r="K238" s="4">
        <v>223</v>
      </c>
      <c r="L238" s="4">
        <v>9</v>
      </c>
      <c r="M238" s="4">
        <v>3</v>
      </c>
      <c r="N238" s="4" t="s">
        <v>5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45" x14ac:dyDescent="0.2">
      <c r="A239" s="4">
        <v>50</v>
      </c>
      <c r="B239" s="4">
        <v>0</v>
      </c>
      <c r="C239" s="4">
        <v>0</v>
      </c>
      <c r="D239" s="4">
        <v>1</v>
      </c>
      <c r="E239" s="4">
        <v>229</v>
      </c>
      <c r="F239" s="4">
        <f>ROUND(Source!AZ228,O239)</f>
        <v>0</v>
      </c>
      <c r="G239" s="4" t="s">
        <v>69</v>
      </c>
      <c r="H239" s="4" t="s">
        <v>70</v>
      </c>
      <c r="I239" s="4"/>
      <c r="J239" s="4"/>
      <c r="K239" s="4">
        <v>229</v>
      </c>
      <c r="L239" s="4">
        <v>10</v>
      </c>
      <c r="M239" s="4">
        <v>3</v>
      </c>
      <c r="N239" s="4" t="s">
        <v>5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45" x14ac:dyDescent="0.2">
      <c r="A240" s="4">
        <v>50</v>
      </c>
      <c r="B240" s="4">
        <v>0</v>
      </c>
      <c r="C240" s="4">
        <v>0</v>
      </c>
      <c r="D240" s="4">
        <v>1</v>
      </c>
      <c r="E240" s="4">
        <v>203</v>
      </c>
      <c r="F240" s="4">
        <f>ROUND(Source!Q228,O240)</f>
        <v>18646.580000000002</v>
      </c>
      <c r="G240" s="4" t="s">
        <v>71</v>
      </c>
      <c r="H240" s="4" t="s">
        <v>72</v>
      </c>
      <c r="I240" s="4"/>
      <c r="J240" s="4"/>
      <c r="K240" s="4">
        <v>203</v>
      </c>
      <c r="L240" s="4">
        <v>11</v>
      </c>
      <c r="M240" s="4">
        <v>3</v>
      </c>
      <c r="N240" s="4" t="s">
        <v>5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>
        <v>50</v>
      </c>
      <c r="B241" s="4">
        <v>0</v>
      </c>
      <c r="C241" s="4">
        <v>0</v>
      </c>
      <c r="D241" s="4">
        <v>1</v>
      </c>
      <c r="E241" s="4">
        <v>231</v>
      </c>
      <c r="F241" s="4">
        <f>ROUND(Source!BB228,O241)</f>
        <v>0</v>
      </c>
      <c r="G241" s="4" t="s">
        <v>73</v>
      </c>
      <c r="H241" s="4" t="s">
        <v>74</v>
      </c>
      <c r="I241" s="4"/>
      <c r="J241" s="4"/>
      <c r="K241" s="4">
        <v>231</v>
      </c>
      <c r="L241" s="4">
        <v>12</v>
      </c>
      <c r="M241" s="4">
        <v>3</v>
      </c>
      <c r="N241" s="4" t="s">
        <v>5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>
        <v>50</v>
      </c>
      <c r="B242" s="4">
        <v>0</v>
      </c>
      <c r="C242" s="4">
        <v>0</v>
      </c>
      <c r="D242" s="4">
        <v>1</v>
      </c>
      <c r="E242" s="4">
        <v>204</v>
      </c>
      <c r="F242" s="4">
        <f>ROUND(Source!R228,O242)</f>
        <v>3140.72</v>
      </c>
      <c r="G242" s="4" t="s">
        <v>75</v>
      </c>
      <c r="H242" s="4" t="s">
        <v>76</v>
      </c>
      <c r="I242" s="4"/>
      <c r="J242" s="4"/>
      <c r="K242" s="4">
        <v>204</v>
      </c>
      <c r="L242" s="4">
        <v>13</v>
      </c>
      <c r="M242" s="4">
        <v>3</v>
      </c>
      <c r="N242" s="4" t="s">
        <v>5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>
        <v>50</v>
      </c>
      <c r="B243" s="4">
        <v>0</v>
      </c>
      <c r="C243" s="4">
        <v>0</v>
      </c>
      <c r="D243" s="4">
        <v>1</v>
      </c>
      <c r="E243" s="4">
        <v>205</v>
      </c>
      <c r="F243" s="4">
        <f>ROUND(Source!S228,O243)</f>
        <v>26486.42</v>
      </c>
      <c r="G243" s="4" t="s">
        <v>77</v>
      </c>
      <c r="H243" s="4" t="s">
        <v>78</v>
      </c>
      <c r="I243" s="4"/>
      <c r="J243" s="4"/>
      <c r="K243" s="4">
        <v>205</v>
      </c>
      <c r="L243" s="4">
        <v>14</v>
      </c>
      <c r="M243" s="4">
        <v>3</v>
      </c>
      <c r="N243" s="4" t="s">
        <v>5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>
        <v>50</v>
      </c>
      <c r="B244" s="4">
        <v>0</v>
      </c>
      <c r="C244" s="4">
        <v>0</v>
      </c>
      <c r="D244" s="4">
        <v>1</v>
      </c>
      <c r="E244" s="4">
        <v>232</v>
      </c>
      <c r="F244" s="4">
        <f>ROUND(Source!BC228,O244)</f>
        <v>0</v>
      </c>
      <c r="G244" s="4" t="s">
        <v>79</v>
      </c>
      <c r="H244" s="4" t="s">
        <v>80</v>
      </c>
      <c r="I244" s="4"/>
      <c r="J244" s="4"/>
      <c r="K244" s="4">
        <v>232</v>
      </c>
      <c r="L244" s="4">
        <v>15</v>
      </c>
      <c r="M244" s="4">
        <v>3</v>
      </c>
      <c r="N244" s="4" t="s">
        <v>5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>
        <v>50</v>
      </c>
      <c r="B245" s="4">
        <v>0</v>
      </c>
      <c r="C245" s="4">
        <v>0</v>
      </c>
      <c r="D245" s="4">
        <v>1</v>
      </c>
      <c r="E245" s="4">
        <v>214</v>
      </c>
      <c r="F245" s="4">
        <f>ROUND(Source!AS228,O245)</f>
        <v>90919.46</v>
      </c>
      <c r="G245" s="4" t="s">
        <v>81</v>
      </c>
      <c r="H245" s="4" t="s">
        <v>82</v>
      </c>
      <c r="I245" s="4"/>
      <c r="J245" s="4"/>
      <c r="K245" s="4">
        <v>214</v>
      </c>
      <c r="L245" s="4">
        <v>16</v>
      </c>
      <c r="M245" s="4">
        <v>3</v>
      </c>
      <c r="N245" s="4" t="s">
        <v>5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>
        <v>50</v>
      </c>
      <c r="B246" s="4">
        <v>0</v>
      </c>
      <c r="C246" s="4">
        <v>0</v>
      </c>
      <c r="D246" s="4">
        <v>1</v>
      </c>
      <c r="E246" s="4">
        <v>215</v>
      </c>
      <c r="F246" s="4">
        <f>ROUND(Source!AT228,O246)</f>
        <v>0</v>
      </c>
      <c r="G246" s="4" t="s">
        <v>83</v>
      </c>
      <c r="H246" s="4" t="s">
        <v>84</v>
      </c>
      <c r="I246" s="4"/>
      <c r="J246" s="4"/>
      <c r="K246" s="4">
        <v>215</v>
      </c>
      <c r="L246" s="4">
        <v>17</v>
      </c>
      <c r="M246" s="4">
        <v>3</v>
      </c>
      <c r="N246" s="4" t="s">
        <v>5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>
        <v>50</v>
      </c>
      <c r="B247" s="4">
        <v>0</v>
      </c>
      <c r="C247" s="4">
        <v>0</v>
      </c>
      <c r="D247" s="4">
        <v>1</v>
      </c>
      <c r="E247" s="4">
        <v>217</v>
      </c>
      <c r="F247" s="4">
        <f>ROUND(Source!AU228,O247)</f>
        <v>0</v>
      </c>
      <c r="G247" s="4" t="s">
        <v>85</v>
      </c>
      <c r="H247" s="4" t="s">
        <v>86</v>
      </c>
      <c r="I247" s="4"/>
      <c r="J247" s="4"/>
      <c r="K247" s="4">
        <v>217</v>
      </c>
      <c r="L247" s="4">
        <v>18</v>
      </c>
      <c r="M247" s="4">
        <v>3</v>
      </c>
      <c r="N247" s="4" t="s">
        <v>5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>
        <v>50</v>
      </c>
      <c r="B248" s="4">
        <v>0</v>
      </c>
      <c r="C248" s="4">
        <v>0</v>
      </c>
      <c r="D248" s="4">
        <v>1</v>
      </c>
      <c r="E248" s="4">
        <v>230</v>
      </c>
      <c r="F248" s="4">
        <f>ROUND(Source!BA228,O248)</f>
        <v>0</v>
      </c>
      <c r="G248" s="4" t="s">
        <v>87</v>
      </c>
      <c r="H248" s="4" t="s">
        <v>88</v>
      </c>
      <c r="I248" s="4"/>
      <c r="J248" s="4"/>
      <c r="K248" s="4">
        <v>230</v>
      </c>
      <c r="L248" s="4">
        <v>19</v>
      </c>
      <c r="M248" s="4">
        <v>3</v>
      </c>
      <c r="N248" s="4" t="s">
        <v>5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>
        <v>50</v>
      </c>
      <c r="B249" s="4">
        <v>0</v>
      </c>
      <c r="C249" s="4">
        <v>0</v>
      </c>
      <c r="D249" s="4">
        <v>1</v>
      </c>
      <c r="E249" s="4">
        <v>206</v>
      </c>
      <c r="F249" s="4">
        <f>ROUND(Source!T228,O249)</f>
        <v>0</v>
      </c>
      <c r="G249" s="4" t="s">
        <v>89</v>
      </c>
      <c r="H249" s="4" t="s">
        <v>90</v>
      </c>
      <c r="I249" s="4"/>
      <c r="J249" s="4"/>
      <c r="K249" s="4">
        <v>206</v>
      </c>
      <c r="L249" s="4">
        <v>20</v>
      </c>
      <c r="M249" s="4">
        <v>3</v>
      </c>
      <c r="N249" s="4" t="s">
        <v>5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>
        <v>50</v>
      </c>
      <c r="B250" s="4">
        <v>0</v>
      </c>
      <c r="C250" s="4">
        <v>0</v>
      </c>
      <c r="D250" s="4">
        <v>1</v>
      </c>
      <c r="E250" s="4">
        <v>207</v>
      </c>
      <c r="F250" s="4">
        <f>Source!U228</f>
        <v>105.911624</v>
      </c>
      <c r="G250" s="4" t="s">
        <v>91</v>
      </c>
      <c r="H250" s="4" t="s">
        <v>92</v>
      </c>
      <c r="I250" s="4"/>
      <c r="J250" s="4"/>
      <c r="K250" s="4">
        <v>207</v>
      </c>
      <c r="L250" s="4">
        <v>21</v>
      </c>
      <c r="M250" s="4">
        <v>3</v>
      </c>
      <c r="N250" s="4" t="s">
        <v>5</v>
      </c>
      <c r="O250" s="4">
        <v>-1</v>
      </c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>
        <v>50</v>
      </c>
      <c r="B251" s="4">
        <v>0</v>
      </c>
      <c r="C251" s="4">
        <v>0</v>
      </c>
      <c r="D251" s="4">
        <v>1</v>
      </c>
      <c r="E251" s="4">
        <v>208</v>
      </c>
      <c r="F251" s="4">
        <f>Source!V228</f>
        <v>0</v>
      </c>
      <c r="G251" s="4" t="s">
        <v>93</v>
      </c>
      <c r="H251" s="4" t="s">
        <v>94</v>
      </c>
      <c r="I251" s="4"/>
      <c r="J251" s="4"/>
      <c r="K251" s="4">
        <v>208</v>
      </c>
      <c r="L251" s="4">
        <v>22</v>
      </c>
      <c r="M251" s="4">
        <v>3</v>
      </c>
      <c r="N251" s="4" t="s">
        <v>5</v>
      </c>
      <c r="O251" s="4">
        <v>-1</v>
      </c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>
        <v>50</v>
      </c>
      <c r="B252" s="4">
        <v>0</v>
      </c>
      <c r="C252" s="4">
        <v>0</v>
      </c>
      <c r="D252" s="4">
        <v>1</v>
      </c>
      <c r="E252" s="4">
        <v>209</v>
      </c>
      <c r="F252" s="4">
        <f>ROUND(Source!W228,O252)</f>
        <v>0</v>
      </c>
      <c r="G252" s="4" t="s">
        <v>95</v>
      </c>
      <c r="H252" s="4" t="s">
        <v>96</v>
      </c>
      <c r="I252" s="4"/>
      <c r="J252" s="4"/>
      <c r="K252" s="4">
        <v>209</v>
      </c>
      <c r="L252" s="4">
        <v>23</v>
      </c>
      <c r="M252" s="4">
        <v>3</v>
      </c>
      <c r="N252" s="4" t="s">
        <v>5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>
        <v>50</v>
      </c>
      <c r="B253" s="4">
        <v>0</v>
      </c>
      <c r="C253" s="4">
        <v>0</v>
      </c>
      <c r="D253" s="4">
        <v>1</v>
      </c>
      <c r="E253" s="4">
        <v>233</v>
      </c>
      <c r="F253" s="4">
        <f>ROUND(Source!BD228,O253)</f>
        <v>0</v>
      </c>
      <c r="G253" s="4" t="s">
        <v>97</v>
      </c>
      <c r="H253" s="4" t="s">
        <v>98</v>
      </c>
      <c r="I253" s="4"/>
      <c r="J253" s="4"/>
      <c r="K253" s="4">
        <v>233</v>
      </c>
      <c r="L253" s="4">
        <v>24</v>
      </c>
      <c r="M253" s="4">
        <v>3</v>
      </c>
      <c r="N253" s="4" t="s">
        <v>5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>
        <v>50</v>
      </c>
      <c r="B254" s="4">
        <v>0</v>
      </c>
      <c r="C254" s="4">
        <v>0</v>
      </c>
      <c r="D254" s="4">
        <v>1</v>
      </c>
      <c r="E254" s="4">
        <v>210</v>
      </c>
      <c r="F254" s="4">
        <f>ROUND(Source!X228,O254)</f>
        <v>27016.15</v>
      </c>
      <c r="G254" s="4" t="s">
        <v>99</v>
      </c>
      <c r="H254" s="4" t="s">
        <v>100</v>
      </c>
      <c r="I254" s="4"/>
      <c r="J254" s="4"/>
      <c r="K254" s="4">
        <v>210</v>
      </c>
      <c r="L254" s="4">
        <v>25</v>
      </c>
      <c r="M254" s="4">
        <v>3</v>
      </c>
      <c r="N254" s="4" t="s">
        <v>5</v>
      </c>
      <c r="O254" s="4">
        <v>2</v>
      </c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>
        <v>50</v>
      </c>
      <c r="B255" s="4">
        <v>0</v>
      </c>
      <c r="C255" s="4">
        <v>0</v>
      </c>
      <c r="D255" s="4">
        <v>1</v>
      </c>
      <c r="E255" s="4">
        <v>211</v>
      </c>
      <c r="F255" s="4">
        <f>ROUND(Source!Y228,O255)</f>
        <v>12448.62</v>
      </c>
      <c r="G255" s="4" t="s">
        <v>101</v>
      </c>
      <c r="H255" s="4" t="s">
        <v>102</v>
      </c>
      <c r="I255" s="4"/>
      <c r="J255" s="4"/>
      <c r="K255" s="4">
        <v>211</v>
      </c>
      <c r="L255" s="4">
        <v>26</v>
      </c>
      <c r="M255" s="4">
        <v>3</v>
      </c>
      <c r="N255" s="4" t="s">
        <v>5</v>
      </c>
      <c r="O255" s="4">
        <v>2</v>
      </c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>
        <v>50</v>
      </c>
      <c r="B256" s="4">
        <v>0</v>
      </c>
      <c r="C256" s="4">
        <v>0</v>
      </c>
      <c r="D256" s="4">
        <v>1</v>
      </c>
      <c r="E256" s="4">
        <v>224</v>
      </c>
      <c r="F256" s="4">
        <f>ROUND(Source!AR228,O256)</f>
        <v>90919.46</v>
      </c>
      <c r="G256" s="4" t="s">
        <v>103</v>
      </c>
      <c r="H256" s="4" t="s">
        <v>104</v>
      </c>
      <c r="I256" s="4"/>
      <c r="J256" s="4"/>
      <c r="K256" s="4">
        <v>224</v>
      </c>
      <c r="L256" s="4">
        <v>27</v>
      </c>
      <c r="M256" s="4">
        <v>3</v>
      </c>
      <c r="N256" s="4" t="s">
        <v>5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8" spans="1:206" x14ac:dyDescent="0.2">
      <c r="A258" s="2">
        <v>51</v>
      </c>
      <c r="B258" s="2">
        <f>B20</f>
        <v>1</v>
      </c>
      <c r="C258" s="2">
        <f>A20</f>
        <v>3</v>
      </c>
      <c r="D258" s="2">
        <f>ROW(A20)</f>
        <v>20</v>
      </c>
      <c r="E258" s="2"/>
      <c r="F258" s="2" t="str">
        <f>IF(F20&lt;&gt;"",F20,"")</f>
        <v>Новая локальная смета</v>
      </c>
      <c r="G258" s="2" t="str">
        <f>IF(G20&lt;&gt;"",G20,"")</f>
        <v>Посадка деревьев с комом земли 1,5х1,5х0,65 м, 1,0х1,0х0,6 м, восстановление отпада и уходные работы</v>
      </c>
      <c r="H258" s="2">
        <v>0</v>
      </c>
      <c r="I258" s="2"/>
      <c r="J258" s="2"/>
      <c r="K258" s="2"/>
      <c r="L258" s="2"/>
      <c r="M258" s="2"/>
      <c r="N258" s="2"/>
      <c r="O258" s="2">
        <f t="shared" ref="O258:T258" si="148">ROUND(O36+O74+O111+O153+O191+O228+AB258,2)</f>
        <v>41742345.810000002</v>
      </c>
      <c r="P258" s="2">
        <f t="shared" si="148"/>
        <v>8958172.2899999991</v>
      </c>
      <c r="Q258" s="2">
        <f t="shared" si="148"/>
        <v>7732174.5300000003</v>
      </c>
      <c r="R258" s="2">
        <f t="shared" si="148"/>
        <v>2133171.54</v>
      </c>
      <c r="S258" s="2">
        <f t="shared" si="148"/>
        <v>25051998.989999998</v>
      </c>
      <c r="T258" s="2">
        <f t="shared" si="148"/>
        <v>0</v>
      </c>
      <c r="U258" s="2">
        <f>U36+U74+U111+U153+U191+U228+AH258</f>
        <v>91515.808717000007</v>
      </c>
      <c r="V258" s="2">
        <f>V36+V74+V111+V153+V191+V228+AI258</f>
        <v>0</v>
      </c>
      <c r="W258" s="2">
        <f>ROUND(W36+W74+W111+W153+W191+W228+AJ258,2)</f>
        <v>0</v>
      </c>
      <c r="X258" s="2">
        <f>ROUND(X36+X74+X111+X153+X191+X228+AK258,2)</f>
        <v>25547606.870000001</v>
      </c>
      <c r="Y258" s="2">
        <f>ROUND(Y36+Y74+Y111+Y153+Y191+Y228+AL258,2)</f>
        <v>11776069.17</v>
      </c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>
        <f t="shared" ref="AO258:BD258" si="149">ROUND(AO36+AO74+AO111+AO153+AO191+AO228+BX258,2)</f>
        <v>0</v>
      </c>
      <c r="AP258" s="2">
        <f t="shared" si="149"/>
        <v>0</v>
      </c>
      <c r="AQ258" s="2">
        <f t="shared" si="149"/>
        <v>0</v>
      </c>
      <c r="AR258" s="2">
        <f t="shared" si="149"/>
        <v>82415101.170000002</v>
      </c>
      <c r="AS258" s="2">
        <f t="shared" si="149"/>
        <v>82415101.170000002</v>
      </c>
      <c r="AT258" s="2">
        <f t="shared" si="149"/>
        <v>0</v>
      </c>
      <c r="AU258" s="2">
        <f t="shared" si="149"/>
        <v>0</v>
      </c>
      <c r="AV258" s="2">
        <f t="shared" si="149"/>
        <v>8958172.2899999991</v>
      </c>
      <c r="AW258" s="2">
        <f t="shared" si="149"/>
        <v>8958172.2899999991</v>
      </c>
      <c r="AX258" s="2">
        <f t="shared" si="149"/>
        <v>0</v>
      </c>
      <c r="AY258" s="2">
        <f t="shared" si="149"/>
        <v>8958172.2899999991</v>
      </c>
      <c r="AZ258" s="2">
        <f t="shared" si="149"/>
        <v>0</v>
      </c>
      <c r="BA258" s="2">
        <f t="shared" si="149"/>
        <v>0</v>
      </c>
      <c r="BB258" s="2">
        <f t="shared" si="149"/>
        <v>0</v>
      </c>
      <c r="BC258" s="2">
        <f t="shared" si="149"/>
        <v>0</v>
      </c>
      <c r="BD258" s="2">
        <f t="shared" si="149"/>
        <v>0</v>
      </c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>
        <v>0</v>
      </c>
    </row>
    <row r="260" spans="1:206" x14ac:dyDescent="0.2">
      <c r="A260" s="4">
        <v>50</v>
      </c>
      <c r="B260" s="4">
        <v>0</v>
      </c>
      <c r="C260" s="4">
        <v>0</v>
      </c>
      <c r="D260" s="4">
        <v>1</v>
      </c>
      <c r="E260" s="4">
        <v>201</v>
      </c>
      <c r="F260" s="4">
        <f>ROUND(Source!O258,O260)</f>
        <v>41742345.810000002</v>
      </c>
      <c r="G260" s="4" t="s">
        <v>51</v>
      </c>
      <c r="H260" s="4" t="s">
        <v>52</v>
      </c>
      <c r="I260" s="4"/>
      <c r="J260" s="4"/>
      <c r="K260" s="4">
        <v>201</v>
      </c>
      <c r="L260" s="4">
        <v>1</v>
      </c>
      <c r="M260" s="4">
        <v>3</v>
      </c>
      <c r="N260" s="4" t="s">
        <v>5</v>
      </c>
      <c r="O260" s="4">
        <v>2</v>
      </c>
      <c r="P260" s="4"/>
      <c r="Q260" s="4"/>
      <c r="R260" s="4"/>
      <c r="S260" s="4"/>
      <c r="T260" s="4"/>
      <c r="U260" s="4"/>
      <c r="V260" s="4"/>
      <c r="W260" s="4"/>
    </row>
    <row r="261" spans="1:206" x14ac:dyDescent="0.2">
      <c r="A261" s="4">
        <v>50</v>
      </c>
      <c r="B261" s="4">
        <v>0</v>
      </c>
      <c r="C261" s="4">
        <v>0</v>
      </c>
      <c r="D261" s="4">
        <v>1</v>
      </c>
      <c r="E261" s="4">
        <v>202</v>
      </c>
      <c r="F261" s="4">
        <f>ROUND(Source!P258,O261)</f>
        <v>8958172.2899999991</v>
      </c>
      <c r="G261" s="4" t="s">
        <v>53</v>
      </c>
      <c r="H261" s="4" t="s">
        <v>54</v>
      </c>
      <c r="I261" s="4"/>
      <c r="J261" s="4"/>
      <c r="K261" s="4">
        <v>202</v>
      </c>
      <c r="L261" s="4">
        <v>2</v>
      </c>
      <c r="M261" s="4">
        <v>3</v>
      </c>
      <c r="N261" s="4" t="s">
        <v>5</v>
      </c>
      <c r="O261" s="4">
        <v>2</v>
      </c>
      <c r="P261" s="4"/>
      <c r="Q261" s="4"/>
      <c r="R261" s="4"/>
      <c r="S261" s="4"/>
      <c r="T261" s="4"/>
      <c r="U261" s="4"/>
      <c r="V261" s="4"/>
      <c r="W261" s="4"/>
    </row>
    <row r="262" spans="1:206" x14ac:dyDescent="0.2">
      <c r="A262" s="4">
        <v>50</v>
      </c>
      <c r="B262" s="4">
        <v>0</v>
      </c>
      <c r="C262" s="4">
        <v>0</v>
      </c>
      <c r="D262" s="4">
        <v>1</v>
      </c>
      <c r="E262" s="4">
        <v>222</v>
      </c>
      <c r="F262" s="4">
        <f>ROUND(Source!AO258,O262)</f>
        <v>0</v>
      </c>
      <c r="G262" s="4" t="s">
        <v>55</v>
      </c>
      <c r="H262" s="4" t="s">
        <v>56</v>
      </c>
      <c r="I262" s="4"/>
      <c r="J262" s="4"/>
      <c r="K262" s="4">
        <v>222</v>
      </c>
      <c r="L262" s="4">
        <v>3</v>
      </c>
      <c r="M262" s="4">
        <v>3</v>
      </c>
      <c r="N262" s="4" t="s">
        <v>5</v>
      </c>
      <c r="O262" s="4">
        <v>2</v>
      </c>
      <c r="P262" s="4"/>
      <c r="Q262" s="4"/>
      <c r="R262" s="4"/>
      <c r="S262" s="4"/>
      <c r="T262" s="4"/>
      <c r="U262" s="4"/>
      <c r="V262" s="4"/>
      <c r="W262" s="4"/>
    </row>
    <row r="263" spans="1:206" x14ac:dyDescent="0.2">
      <c r="A263" s="4">
        <v>50</v>
      </c>
      <c r="B263" s="4">
        <v>0</v>
      </c>
      <c r="C263" s="4">
        <v>0</v>
      </c>
      <c r="D263" s="4">
        <v>1</v>
      </c>
      <c r="E263" s="4">
        <v>225</v>
      </c>
      <c r="F263" s="4">
        <f>ROUND(Source!AV258,O263)</f>
        <v>8958172.2899999991</v>
      </c>
      <c r="G263" s="4" t="s">
        <v>57</v>
      </c>
      <c r="H263" s="4" t="s">
        <v>58</v>
      </c>
      <c r="I263" s="4"/>
      <c r="J263" s="4"/>
      <c r="K263" s="4">
        <v>225</v>
      </c>
      <c r="L263" s="4">
        <v>4</v>
      </c>
      <c r="M263" s="4">
        <v>3</v>
      </c>
      <c r="N263" s="4" t="s">
        <v>5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4" spans="1:206" x14ac:dyDescent="0.2">
      <c r="A264" s="4">
        <v>50</v>
      </c>
      <c r="B264" s="4">
        <v>0</v>
      </c>
      <c r="C264" s="4">
        <v>0</v>
      </c>
      <c r="D264" s="4">
        <v>1</v>
      </c>
      <c r="E264" s="4">
        <v>226</v>
      </c>
      <c r="F264" s="4">
        <f>ROUND(Source!AW258,O264)</f>
        <v>8958172.2899999991</v>
      </c>
      <c r="G264" s="4" t="s">
        <v>59</v>
      </c>
      <c r="H264" s="4" t="s">
        <v>60</v>
      </c>
      <c r="I264" s="4"/>
      <c r="J264" s="4"/>
      <c r="K264" s="4">
        <v>226</v>
      </c>
      <c r="L264" s="4">
        <v>5</v>
      </c>
      <c r="M264" s="4">
        <v>3</v>
      </c>
      <c r="N264" s="4" t="s">
        <v>5</v>
      </c>
      <c r="O264" s="4">
        <v>2</v>
      </c>
      <c r="P264" s="4"/>
      <c r="Q264" s="4"/>
      <c r="R264" s="4"/>
      <c r="S264" s="4"/>
      <c r="T264" s="4"/>
      <c r="U264" s="4"/>
      <c r="V264" s="4"/>
      <c r="W264" s="4"/>
    </row>
    <row r="265" spans="1:206" x14ac:dyDescent="0.2">
      <c r="A265" s="4">
        <v>50</v>
      </c>
      <c r="B265" s="4">
        <v>0</v>
      </c>
      <c r="C265" s="4">
        <v>0</v>
      </c>
      <c r="D265" s="4">
        <v>1</v>
      </c>
      <c r="E265" s="4">
        <v>227</v>
      </c>
      <c r="F265" s="4">
        <f>ROUND(Source!AX258,O265)</f>
        <v>0</v>
      </c>
      <c r="G265" s="4" t="s">
        <v>61</v>
      </c>
      <c r="H265" s="4" t="s">
        <v>62</v>
      </c>
      <c r="I265" s="4"/>
      <c r="J265" s="4"/>
      <c r="K265" s="4">
        <v>227</v>
      </c>
      <c r="L265" s="4">
        <v>6</v>
      </c>
      <c r="M265" s="4">
        <v>3</v>
      </c>
      <c r="N265" s="4" t="s">
        <v>5</v>
      </c>
      <c r="O265" s="4">
        <v>2</v>
      </c>
      <c r="P265" s="4"/>
      <c r="Q265" s="4"/>
      <c r="R265" s="4"/>
      <c r="S265" s="4"/>
      <c r="T265" s="4"/>
      <c r="U265" s="4"/>
      <c r="V265" s="4"/>
      <c r="W265" s="4"/>
    </row>
    <row r="266" spans="1:206" x14ac:dyDescent="0.2">
      <c r="A266" s="4">
        <v>50</v>
      </c>
      <c r="B266" s="4">
        <v>0</v>
      </c>
      <c r="C266" s="4">
        <v>0</v>
      </c>
      <c r="D266" s="4">
        <v>1</v>
      </c>
      <c r="E266" s="4">
        <v>228</v>
      </c>
      <c r="F266" s="4">
        <f>ROUND(Source!AY258,O266)</f>
        <v>8958172.2899999991</v>
      </c>
      <c r="G266" s="4" t="s">
        <v>63</v>
      </c>
      <c r="H266" s="4" t="s">
        <v>64</v>
      </c>
      <c r="I266" s="4"/>
      <c r="J266" s="4"/>
      <c r="K266" s="4">
        <v>228</v>
      </c>
      <c r="L266" s="4">
        <v>7</v>
      </c>
      <c r="M266" s="4">
        <v>3</v>
      </c>
      <c r="N266" s="4" t="s">
        <v>5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06" x14ac:dyDescent="0.2">
      <c r="A267" s="4">
        <v>50</v>
      </c>
      <c r="B267" s="4">
        <v>0</v>
      </c>
      <c r="C267" s="4">
        <v>0</v>
      </c>
      <c r="D267" s="4">
        <v>1</v>
      </c>
      <c r="E267" s="4">
        <v>216</v>
      </c>
      <c r="F267" s="4">
        <f>ROUND(Source!AP258,O267)</f>
        <v>0</v>
      </c>
      <c r="G267" s="4" t="s">
        <v>65</v>
      </c>
      <c r="H267" s="4" t="s">
        <v>66</v>
      </c>
      <c r="I267" s="4"/>
      <c r="J267" s="4"/>
      <c r="K267" s="4">
        <v>216</v>
      </c>
      <c r="L267" s="4">
        <v>8</v>
      </c>
      <c r="M267" s="4">
        <v>3</v>
      </c>
      <c r="N267" s="4" t="s">
        <v>5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</row>
    <row r="268" spans="1:206" x14ac:dyDescent="0.2">
      <c r="A268" s="4">
        <v>50</v>
      </c>
      <c r="B268" s="4">
        <v>0</v>
      </c>
      <c r="C268" s="4">
        <v>0</v>
      </c>
      <c r="D268" s="4">
        <v>1</v>
      </c>
      <c r="E268" s="4">
        <v>223</v>
      </c>
      <c r="F268" s="4">
        <f>ROUND(Source!AQ258,O268)</f>
        <v>0</v>
      </c>
      <c r="G268" s="4" t="s">
        <v>67</v>
      </c>
      <c r="H268" s="4" t="s">
        <v>68</v>
      </c>
      <c r="I268" s="4"/>
      <c r="J268" s="4"/>
      <c r="K268" s="4">
        <v>223</v>
      </c>
      <c r="L268" s="4">
        <v>9</v>
      </c>
      <c r="M268" s="4">
        <v>3</v>
      </c>
      <c r="N268" s="4" t="s">
        <v>5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</row>
    <row r="269" spans="1:206" x14ac:dyDescent="0.2">
      <c r="A269" s="4">
        <v>50</v>
      </c>
      <c r="B269" s="4">
        <v>0</v>
      </c>
      <c r="C269" s="4">
        <v>0</v>
      </c>
      <c r="D269" s="4">
        <v>1</v>
      </c>
      <c r="E269" s="4">
        <v>229</v>
      </c>
      <c r="F269" s="4">
        <f>ROUND(Source!AZ258,O269)</f>
        <v>0</v>
      </c>
      <c r="G269" s="4" t="s">
        <v>69</v>
      </c>
      <c r="H269" s="4" t="s">
        <v>70</v>
      </c>
      <c r="I269" s="4"/>
      <c r="J269" s="4"/>
      <c r="K269" s="4">
        <v>229</v>
      </c>
      <c r="L269" s="4">
        <v>10</v>
      </c>
      <c r="M269" s="4">
        <v>3</v>
      </c>
      <c r="N269" s="4" t="s">
        <v>5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06" x14ac:dyDescent="0.2">
      <c r="A270" s="4">
        <v>50</v>
      </c>
      <c r="B270" s="4">
        <v>0</v>
      </c>
      <c r="C270" s="4">
        <v>0</v>
      </c>
      <c r="D270" s="4">
        <v>1</v>
      </c>
      <c r="E270" s="4">
        <v>203</v>
      </c>
      <c r="F270" s="4">
        <f>ROUND(Source!Q258,O270)</f>
        <v>7732174.5300000003</v>
      </c>
      <c r="G270" s="4" t="s">
        <v>71</v>
      </c>
      <c r="H270" s="4" t="s">
        <v>72</v>
      </c>
      <c r="I270" s="4"/>
      <c r="J270" s="4"/>
      <c r="K270" s="4">
        <v>203</v>
      </c>
      <c r="L270" s="4">
        <v>11</v>
      </c>
      <c r="M270" s="4">
        <v>3</v>
      </c>
      <c r="N270" s="4" t="s">
        <v>5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06" x14ac:dyDescent="0.2">
      <c r="A271" s="4">
        <v>50</v>
      </c>
      <c r="B271" s="4">
        <v>0</v>
      </c>
      <c r="C271" s="4">
        <v>0</v>
      </c>
      <c r="D271" s="4">
        <v>1</v>
      </c>
      <c r="E271" s="4">
        <v>231</v>
      </c>
      <c r="F271" s="4">
        <f>ROUND(Source!BB258,O271)</f>
        <v>0</v>
      </c>
      <c r="G271" s="4" t="s">
        <v>73</v>
      </c>
      <c r="H271" s="4" t="s">
        <v>74</v>
      </c>
      <c r="I271" s="4"/>
      <c r="J271" s="4"/>
      <c r="K271" s="4">
        <v>231</v>
      </c>
      <c r="L271" s="4">
        <v>12</v>
      </c>
      <c r="M271" s="4">
        <v>3</v>
      </c>
      <c r="N271" s="4" t="s">
        <v>5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06" x14ac:dyDescent="0.2">
      <c r="A272" s="4">
        <v>50</v>
      </c>
      <c r="B272" s="4">
        <v>0</v>
      </c>
      <c r="C272" s="4">
        <v>0</v>
      </c>
      <c r="D272" s="4">
        <v>1</v>
      </c>
      <c r="E272" s="4">
        <v>204</v>
      </c>
      <c r="F272" s="4">
        <f>ROUND(Source!R258,O272)</f>
        <v>2133171.54</v>
      </c>
      <c r="G272" s="4" t="s">
        <v>75</v>
      </c>
      <c r="H272" s="4" t="s">
        <v>76</v>
      </c>
      <c r="I272" s="4"/>
      <c r="J272" s="4"/>
      <c r="K272" s="4">
        <v>204</v>
      </c>
      <c r="L272" s="4">
        <v>13</v>
      </c>
      <c r="M272" s="4">
        <v>3</v>
      </c>
      <c r="N272" s="4" t="s">
        <v>5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>
        <v>50</v>
      </c>
      <c r="B273" s="4">
        <v>0</v>
      </c>
      <c r="C273" s="4">
        <v>0</v>
      </c>
      <c r="D273" s="4">
        <v>1</v>
      </c>
      <c r="E273" s="4">
        <v>205</v>
      </c>
      <c r="F273" s="4">
        <f>ROUND(Source!S258,O273)</f>
        <v>25051998.989999998</v>
      </c>
      <c r="G273" s="4" t="s">
        <v>77</v>
      </c>
      <c r="H273" s="4" t="s">
        <v>78</v>
      </c>
      <c r="I273" s="4"/>
      <c r="J273" s="4"/>
      <c r="K273" s="4">
        <v>205</v>
      </c>
      <c r="L273" s="4">
        <v>14</v>
      </c>
      <c r="M273" s="4">
        <v>3</v>
      </c>
      <c r="N273" s="4" t="s">
        <v>5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>
        <v>50</v>
      </c>
      <c r="B274" s="4">
        <v>0</v>
      </c>
      <c r="C274" s="4">
        <v>0</v>
      </c>
      <c r="D274" s="4">
        <v>1</v>
      </c>
      <c r="E274" s="4">
        <v>232</v>
      </c>
      <c r="F274" s="4">
        <f>ROUND(Source!BC258,O274)</f>
        <v>0</v>
      </c>
      <c r="G274" s="4" t="s">
        <v>79</v>
      </c>
      <c r="H274" s="4" t="s">
        <v>80</v>
      </c>
      <c r="I274" s="4"/>
      <c r="J274" s="4"/>
      <c r="K274" s="4">
        <v>232</v>
      </c>
      <c r="L274" s="4">
        <v>15</v>
      </c>
      <c r="M274" s="4">
        <v>3</v>
      </c>
      <c r="N274" s="4" t="s">
        <v>5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>
        <v>50</v>
      </c>
      <c r="B275" s="4">
        <v>0</v>
      </c>
      <c r="C275" s="4">
        <v>0</v>
      </c>
      <c r="D275" s="4">
        <v>1</v>
      </c>
      <c r="E275" s="4">
        <v>214</v>
      </c>
      <c r="F275" s="4">
        <f>ROUND(Source!AS258,O275)</f>
        <v>82415101.170000002</v>
      </c>
      <c r="G275" s="4" t="s">
        <v>81</v>
      </c>
      <c r="H275" s="4" t="s">
        <v>82</v>
      </c>
      <c r="I275" s="4"/>
      <c r="J275" s="4"/>
      <c r="K275" s="4">
        <v>214</v>
      </c>
      <c r="L275" s="4">
        <v>16</v>
      </c>
      <c r="M275" s="4">
        <v>3</v>
      </c>
      <c r="N275" s="4" t="s">
        <v>5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>
        <v>50</v>
      </c>
      <c r="B276" s="4">
        <v>0</v>
      </c>
      <c r="C276" s="4">
        <v>0</v>
      </c>
      <c r="D276" s="4">
        <v>1</v>
      </c>
      <c r="E276" s="4">
        <v>215</v>
      </c>
      <c r="F276" s="4">
        <f>ROUND(Source!AT258,O276)</f>
        <v>0</v>
      </c>
      <c r="G276" s="4" t="s">
        <v>83</v>
      </c>
      <c r="H276" s="4" t="s">
        <v>84</v>
      </c>
      <c r="I276" s="4"/>
      <c r="J276" s="4"/>
      <c r="K276" s="4">
        <v>215</v>
      </c>
      <c r="L276" s="4">
        <v>17</v>
      </c>
      <c r="M276" s="4">
        <v>3</v>
      </c>
      <c r="N276" s="4" t="s">
        <v>5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>
        <v>50</v>
      </c>
      <c r="B277" s="4">
        <v>0</v>
      </c>
      <c r="C277" s="4">
        <v>0</v>
      </c>
      <c r="D277" s="4">
        <v>1</v>
      </c>
      <c r="E277" s="4">
        <v>217</v>
      </c>
      <c r="F277" s="4">
        <f>ROUND(Source!AU258,O277)</f>
        <v>0</v>
      </c>
      <c r="G277" s="4" t="s">
        <v>85</v>
      </c>
      <c r="H277" s="4" t="s">
        <v>86</v>
      </c>
      <c r="I277" s="4"/>
      <c r="J277" s="4"/>
      <c r="K277" s="4">
        <v>217</v>
      </c>
      <c r="L277" s="4">
        <v>18</v>
      </c>
      <c r="M277" s="4">
        <v>3</v>
      </c>
      <c r="N277" s="4" t="s">
        <v>5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>
        <v>50</v>
      </c>
      <c r="B278" s="4">
        <v>0</v>
      </c>
      <c r="C278" s="4">
        <v>0</v>
      </c>
      <c r="D278" s="4">
        <v>1</v>
      </c>
      <c r="E278" s="4">
        <v>230</v>
      </c>
      <c r="F278" s="4">
        <f>ROUND(Source!BA258,O278)</f>
        <v>0</v>
      </c>
      <c r="G278" s="4" t="s">
        <v>87</v>
      </c>
      <c r="H278" s="4" t="s">
        <v>88</v>
      </c>
      <c r="I278" s="4"/>
      <c r="J278" s="4"/>
      <c r="K278" s="4">
        <v>230</v>
      </c>
      <c r="L278" s="4">
        <v>19</v>
      </c>
      <c r="M278" s="4">
        <v>3</v>
      </c>
      <c r="N278" s="4" t="s">
        <v>5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>
        <v>50</v>
      </c>
      <c r="B279" s="4">
        <v>0</v>
      </c>
      <c r="C279" s="4">
        <v>0</v>
      </c>
      <c r="D279" s="4">
        <v>1</v>
      </c>
      <c r="E279" s="4">
        <v>206</v>
      </c>
      <c r="F279" s="4">
        <f>ROUND(Source!T258,O279)</f>
        <v>0</v>
      </c>
      <c r="G279" s="4" t="s">
        <v>89</v>
      </c>
      <c r="H279" s="4" t="s">
        <v>90</v>
      </c>
      <c r="I279" s="4"/>
      <c r="J279" s="4"/>
      <c r="K279" s="4">
        <v>206</v>
      </c>
      <c r="L279" s="4">
        <v>20</v>
      </c>
      <c r="M279" s="4">
        <v>3</v>
      </c>
      <c r="N279" s="4" t="s">
        <v>5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>
        <v>50</v>
      </c>
      <c r="B280" s="4">
        <v>0</v>
      </c>
      <c r="C280" s="4">
        <v>0</v>
      </c>
      <c r="D280" s="4">
        <v>1</v>
      </c>
      <c r="E280" s="4">
        <v>207</v>
      </c>
      <c r="F280" s="4">
        <f>Source!U258</f>
        <v>91515.808717000007</v>
      </c>
      <c r="G280" s="4" t="s">
        <v>91</v>
      </c>
      <c r="H280" s="4" t="s">
        <v>92</v>
      </c>
      <c r="I280" s="4"/>
      <c r="J280" s="4"/>
      <c r="K280" s="4">
        <v>207</v>
      </c>
      <c r="L280" s="4">
        <v>21</v>
      </c>
      <c r="M280" s="4">
        <v>3</v>
      </c>
      <c r="N280" s="4" t="s">
        <v>5</v>
      </c>
      <c r="O280" s="4">
        <v>-1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>
        <v>50</v>
      </c>
      <c r="B281" s="4">
        <v>0</v>
      </c>
      <c r="C281" s="4">
        <v>0</v>
      </c>
      <c r="D281" s="4">
        <v>1</v>
      </c>
      <c r="E281" s="4">
        <v>208</v>
      </c>
      <c r="F281" s="4">
        <f>Source!V258</f>
        <v>0</v>
      </c>
      <c r="G281" s="4" t="s">
        <v>93</v>
      </c>
      <c r="H281" s="4" t="s">
        <v>94</v>
      </c>
      <c r="I281" s="4"/>
      <c r="J281" s="4"/>
      <c r="K281" s="4">
        <v>208</v>
      </c>
      <c r="L281" s="4">
        <v>22</v>
      </c>
      <c r="M281" s="4">
        <v>3</v>
      </c>
      <c r="N281" s="4" t="s">
        <v>5</v>
      </c>
      <c r="O281" s="4">
        <v>-1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>
        <v>50</v>
      </c>
      <c r="B282" s="4">
        <v>0</v>
      </c>
      <c r="C282" s="4">
        <v>0</v>
      </c>
      <c r="D282" s="4">
        <v>1</v>
      </c>
      <c r="E282" s="4">
        <v>209</v>
      </c>
      <c r="F282" s="4">
        <f>ROUND(Source!W258,O282)</f>
        <v>0</v>
      </c>
      <c r="G282" s="4" t="s">
        <v>95</v>
      </c>
      <c r="H282" s="4" t="s">
        <v>96</v>
      </c>
      <c r="I282" s="4"/>
      <c r="J282" s="4"/>
      <c r="K282" s="4">
        <v>209</v>
      </c>
      <c r="L282" s="4">
        <v>23</v>
      </c>
      <c r="M282" s="4">
        <v>3</v>
      </c>
      <c r="N282" s="4" t="s">
        <v>5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>
        <v>50</v>
      </c>
      <c r="B283" s="4">
        <v>0</v>
      </c>
      <c r="C283" s="4">
        <v>0</v>
      </c>
      <c r="D283" s="4">
        <v>1</v>
      </c>
      <c r="E283" s="4">
        <v>233</v>
      </c>
      <c r="F283" s="4">
        <f>ROUND(Source!BD258,O283)</f>
        <v>0</v>
      </c>
      <c r="G283" s="4" t="s">
        <v>97</v>
      </c>
      <c r="H283" s="4" t="s">
        <v>98</v>
      </c>
      <c r="I283" s="4"/>
      <c r="J283" s="4"/>
      <c r="K283" s="4">
        <v>233</v>
      </c>
      <c r="L283" s="4">
        <v>24</v>
      </c>
      <c r="M283" s="4">
        <v>3</v>
      </c>
      <c r="N283" s="4" t="s">
        <v>5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>
        <v>50</v>
      </c>
      <c r="B284" s="4">
        <v>0</v>
      </c>
      <c r="C284" s="4">
        <v>0</v>
      </c>
      <c r="D284" s="4">
        <v>1</v>
      </c>
      <c r="E284" s="4">
        <v>210</v>
      </c>
      <c r="F284" s="4">
        <f>ROUND(Source!X258,O284)</f>
        <v>25547606.870000001</v>
      </c>
      <c r="G284" s="4" t="s">
        <v>99</v>
      </c>
      <c r="H284" s="4" t="s">
        <v>100</v>
      </c>
      <c r="I284" s="4"/>
      <c r="J284" s="4"/>
      <c r="K284" s="4">
        <v>210</v>
      </c>
      <c r="L284" s="4">
        <v>25</v>
      </c>
      <c r="M284" s="4">
        <v>3</v>
      </c>
      <c r="N284" s="4" t="s">
        <v>5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>
        <v>50</v>
      </c>
      <c r="B285" s="4">
        <v>0</v>
      </c>
      <c r="C285" s="4">
        <v>0</v>
      </c>
      <c r="D285" s="4">
        <v>1</v>
      </c>
      <c r="E285" s="4">
        <v>211</v>
      </c>
      <c r="F285" s="4">
        <f>ROUND(Source!Y258,O285)</f>
        <v>11776069.17</v>
      </c>
      <c r="G285" s="4" t="s">
        <v>101</v>
      </c>
      <c r="H285" s="4" t="s">
        <v>102</v>
      </c>
      <c r="I285" s="4"/>
      <c r="J285" s="4"/>
      <c r="K285" s="4">
        <v>211</v>
      </c>
      <c r="L285" s="4">
        <v>26</v>
      </c>
      <c r="M285" s="4">
        <v>3</v>
      </c>
      <c r="N285" s="4" t="s">
        <v>5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>
        <v>50</v>
      </c>
      <c r="B286" s="4">
        <v>0</v>
      </c>
      <c r="C286" s="4">
        <v>0</v>
      </c>
      <c r="D286" s="4">
        <v>1</v>
      </c>
      <c r="E286" s="4">
        <v>224</v>
      </c>
      <c r="F286" s="4">
        <f>ROUND(Source!AR258,O286)</f>
        <v>82415101.170000002</v>
      </c>
      <c r="G286" s="4" t="s">
        <v>103</v>
      </c>
      <c r="H286" s="4" t="s">
        <v>104</v>
      </c>
      <c r="I286" s="4"/>
      <c r="J286" s="4"/>
      <c r="K286" s="4">
        <v>224</v>
      </c>
      <c r="L286" s="4">
        <v>27</v>
      </c>
      <c r="M286" s="4">
        <v>3</v>
      </c>
      <c r="N286" s="4" t="s">
        <v>5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>
        <v>50</v>
      </c>
      <c r="B287" s="4">
        <v>1</v>
      </c>
      <c r="C287" s="4">
        <v>0</v>
      </c>
      <c r="D287" s="4">
        <v>2</v>
      </c>
      <c r="E287" s="4">
        <v>0</v>
      </c>
      <c r="F287" s="4">
        <f>ROUND(F286*0.2,O287)</f>
        <v>16483020.23</v>
      </c>
      <c r="G287" s="4" t="s">
        <v>160</v>
      </c>
      <c r="H287" s="4" t="s">
        <v>161</v>
      </c>
      <c r="I287" s="4"/>
      <c r="J287" s="4"/>
      <c r="K287" s="4">
        <v>212</v>
      </c>
      <c r="L287" s="4">
        <v>28</v>
      </c>
      <c r="M287" s="4">
        <v>0</v>
      </c>
      <c r="N287" s="4" t="s">
        <v>5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>
        <v>50</v>
      </c>
      <c r="B288" s="4">
        <v>1</v>
      </c>
      <c r="C288" s="4">
        <v>0</v>
      </c>
      <c r="D288" s="4">
        <v>2</v>
      </c>
      <c r="E288" s="4">
        <v>0</v>
      </c>
      <c r="F288" s="4">
        <f>ROUND(F286+F287,O288)</f>
        <v>98898121.400000006</v>
      </c>
      <c r="G288" s="4" t="s">
        <v>162</v>
      </c>
      <c r="H288" s="4" t="s">
        <v>163</v>
      </c>
      <c r="I288" s="4"/>
      <c r="J288" s="4"/>
      <c r="K288" s="4">
        <v>212</v>
      </c>
      <c r="L288" s="4">
        <v>29</v>
      </c>
      <c r="M288" s="4">
        <v>0</v>
      </c>
      <c r="N288" s="4" t="s">
        <v>5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90" spans="1:245" x14ac:dyDescent="0.2">
      <c r="A290" s="1">
        <v>3</v>
      </c>
      <c r="B290" s="1">
        <v>1</v>
      </c>
      <c r="C290" s="1"/>
      <c r="D290" s="1">
        <f>ROW(A366)</f>
        <v>366</v>
      </c>
      <c r="E290" s="1"/>
      <c r="F290" s="1" t="s">
        <v>12</v>
      </c>
      <c r="G290" s="1" t="s">
        <v>164</v>
      </c>
      <c r="H290" s="1" t="s">
        <v>5</v>
      </c>
      <c r="I290" s="1">
        <v>0</v>
      </c>
      <c r="J290" s="1" t="s">
        <v>5</v>
      </c>
      <c r="K290" s="1">
        <v>0</v>
      </c>
      <c r="L290" s="1" t="s">
        <v>5</v>
      </c>
      <c r="M290" s="1" t="s">
        <v>5</v>
      </c>
      <c r="N290" s="1"/>
      <c r="O290" s="1"/>
      <c r="P290" s="1"/>
      <c r="Q290" s="1"/>
      <c r="R290" s="1"/>
      <c r="S290" s="1">
        <v>0</v>
      </c>
      <c r="T290" s="1"/>
      <c r="U290" s="1" t="s">
        <v>5</v>
      </c>
      <c r="V290" s="1">
        <v>0</v>
      </c>
      <c r="W290" s="1"/>
      <c r="X290" s="1"/>
      <c r="Y290" s="1"/>
      <c r="Z290" s="1"/>
      <c r="AA290" s="1"/>
      <c r="AB290" s="1" t="s">
        <v>5</v>
      </c>
      <c r="AC290" s="1" t="s">
        <v>5</v>
      </c>
      <c r="AD290" s="1" t="s">
        <v>5</v>
      </c>
      <c r="AE290" s="1" t="s">
        <v>5</v>
      </c>
      <c r="AF290" s="1" t="s">
        <v>5</v>
      </c>
      <c r="AG290" s="1" t="s">
        <v>5</v>
      </c>
      <c r="AH290" s="1"/>
      <c r="AI290" s="1"/>
      <c r="AJ290" s="1"/>
      <c r="AK290" s="1"/>
      <c r="AL290" s="1"/>
      <c r="AM290" s="1"/>
      <c r="AN290" s="1"/>
      <c r="AO290" s="1"/>
      <c r="AP290" s="1" t="s">
        <v>5</v>
      </c>
      <c r="AQ290" s="1" t="s">
        <v>5</v>
      </c>
      <c r="AR290" s="1" t="s">
        <v>5</v>
      </c>
      <c r="AS290" s="1"/>
      <c r="AT290" s="1"/>
      <c r="AU290" s="1"/>
      <c r="AV290" s="1"/>
      <c r="AW290" s="1"/>
      <c r="AX290" s="1"/>
      <c r="AY290" s="1"/>
      <c r="AZ290" s="1" t="s">
        <v>5</v>
      </c>
      <c r="BA290" s="1"/>
      <c r="BB290" s="1" t="s">
        <v>5</v>
      </c>
      <c r="BC290" s="1" t="s">
        <v>5</v>
      </c>
      <c r="BD290" s="1" t="s">
        <v>5</v>
      </c>
      <c r="BE290" s="1" t="s">
        <v>5</v>
      </c>
      <c r="BF290" s="1" t="s">
        <v>5</v>
      </c>
      <c r="BG290" s="1" t="s">
        <v>5</v>
      </c>
      <c r="BH290" s="1" t="s">
        <v>5</v>
      </c>
      <c r="BI290" s="1" t="s">
        <v>5</v>
      </c>
      <c r="BJ290" s="1" t="s">
        <v>5</v>
      </c>
      <c r="BK290" s="1" t="s">
        <v>5</v>
      </c>
      <c r="BL290" s="1" t="s">
        <v>5</v>
      </c>
      <c r="BM290" s="1" t="s">
        <v>5</v>
      </c>
      <c r="BN290" s="1" t="s">
        <v>5</v>
      </c>
      <c r="BO290" s="1" t="s">
        <v>5</v>
      </c>
      <c r="BP290" s="1" t="s">
        <v>5</v>
      </c>
      <c r="BQ290" s="1"/>
      <c r="BR290" s="1"/>
      <c r="BS290" s="1"/>
      <c r="BT290" s="1"/>
      <c r="BU290" s="1"/>
      <c r="BV290" s="1"/>
      <c r="BW290" s="1"/>
      <c r="BX290" s="1">
        <v>0</v>
      </c>
      <c r="BY290" s="1"/>
      <c r="BZ290" s="1"/>
      <c r="CA290" s="1"/>
      <c r="CB290" s="1"/>
      <c r="CC290" s="1"/>
      <c r="CD290" s="1"/>
      <c r="CE290" s="1"/>
      <c r="CF290" s="1">
        <v>0</v>
      </c>
      <c r="CG290" s="1">
        <v>0</v>
      </c>
      <c r="CH290" s="1"/>
      <c r="CI290" s="1" t="s">
        <v>5</v>
      </c>
      <c r="CJ290" s="1" t="s">
        <v>5</v>
      </c>
      <c r="CK290" t="s">
        <v>5</v>
      </c>
      <c r="CL290" t="s">
        <v>5</v>
      </c>
      <c r="CM290" t="s">
        <v>5</v>
      </c>
      <c r="CN290" t="s">
        <v>5</v>
      </c>
      <c r="CO290" t="s">
        <v>5</v>
      </c>
      <c r="CP290" t="s">
        <v>5</v>
      </c>
      <c r="CQ290" t="s">
        <v>5</v>
      </c>
    </row>
    <row r="292" spans="1:245" x14ac:dyDescent="0.2">
      <c r="A292" s="2">
        <v>52</v>
      </c>
      <c r="B292" s="2">
        <f t="shared" ref="B292:G292" si="150">B366</f>
        <v>1</v>
      </c>
      <c r="C292" s="2">
        <f t="shared" si="150"/>
        <v>3</v>
      </c>
      <c r="D292" s="2">
        <f t="shared" si="150"/>
        <v>290</v>
      </c>
      <c r="E292" s="2">
        <f t="shared" si="150"/>
        <v>0</v>
      </c>
      <c r="F292" s="2" t="str">
        <f t="shared" si="150"/>
        <v>Новая локальная смета</v>
      </c>
      <c r="G292" s="2" t="str">
        <f t="shared" si="150"/>
        <v>Затраты на перевозку отходов строительства и сноса, в т.ч. грунта, автотранспортными средствами</v>
      </c>
      <c r="H292" s="2"/>
      <c r="I292" s="2"/>
      <c r="J292" s="2"/>
      <c r="K292" s="2"/>
      <c r="L292" s="2"/>
      <c r="M292" s="2"/>
      <c r="N292" s="2"/>
      <c r="O292" s="2">
        <f t="shared" ref="O292:AT292" si="151">O366</f>
        <v>1317537.0900000001</v>
      </c>
      <c r="P292" s="2">
        <f t="shared" si="151"/>
        <v>0</v>
      </c>
      <c r="Q292" s="2">
        <f t="shared" si="151"/>
        <v>1317537.0900000001</v>
      </c>
      <c r="R292" s="2">
        <f t="shared" si="151"/>
        <v>0</v>
      </c>
      <c r="S292" s="2">
        <f t="shared" si="151"/>
        <v>0</v>
      </c>
      <c r="T292" s="2">
        <f t="shared" si="151"/>
        <v>0</v>
      </c>
      <c r="U292" s="2">
        <f t="shared" si="151"/>
        <v>0</v>
      </c>
      <c r="V292" s="2">
        <f t="shared" si="151"/>
        <v>0</v>
      </c>
      <c r="W292" s="2">
        <f t="shared" si="151"/>
        <v>0</v>
      </c>
      <c r="X292" s="2">
        <f t="shared" si="151"/>
        <v>0</v>
      </c>
      <c r="Y292" s="2">
        <f t="shared" si="151"/>
        <v>0</v>
      </c>
      <c r="Z292" s="2">
        <f t="shared" si="151"/>
        <v>0</v>
      </c>
      <c r="AA292" s="2">
        <f t="shared" si="151"/>
        <v>0</v>
      </c>
      <c r="AB292" s="2">
        <f t="shared" si="151"/>
        <v>0</v>
      </c>
      <c r="AC292" s="2">
        <f t="shared" si="151"/>
        <v>0</v>
      </c>
      <c r="AD292" s="2">
        <f t="shared" si="151"/>
        <v>0</v>
      </c>
      <c r="AE292" s="2">
        <f t="shared" si="151"/>
        <v>0</v>
      </c>
      <c r="AF292" s="2">
        <f t="shared" si="151"/>
        <v>0</v>
      </c>
      <c r="AG292" s="2">
        <f t="shared" si="151"/>
        <v>0</v>
      </c>
      <c r="AH292" s="2">
        <f t="shared" si="151"/>
        <v>0</v>
      </c>
      <c r="AI292" s="2">
        <f t="shared" si="151"/>
        <v>0</v>
      </c>
      <c r="AJ292" s="2">
        <f t="shared" si="151"/>
        <v>0</v>
      </c>
      <c r="AK292" s="2">
        <f t="shared" si="151"/>
        <v>0</v>
      </c>
      <c r="AL292" s="2">
        <f t="shared" si="151"/>
        <v>0</v>
      </c>
      <c r="AM292" s="2">
        <f t="shared" si="151"/>
        <v>0</v>
      </c>
      <c r="AN292" s="2">
        <f t="shared" si="151"/>
        <v>0</v>
      </c>
      <c r="AO292" s="2">
        <f t="shared" si="151"/>
        <v>0</v>
      </c>
      <c r="AP292" s="2">
        <f t="shared" si="151"/>
        <v>0</v>
      </c>
      <c r="AQ292" s="2">
        <f t="shared" si="151"/>
        <v>0</v>
      </c>
      <c r="AR292" s="2">
        <f t="shared" si="151"/>
        <v>1317537.0900000001</v>
      </c>
      <c r="AS292" s="2">
        <f t="shared" si="151"/>
        <v>0</v>
      </c>
      <c r="AT292" s="2">
        <f t="shared" si="151"/>
        <v>0</v>
      </c>
      <c r="AU292" s="2">
        <f t="shared" ref="AU292:BZ292" si="152">AU366</f>
        <v>1317537.0900000001</v>
      </c>
      <c r="AV292" s="2">
        <f t="shared" si="152"/>
        <v>0</v>
      </c>
      <c r="AW292" s="2">
        <f t="shared" si="152"/>
        <v>0</v>
      </c>
      <c r="AX292" s="2">
        <f t="shared" si="152"/>
        <v>0</v>
      </c>
      <c r="AY292" s="2">
        <f t="shared" si="152"/>
        <v>0</v>
      </c>
      <c r="AZ292" s="2">
        <f t="shared" si="152"/>
        <v>0</v>
      </c>
      <c r="BA292" s="2">
        <f t="shared" si="152"/>
        <v>0</v>
      </c>
      <c r="BB292" s="2">
        <f t="shared" si="152"/>
        <v>0</v>
      </c>
      <c r="BC292" s="2">
        <f t="shared" si="152"/>
        <v>0</v>
      </c>
      <c r="BD292" s="2">
        <f t="shared" si="152"/>
        <v>0</v>
      </c>
      <c r="BE292" s="2">
        <f t="shared" si="152"/>
        <v>0</v>
      </c>
      <c r="BF292" s="2">
        <f t="shared" si="152"/>
        <v>0</v>
      </c>
      <c r="BG292" s="2">
        <f t="shared" si="152"/>
        <v>0</v>
      </c>
      <c r="BH292" s="2">
        <f t="shared" si="152"/>
        <v>0</v>
      </c>
      <c r="BI292" s="2">
        <f t="shared" si="152"/>
        <v>0</v>
      </c>
      <c r="BJ292" s="2">
        <f t="shared" si="152"/>
        <v>0</v>
      </c>
      <c r="BK292" s="2">
        <f t="shared" si="152"/>
        <v>0</v>
      </c>
      <c r="BL292" s="2">
        <f t="shared" si="152"/>
        <v>0</v>
      </c>
      <c r="BM292" s="2">
        <f t="shared" si="152"/>
        <v>0</v>
      </c>
      <c r="BN292" s="2">
        <f t="shared" si="152"/>
        <v>0</v>
      </c>
      <c r="BO292" s="2">
        <f t="shared" si="152"/>
        <v>0</v>
      </c>
      <c r="BP292" s="2">
        <f t="shared" si="152"/>
        <v>0</v>
      </c>
      <c r="BQ292" s="2">
        <f t="shared" si="152"/>
        <v>0</v>
      </c>
      <c r="BR292" s="2">
        <f t="shared" si="152"/>
        <v>0</v>
      </c>
      <c r="BS292" s="2">
        <f t="shared" si="152"/>
        <v>0</v>
      </c>
      <c r="BT292" s="2">
        <f t="shared" si="152"/>
        <v>0</v>
      </c>
      <c r="BU292" s="2">
        <f t="shared" si="152"/>
        <v>0</v>
      </c>
      <c r="BV292" s="2">
        <f t="shared" si="152"/>
        <v>0</v>
      </c>
      <c r="BW292" s="2">
        <f t="shared" si="152"/>
        <v>0</v>
      </c>
      <c r="BX292" s="2">
        <f t="shared" si="152"/>
        <v>0</v>
      </c>
      <c r="BY292" s="2">
        <f t="shared" si="152"/>
        <v>0</v>
      </c>
      <c r="BZ292" s="2">
        <f t="shared" si="152"/>
        <v>0</v>
      </c>
      <c r="CA292" s="2">
        <f t="shared" ref="CA292:DF292" si="153">CA366</f>
        <v>0</v>
      </c>
      <c r="CB292" s="2">
        <f t="shared" si="153"/>
        <v>0</v>
      </c>
      <c r="CC292" s="2">
        <f t="shared" si="153"/>
        <v>0</v>
      </c>
      <c r="CD292" s="2">
        <f t="shared" si="153"/>
        <v>0</v>
      </c>
      <c r="CE292" s="2">
        <f t="shared" si="153"/>
        <v>0</v>
      </c>
      <c r="CF292" s="2">
        <f t="shared" si="153"/>
        <v>0</v>
      </c>
      <c r="CG292" s="2">
        <f t="shared" si="153"/>
        <v>0</v>
      </c>
      <c r="CH292" s="2">
        <f t="shared" si="153"/>
        <v>0</v>
      </c>
      <c r="CI292" s="2">
        <f t="shared" si="153"/>
        <v>0</v>
      </c>
      <c r="CJ292" s="2">
        <f t="shared" si="153"/>
        <v>0</v>
      </c>
      <c r="CK292" s="2">
        <f t="shared" si="153"/>
        <v>0</v>
      </c>
      <c r="CL292" s="2">
        <f t="shared" si="153"/>
        <v>0</v>
      </c>
      <c r="CM292" s="2">
        <f t="shared" si="153"/>
        <v>0</v>
      </c>
      <c r="CN292" s="2">
        <f t="shared" si="153"/>
        <v>0</v>
      </c>
      <c r="CO292" s="2">
        <f t="shared" si="153"/>
        <v>0</v>
      </c>
      <c r="CP292" s="2">
        <f t="shared" si="153"/>
        <v>0</v>
      </c>
      <c r="CQ292" s="2">
        <f t="shared" si="153"/>
        <v>0</v>
      </c>
      <c r="CR292" s="2">
        <f t="shared" si="153"/>
        <v>0</v>
      </c>
      <c r="CS292" s="2">
        <f t="shared" si="153"/>
        <v>0</v>
      </c>
      <c r="CT292" s="2">
        <f t="shared" si="153"/>
        <v>0</v>
      </c>
      <c r="CU292" s="2">
        <f t="shared" si="153"/>
        <v>0</v>
      </c>
      <c r="CV292" s="2">
        <f t="shared" si="153"/>
        <v>0</v>
      </c>
      <c r="CW292" s="2">
        <f t="shared" si="153"/>
        <v>0</v>
      </c>
      <c r="CX292" s="2">
        <f t="shared" si="153"/>
        <v>0</v>
      </c>
      <c r="CY292" s="2">
        <f t="shared" si="153"/>
        <v>0</v>
      </c>
      <c r="CZ292" s="2">
        <f t="shared" si="153"/>
        <v>0</v>
      </c>
      <c r="DA292" s="2">
        <f t="shared" si="153"/>
        <v>0</v>
      </c>
      <c r="DB292" s="2">
        <f t="shared" si="153"/>
        <v>0</v>
      </c>
      <c r="DC292" s="2">
        <f t="shared" si="153"/>
        <v>0</v>
      </c>
      <c r="DD292" s="2">
        <f t="shared" si="153"/>
        <v>0</v>
      </c>
      <c r="DE292" s="2">
        <f t="shared" si="153"/>
        <v>0</v>
      </c>
      <c r="DF292" s="2">
        <f t="shared" si="153"/>
        <v>0</v>
      </c>
      <c r="DG292" s="3">
        <f t="shared" ref="DG292:EL292" si="154">DG366</f>
        <v>0</v>
      </c>
      <c r="DH292" s="3">
        <f t="shared" si="154"/>
        <v>0</v>
      </c>
      <c r="DI292" s="3">
        <f t="shared" si="154"/>
        <v>0</v>
      </c>
      <c r="DJ292" s="3">
        <f t="shared" si="154"/>
        <v>0</v>
      </c>
      <c r="DK292" s="3">
        <f t="shared" si="154"/>
        <v>0</v>
      </c>
      <c r="DL292" s="3">
        <f t="shared" si="154"/>
        <v>0</v>
      </c>
      <c r="DM292" s="3">
        <f t="shared" si="154"/>
        <v>0</v>
      </c>
      <c r="DN292" s="3">
        <f t="shared" si="154"/>
        <v>0</v>
      </c>
      <c r="DO292" s="3">
        <f t="shared" si="154"/>
        <v>0</v>
      </c>
      <c r="DP292" s="3">
        <f t="shared" si="154"/>
        <v>0</v>
      </c>
      <c r="DQ292" s="3">
        <f t="shared" si="154"/>
        <v>0</v>
      </c>
      <c r="DR292" s="3">
        <f t="shared" si="154"/>
        <v>0</v>
      </c>
      <c r="DS292" s="3">
        <f t="shared" si="154"/>
        <v>0</v>
      </c>
      <c r="DT292" s="3">
        <f t="shared" si="154"/>
        <v>0</v>
      </c>
      <c r="DU292" s="3">
        <f t="shared" si="154"/>
        <v>0</v>
      </c>
      <c r="DV292" s="3">
        <f t="shared" si="154"/>
        <v>0</v>
      </c>
      <c r="DW292" s="3">
        <f t="shared" si="154"/>
        <v>0</v>
      </c>
      <c r="DX292" s="3">
        <f t="shared" si="154"/>
        <v>0</v>
      </c>
      <c r="DY292" s="3">
        <f t="shared" si="154"/>
        <v>0</v>
      </c>
      <c r="DZ292" s="3">
        <f t="shared" si="154"/>
        <v>0</v>
      </c>
      <c r="EA292" s="3">
        <f t="shared" si="154"/>
        <v>0</v>
      </c>
      <c r="EB292" s="3">
        <f t="shared" si="154"/>
        <v>0</v>
      </c>
      <c r="EC292" s="3">
        <f t="shared" si="154"/>
        <v>0</v>
      </c>
      <c r="ED292" s="3">
        <f t="shared" si="154"/>
        <v>0</v>
      </c>
      <c r="EE292" s="3">
        <f t="shared" si="154"/>
        <v>0</v>
      </c>
      <c r="EF292" s="3">
        <f t="shared" si="154"/>
        <v>0</v>
      </c>
      <c r="EG292" s="3">
        <f t="shared" si="154"/>
        <v>0</v>
      </c>
      <c r="EH292" s="3">
        <f t="shared" si="154"/>
        <v>0</v>
      </c>
      <c r="EI292" s="3">
        <f t="shared" si="154"/>
        <v>0</v>
      </c>
      <c r="EJ292" s="3">
        <f t="shared" si="154"/>
        <v>0</v>
      </c>
      <c r="EK292" s="3">
        <f t="shared" si="154"/>
        <v>0</v>
      </c>
      <c r="EL292" s="3">
        <f t="shared" si="154"/>
        <v>0</v>
      </c>
      <c r="EM292" s="3">
        <f t="shared" ref="EM292:FR292" si="155">EM366</f>
        <v>0</v>
      </c>
      <c r="EN292" s="3">
        <f t="shared" si="155"/>
        <v>0</v>
      </c>
      <c r="EO292" s="3">
        <f t="shared" si="155"/>
        <v>0</v>
      </c>
      <c r="EP292" s="3">
        <f t="shared" si="155"/>
        <v>0</v>
      </c>
      <c r="EQ292" s="3">
        <f t="shared" si="155"/>
        <v>0</v>
      </c>
      <c r="ER292" s="3">
        <f t="shared" si="155"/>
        <v>0</v>
      </c>
      <c r="ES292" s="3">
        <f t="shared" si="155"/>
        <v>0</v>
      </c>
      <c r="ET292" s="3">
        <f t="shared" si="155"/>
        <v>0</v>
      </c>
      <c r="EU292" s="3">
        <f t="shared" si="155"/>
        <v>0</v>
      </c>
      <c r="EV292" s="3">
        <f t="shared" si="155"/>
        <v>0</v>
      </c>
      <c r="EW292" s="3">
        <f t="shared" si="155"/>
        <v>0</v>
      </c>
      <c r="EX292" s="3">
        <f t="shared" si="155"/>
        <v>0</v>
      </c>
      <c r="EY292" s="3">
        <f t="shared" si="155"/>
        <v>0</v>
      </c>
      <c r="EZ292" s="3">
        <f t="shared" si="155"/>
        <v>0</v>
      </c>
      <c r="FA292" s="3">
        <f t="shared" si="155"/>
        <v>0</v>
      </c>
      <c r="FB292" s="3">
        <f t="shared" si="155"/>
        <v>0</v>
      </c>
      <c r="FC292" s="3">
        <f t="shared" si="155"/>
        <v>0</v>
      </c>
      <c r="FD292" s="3">
        <f t="shared" si="155"/>
        <v>0</v>
      </c>
      <c r="FE292" s="3">
        <f t="shared" si="155"/>
        <v>0</v>
      </c>
      <c r="FF292" s="3">
        <f t="shared" si="155"/>
        <v>0</v>
      </c>
      <c r="FG292" s="3">
        <f t="shared" si="155"/>
        <v>0</v>
      </c>
      <c r="FH292" s="3">
        <f t="shared" si="155"/>
        <v>0</v>
      </c>
      <c r="FI292" s="3">
        <f t="shared" si="155"/>
        <v>0</v>
      </c>
      <c r="FJ292" s="3">
        <f t="shared" si="155"/>
        <v>0</v>
      </c>
      <c r="FK292" s="3">
        <f t="shared" si="155"/>
        <v>0</v>
      </c>
      <c r="FL292" s="3">
        <f t="shared" si="155"/>
        <v>0</v>
      </c>
      <c r="FM292" s="3">
        <f t="shared" si="155"/>
        <v>0</v>
      </c>
      <c r="FN292" s="3">
        <f t="shared" si="155"/>
        <v>0</v>
      </c>
      <c r="FO292" s="3">
        <f t="shared" si="155"/>
        <v>0</v>
      </c>
      <c r="FP292" s="3">
        <f t="shared" si="155"/>
        <v>0</v>
      </c>
      <c r="FQ292" s="3">
        <f t="shared" si="155"/>
        <v>0</v>
      </c>
      <c r="FR292" s="3">
        <f t="shared" si="155"/>
        <v>0</v>
      </c>
      <c r="FS292" s="3">
        <f t="shared" ref="FS292:GX292" si="156">FS366</f>
        <v>0</v>
      </c>
      <c r="FT292" s="3">
        <f t="shared" si="156"/>
        <v>0</v>
      </c>
      <c r="FU292" s="3">
        <f t="shared" si="156"/>
        <v>0</v>
      </c>
      <c r="FV292" s="3">
        <f t="shared" si="156"/>
        <v>0</v>
      </c>
      <c r="FW292" s="3">
        <f t="shared" si="156"/>
        <v>0</v>
      </c>
      <c r="FX292" s="3">
        <f t="shared" si="156"/>
        <v>0</v>
      </c>
      <c r="FY292" s="3">
        <f t="shared" si="156"/>
        <v>0</v>
      </c>
      <c r="FZ292" s="3">
        <f t="shared" si="156"/>
        <v>0</v>
      </c>
      <c r="GA292" s="3">
        <f t="shared" si="156"/>
        <v>0</v>
      </c>
      <c r="GB292" s="3">
        <f t="shared" si="156"/>
        <v>0</v>
      </c>
      <c r="GC292" s="3">
        <f t="shared" si="156"/>
        <v>0</v>
      </c>
      <c r="GD292" s="3">
        <f t="shared" si="156"/>
        <v>0</v>
      </c>
      <c r="GE292" s="3">
        <f t="shared" si="156"/>
        <v>0</v>
      </c>
      <c r="GF292" s="3">
        <f t="shared" si="156"/>
        <v>0</v>
      </c>
      <c r="GG292" s="3">
        <f t="shared" si="156"/>
        <v>0</v>
      </c>
      <c r="GH292" s="3">
        <f t="shared" si="156"/>
        <v>0</v>
      </c>
      <c r="GI292" s="3">
        <f t="shared" si="156"/>
        <v>0</v>
      </c>
      <c r="GJ292" s="3">
        <f t="shared" si="156"/>
        <v>0</v>
      </c>
      <c r="GK292" s="3">
        <f t="shared" si="156"/>
        <v>0</v>
      </c>
      <c r="GL292" s="3">
        <f t="shared" si="156"/>
        <v>0</v>
      </c>
      <c r="GM292" s="3">
        <f t="shared" si="156"/>
        <v>0</v>
      </c>
      <c r="GN292" s="3">
        <f t="shared" si="156"/>
        <v>0</v>
      </c>
      <c r="GO292" s="3">
        <f t="shared" si="156"/>
        <v>0</v>
      </c>
      <c r="GP292" s="3">
        <f t="shared" si="156"/>
        <v>0</v>
      </c>
      <c r="GQ292" s="3">
        <f t="shared" si="156"/>
        <v>0</v>
      </c>
      <c r="GR292" s="3">
        <f t="shared" si="156"/>
        <v>0</v>
      </c>
      <c r="GS292" s="3">
        <f t="shared" si="156"/>
        <v>0</v>
      </c>
      <c r="GT292" s="3">
        <f t="shared" si="156"/>
        <v>0</v>
      </c>
      <c r="GU292" s="3">
        <f t="shared" si="156"/>
        <v>0</v>
      </c>
      <c r="GV292" s="3">
        <f t="shared" si="156"/>
        <v>0</v>
      </c>
      <c r="GW292" s="3">
        <f t="shared" si="156"/>
        <v>0</v>
      </c>
      <c r="GX292" s="3">
        <f t="shared" si="156"/>
        <v>0</v>
      </c>
    </row>
    <row r="294" spans="1:245" x14ac:dyDescent="0.2">
      <c r="A294" s="1">
        <v>4</v>
      </c>
      <c r="B294" s="1">
        <v>1</v>
      </c>
      <c r="C294" s="1"/>
      <c r="D294" s="1">
        <f>ROW(A300)</f>
        <v>300</v>
      </c>
      <c r="E294" s="1"/>
      <c r="F294" s="1" t="s">
        <v>14</v>
      </c>
      <c r="G294" s="1" t="s">
        <v>15</v>
      </c>
      <c r="H294" s="1" t="s">
        <v>5</v>
      </c>
      <c r="I294" s="1">
        <v>0</v>
      </c>
      <c r="J294" s="1"/>
      <c r="K294" s="1">
        <v>0</v>
      </c>
      <c r="L294" s="1"/>
      <c r="M294" s="1" t="s">
        <v>5</v>
      </c>
      <c r="N294" s="1"/>
      <c r="O294" s="1"/>
      <c r="P294" s="1"/>
      <c r="Q294" s="1"/>
      <c r="R294" s="1"/>
      <c r="S294" s="1">
        <v>0</v>
      </c>
      <c r="T294" s="1"/>
      <c r="U294" s="1" t="s">
        <v>5</v>
      </c>
      <c r="V294" s="1">
        <v>0</v>
      </c>
      <c r="W294" s="1"/>
      <c r="X294" s="1"/>
      <c r="Y294" s="1"/>
      <c r="Z294" s="1"/>
      <c r="AA294" s="1"/>
      <c r="AB294" s="1" t="s">
        <v>5</v>
      </c>
      <c r="AC294" s="1" t="s">
        <v>5</v>
      </c>
      <c r="AD294" s="1" t="s">
        <v>5</v>
      </c>
      <c r="AE294" s="1" t="s">
        <v>5</v>
      </c>
      <c r="AF294" s="1" t="s">
        <v>5</v>
      </c>
      <c r="AG294" s="1" t="s">
        <v>5</v>
      </c>
      <c r="AH294" s="1"/>
      <c r="AI294" s="1"/>
      <c r="AJ294" s="1"/>
      <c r="AK294" s="1"/>
      <c r="AL294" s="1"/>
      <c r="AM294" s="1"/>
      <c r="AN294" s="1"/>
      <c r="AO294" s="1"/>
      <c r="AP294" s="1" t="s">
        <v>5</v>
      </c>
      <c r="AQ294" s="1" t="s">
        <v>5</v>
      </c>
      <c r="AR294" s="1" t="s">
        <v>5</v>
      </c>
      <c r="AS294" s="1"/>
      <c r="AT294" s="1"/>
      <c r="AU294" s="1"/>
      <c r="AV294" s="1"/>
      <c r="AW294" s="1"/>
      <c r="AX294" s="1"/>
      <c r="AY294" s="1"/>
      <c r="AZ294" s="1" t="s">
        <v>5</v>
      </c>
      <c r="BA294" s="1"/>
      <c r="BB294" s="1" t="s">
        <v>5</v>
      </c>
      <c r="BC294" s="1" t="s">
        <v>5</v>
      </c>
      <c r="BD294" s="1" t="s">
        <v>5</v>
      </c>
      <c r="BE294" s="1" t="s">
        <v>5</v>
      </c>
      <c r="BF294" s="1" t="s">
        <v>5</v>
      </c>
      <c r="BG294" s="1" t="s">
        <v>5</v>
      </c>
      <c r="BH294" s="1" t="s">
        <v>5</v>
      </c>
      <c r="BI294" s="1" t="s">
        <v>5</v>
      </c>
      <c r="BJ294" s="1" t="s">
        <v>5</v>
      </c>
      <c r="BK294" s="1" t="s">
        <v>5</v>
      </c>
      <c r="BL294" s="1" t="s">
        <v>5</v>
      </c>
      <c r="BM294" s="1" t="s">
        <v>5</v>
      </c>
      <c r="BN294" s="1" t="s">
        <v>5</v>
      </c>
      <c r="BO294" s="1" t="s">
        <v>5</v>
      </c>
      <c r="BP294" s="1" t="s">
        <v>5</v>
      </c>
      <c r="BQ294" s="1"/>
      <c r="BR294" s="1"/>
      <c r="BS294" s="1"/>
      <c r="BT294" s="1"/>
      <c r="BU294" s="1"/>
      <c r="BV294" s="1"/>
      <c r="BW294" s="1"/>
      <c r="BX294" s="1">
        <v>0</v>
      </c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>
        <v>0</v>
      </c>
    </row>
    <row r="296" spans="1:245" x14ac:dyDescent="0.2">
      <c r="A296" s="2">
        <v>52</v>
      </c>
      <c r="B296" s="2">
        <f t="shared" ref="B296:G296" si="157">B300</f>
        <v>1</v>
      </c>
      <c r="C296" s="2">
        <f t="shared" si="157"/>
        <v>4</v>
      </c>
      <c r="D296" s="2">
        <f t="shared" si="157"/>
        <v>294</v>
      </c>
      <c r="E296" s="2">
        <f t="shared" si="157"/>
        <v>0</v>
      </c>
      <c r="F296" s="2" t="str">
        <f t="shared" si="157"/>
        <v>Новый раздел</v>
      </c>
      <c r="G296" s="2" t="str">
        <f t="shared" si="157"/>
        <v>Посадка деревьев с комом земли 1,5х1,5х0,65 м - 4625 шт.</v>
      </c>
      <c r="H296" s="2"/>
      <c r="I296" s="2"/>
      <c r="J296" s="2"/>
      <c r="K296" s="2"/>
      <c r="L296" s="2"/>
      <c r="M296" s="2"/>
      <c r="N296" s="2"/>
      <c r="O296" s="2">
        <f t="shared" ref="O296:AT296" si="158">O300</f>
        <v>1303363.1100000001</v>
      </c>
      <c r="P296" s="2">
        <f t="shared" si="158"/>
        <v>0</v>
      </c>
      <c r="Q296" s="2">
        <f t="shared" si="158"/>
        <v>1303363.1100000001</v>
      </c>
      <c r="R296" s="2">
        <f t="shared" si="158"/>
        <v>0</v>
      </c>
      <c r="S296" s="2">
        <f t="shared" si="158"/>
        <v>0</v>
      </c>
      <c r="T296" s="2">
        <f t="shared" si="158"/>
        <v>0</v>
      </c>
      <c r="U296" s="2">
        <f t="shared" si="158"/>
        <v>0</v>
      </c>
      <c r="V296" s="2">
        <f t="shared" si="158"/>
        <v>0</v>
      </c>
      <c r="W296" s="2">
        <f t="shared" si="158"/>
        <v>0</v>
      </c>
      <c r="X296" s="2">
        <f t="shared" si="158"/>
        <v>0</v>
      </c>
      <c r="Y296" s="2">
        <f t="shared" si="158"/>
        <v>0</v>
      </c>
      <c r="Z296" s="2">
        <f t="shared" si="158"/>
        <v>0</v>
      </c>
      <c r="AA296" s="2">
        <f t="shared" si="158"/>
        <v>0</v>
      </c>
      <c r="AB296" s="2">
        <f t="shared" si="158"/>
        <v>1303363.1100000001</v>
      </c>
      <c r="AC296" s="2">
        <f t="shared" si="158"/>
        <v>0</v>
      </c>
      <c r="AD296" s="2">
        <f t="shared" si="158"/>
        <v>1303363.1100000001</v>
      </c>
      <c r="AE296" s="2">
        <f t="shared" si="158"/>
        <v>0</v>
      </c>
      <c r="AF296" s="2">
        <f t="shared" si="158"/>
        <v>0</v>
      </c>
      <c r="AG296" s="2">
        <f t="shared" si="158"/>
        <v>0</v>
      </c>
      <c r="AH296" s="2">
        <f t="shared" si="158"/>
        <v>0</v>
      </c>
      <c r="AI296" s="2">
        <f t="shared" si="158"/>
        <v>0</v>
      </c>
      <c r="AJ296" s="2">
        <f t="shared" si="158"/>
        <v>0</v>
      </c>
      <c r="AK296" s="2">
        <f t="shared" si="158"/>
        <v>0</v>
      </c>
      <c r="AL296" s="2">
        <f t="shared" si="158"/>
        <v>0</v>
      </c>
      <c r="AM296" s="2">
        <f t="shared" si="158"/>
        <v>0</v>
      </c>
      <c r="AN296" s="2">
        <f t="shared" si="158"/>
        <v>0</v>
      </c>
      <c r="AO296" s="2">
        <f t="shared" si="158"/>
        <v>0</v>
      </c>
      <c r="AP296" s="2">
        <f t="shared" si="158"/>
        <v>0</v>
      </c>
      <c r="AQ296" s="2">
        <f t="shared" si="158"/>
        <v>0</v>
      </c>
      <c r="AR296" s="2">
        <f t="shared" si="158"/>
        <v>1303363.1100000001</v>
      </c>
      <c r="AS296" s="2">
        <f t="shared" si="158"/>
        <v>0</v>
      </c>
      <c r="AT296" s="2">
        <f t="shared" si="158"/>
        <v>0</v>
      </c>
      <c r="AU296" s="2">
        <f t="shared" ref="AU296:BZ296" si="159">AU300</f>
        <v>1303363.1100000001</v>
      </c>
      <c r="AV296" s="2">
        <f t="shared" si="159"/>
        <v>0</v>
      </c>
      <c r="AW296" s="2">
        <f t="shared" si="159"/>
        <v>0</v>
      </c>
      <c r="AX296" s="2">
        <f t="shared" si="159"/>
        <v>0</v>
      </c>
      <c r="AY296" s="2">
        <f t="shared" si="159"/>
        <v>0</v>
      </c>
      <c r="AZ296" s="2">
        <f t="shared" si="159"/>
        <v>0</v>
      </c>
      <c r="BA296" s="2">
        <f t="shared" si="159"/>
        <v>0</v>
      </c>
      <c r="BB296" s="2">
        <f t="shared" si="159"/>
        <v>0</v>
      </c>
      <c r="BC296" s="2">
        <f t="shared" si="159"/>
        <v>0</v>
      </c>
      <c r="BD296" s="2">
        <f t="shared" si="159"/>
        <v>0</v>
      </c>
      <c r="BE296" s="2">
        <f t="shared" si="159"/>
        <v>0</v>
      </c>
      <c r="BF296" s="2">
        <f t="shared" si="159"/>
        <v>0</v>
      </c>
      <c r="BG296" s="2">
        <f t="shared" si="159"/>
        <v>0</v>
      </c>
      <c r="BH296" s="2">
        <f t="shared" si="159"/>
        <v>0</v>
      </c>
      <c r="BI296" s="2">
        <f t="shared" si="159"/>
        <v>0</v>
      </c>
      <c r="BJ296" s="2">
        <f t="shared" si="159"/>
        <v>0</v>
      </c>
      <c r="BK296" s="2">
        <f t="shared" si="159"/>
        <v>0</v>
      </c>
      <c r="BL296" s="2">
        <f t="shared" si="159"/>
        <v>0</v>
      </c>
      <c r="BM296" s="2">
        <f t="shared" si="159"/>
        <v>0</v>
      </c>
      <c r="BN296" s="2">
        <f t="shared" si="159"/>
        <v>0</v>
      </c>
      <c r="BO296" s="2">
        <f t="shared" si="159"/>
        <v>0</v>
      </c>
      <c r="BP296" s="2">
        <f t="shared" si="159"/>
        <v>0</v>
      </c>
      <c r="BQ296" s="2">
        <f t="shared" si="159"/>
        <v>0</v>
      </c>
      <c r="BR296" s="2">
        <f t="shared" si="159"/>
        <v>0</v>
      </c>
      <c r="BS296" s="2">
        <f t="shared" si="159"/>
        <v>0</v>
      </c>
      <c r="BT296" s="2">
        <f t="shared" si="159"/>
        <v>0</v>
      </c>
      <c r="BU296" s="2">
        <f t="shared" si="159"/>
        <v>0</v>
      </c>
      <c r="BV296" s="2">
        <f t="shared" si="159"/>
        <v>0</v>
      </c>
      <c r="BW296" s="2">
        <f t="shared" si="159"/>
        <v>0</v>
      </c>
      <c r="BX296" s="2">
        <f t="shared" si="159"/>
        <v>0</v>
      </c>
      <c r="BY296" s="2">
        <f t="shared" si="159"/>
        <v>0</v>
      </c>
      <c r="BZ296" s="2">
        <f t="shared" si="159"/>
        <v>0</v>
      </c>
      <c r="CA296" s="2">
        <f t="shared" ref="CA296:DF296" si="160">CA300</f>
        <v>1303363.1100000001</v>
      </c>
      <c r="CB296" s="2">
        <f t="shared" si="160"/>
        <v>0</v>
      </c>
      <c r="CC296" s="2">
        <f t="shared" si="160"/>
        <v>0</v>
      </c>
      <c r="CD296" s="2">
        <f t="shared" si="160"/>
        <v>1303363.1100000001</v>
      </c>
      <c r="CE296" s="2">
        <f t="shared" si="160"/>
        <v>0</v>
      </c>
      <c r="CF296" s="2">
        <f t="shared" si="160"/>
        <v>0</v>
      </c>
      <c r="CG296" s="2">
        <f t="shared" si="160"/>
        <v>0</v>
      </c>
      <c r="CH296" s="2">
        <f t="shared" si="160"/>
        <v>0</v>
      </c>
      <c r="CI296" s="2">
        <f t="shared" si="160"/>
        <v>0</v>
      </c>
      <c r="CJ296" s="2">
        <f t="shared" si="160"/>
        <v>0</v>
      </c>
      <c r="CK296" s="2">
        <f t="shared" si="160"/>
        <v>0</v>
      </c>
      <c r="CL296" s="2">
        <f t="shared" si="160"/>
        <v>0</v>
      </c>
      <c r="CM296" s="2">
        <f t="shared" si="160"/>
        <v>0</v>
      </c>
      <c r="CN296" s="2">
        <f t="shared" si="160"/>
        <v>0</v>
      </c>
      <c r="CO296" s="2">
        <f t="shared" si="160"/>
        <v>0</v>
      </c>
      <c r="CP296" s="2">
        <f t="shared" si="160"/>
        <v>0</v>
      </c>
      <c r="CQ296" s="2">
        <f t="shared" si="160"/>
        <v>0</v>
      </c>
      <c r="CR296" s="2">
        <f t="shared" si="160"/>
        <v>0</v>
      </c>
      <c r="CS296" s="2">
        <f t="shared" si="160"/>
        <v>0</v>
      </c>
      <c r="CT296" s="2">
        <f t="shared" si="160"/>
        <v>0</v>
      </c>
      <c r="CU296" s="2">
        <f t="shared" si="160"/>
        <v>0</v>
      </c>
      <c r="CV296" s="2">
        <f t="shared" si="160"/>
        <v>0</v>
      </c>
      <c r="CW296" s="2">
        <f t="shared" si="160"/>
        <v>0</v>
      </c>
      <c r="CX296" s="2">
        <f t="shared" si="160"/>
        <v>0</v>
      </c>
      <c r="CY296" s="2">
        <f t="shared" si="160"/>
        <v>0</v>
      </c>
      <c r="CZ296" s="2">
        <f t="shared" si="160"/>
        <v>0</v>
      </c>
      <c r="DA296" s="2">
        <f t="shared" si="160"/>
        <v>0</v>
      </c>
      <c r="DB296" s="2">
        <f t="shared" si="160"/>
        <v>0</v>
      </c>
      <c r="DC296" s="2">
        <f t="shared" si="160"/>
        <v>0</v>
      </c>
      <c r="DD296" s="2">
        <f t="shared" si="160"/>
        <v>0</v>
      </c>
      <c r="DE296" s="2">
        <f t="shared" si="160"/>
        <v>0</v>
      </c>
      <c r="DF296" s="2">
        <f t="shared" si="160"/>
        <v>0</v>
      </c>
      <c r="DG296" s="3">
        <f t="shared" ref="DG296:EL296" si="161">DG300</f>
        <v>0</v>
      </c>
      <c r="DH296" s="3">
        <f t="shared" si="161"/>
        <v>0</v>
      </c>
      <c r="DI296" s="3">
        <f t="shared" si="161"/>
        <v>0</v>
      </c>
      <c r="DJ296" s="3">
        <f t="shared" si="161"/>
        <v>0</v>
      </c>
      <c r="DK296" s="3">
        <f t="shared" si="161"/>
        <v>0</v>
      </c>
      <c r="DL296" s="3">
        <f t="shared" si="161"/>
        <v>0</v>
      </c>
      <c r="DM296" s="3">
        <f t="shared" si="161"/>
        <v>0</v>
      </c>
      <c r="DN296" s="3">
        <f t="shared" si="161"/>
        <v>0</v>
      </c>
      <c r="DO296" s="3">
        <f t="shared" si="161"/>
        <v>0</v>
      </c>
      <c r="DP296" s="3">
        <f t="shared" si="161"/>
        <v>0</v>
      </c>
      <c r="DQ296" s="3">
        <f t="shared" si="161"/>
        <v>0</v>
      </c>
      <c r="DR296" s="3">
        <f t="shared" si="161"/>
        <v>0</v>
      </c>
      <c r="DS296" s="3">
        <f t="shared" si="161"/>
        <v>0</v>
      </c>
      <c r="DT296" s="3">
        <f t="shared" si="161"/>
        <v>0</v>
      </c>
      <c r="DU296" s="3">
        <f t="shared" si="161"/>
        <v>0</v>
      </c>
      <c r="DV296" s="3">
        <f t="shared" si="161"/>
        <v>0</v>
      </c>
      <c r="DW296" s="3">
        <f t="shared" si="161"/>
        <v>0</v>
      </c>
      <c r="DX296" s="3">
        <f t="shared" si="161"/>
        <v>0</v>
      </c>
      <c r="DY296" s="3">
        <f t="shared" si="161"/>
        <v>0</v>
      </c>
      <c r="DZ296" s="3">
        <f t="shared" si="161"/>
        <v>0</v>
      </c>
      <c r="EA296" s="3">
        <f t="shared" si="161"/>
        <v>0</v>
      </c>
      <c r="EB296" s="3">
        <f t="shared" si="161"/>
        <v>0</v>
      </c>
      <c r="EC296" s="3">
        <f t="shared" si="161"/>
        <v>0</v>
      </c>
      <c r="ED296" s="3">
        <f t="shared" si="161"/>
        <v>0</v>
      </c>
      <c r="EE296" s="3">
        <f t="shared" si="161"/>
        <v>0</v>
      </c>
      <c r="EF296" s="3">
        <f t="shared" si="161"/>
        <v>0</v>
      </c>
      <c r="EG296" s="3">
        <f t="shared" si="161"/>
        <v>0</v>
      </c>
      <c r="EH296" s="3">
        <f t="shared" si="161"/>
        <v>0</v>
      </c>
      <c r="EI296" s="3">
        <f t="shared" si="161"/>
        <v>0</v>
      </c>
      <c r="EJ296" s="3">
        <f t="shared" si="161"/>
        <v>0</v>
      </c>
      <c r="EK296" s="3">
        <f t="shared" si="161"/>
        <v>0</v>
      </c>
      <c r="EL296" s="3">
        <f t="shared" si="161"/>
        <v>0</v>
      </c>
      <c r="EM296" s="3">
        <f t="shared" ref="EM296:FR296" si="162">EM300</f>
        <v>0</v>
      </c>
      <c r="EN296" s="3">
        <f t="shared" si="162"/>
        <v>0</v>
      </c>
      <c r="EO296" s="3">
        <f t="shared" si="162"/>
        <v>0</v>
      </c>
      <c r="EP296" s="3">
        <f t="shared" si="162"/>
        <v>0</v>
      </c>
      <c r="EQ296" s="3">
        <f t="shared" si="162"/>
        <v>0</v>
      </c>
      <c r="ER296" s="3">
        <f t="shared" si="162"/>
        <v>0</v>
      </c>
      <c r="ES296" s="3">
        <f t="shared" si="162"/>
        <v>0</v>
      </c>
      <c r="ET296" s="3">
        <f t="shared" si="162"/>
        <v>0</v>
      </c>
      <c r="EU296" s="3">
        <f t="shared" si="162"/>
        <v>0</v>
      </c>
      <c r="EV296" s="3">
        <f t="shared" si="162"/>
        <v>0</v>
      </c>
      <c r="EW296" s="3">
        <f t="shared" si="162"/>
        <v>0</v>
      </c>
      <c r="EX296" s="3">
        <f t="shared" si="162"/>
        <v>0</v>
      </c>
      <c r="EY296" s="3">
        <f t="shared" si="162"/>
        <v>0</v>
      </c>
      <c r="EZ296" s="3">
        <f t="shared" si="162"/>
        <v>0</v>
      </c>
      <c r="FA296" s="3">
        <f t="shared" si="162"/>
        <v>0</v>
      </c>
      <c r="FB296" s="3">
        <f t="shared" si="162"/>
        <v>0</v>
      </c>
      <c r="FC296" s="3">
        <f t="shared" si="162"/>
        <v>0</v>
      </c>
      <c r="FD296" s="3">
        <f t="shared" si="162"/>
        <v>0</v>
      </c>
      <c r="FE296" s="3">
        <f t="shared" si="162"/>
        <v>0</v>
      </c>
      <c r="FF296" s="3">
        <f t="shared" si="162"/>
        <v>0</v>
      </c>
      <c r="FG296" s="3">
        <f t="shared" si="162"/>
        <v>0</v>
      </c>
      <c r="FH296" s="3">
        <f t="shared" si="162"/>
        <v>0</v>
      </c>
      <c r="FI296" s="3">
        <f t="shared" si="162"/>
        <v>0</v>
      </c>
      <c r="FJ296" s="3">
        <f t="shared" si="162"/>
        <v>0</v>
      </c>
      <c r="FK296" s="3">
        <f t="shared" si="162"/>
        <v>0</v>
      </c>
      <c r="FL296" s="3">
        <f t="shared" si="162"/>
        <v>0</v>
      </c>
      <c r="FM296" s="3">
        <f t="shared" si="162"/>
        <v>0</v>
      </c>
      <c r="FN296" s="3">
        <f t="shared" si="162"/>
        <v>0</v>
      </c>
      <c r="FO296" s="3">
        <f t="shared" si="162"/>
        <v>0</v>
      </c>
      <c r="FP296" s="3">
        <f t="shared" si="162"/>
        <v>0</v>
      </c>
      <c r="FQ296" s="3">
        <f t="shared" si="162"/>
        <v>0</v>
      </c>
      <c r="FR296" s="3">
        <f t="shared" si="162"/>
        <v>0</v>
      </c>
      <c r="FS296" s="3">
        <f t="shared" ref="FS296:GX296" si="163">FS300</f>
        <v>0</v>
      </c>
      <c r="FT296" s="3">
        <f t="shared" si="163"/>
        <v>0</v>
      </c>
      <c r="FU296" s="3">
        <f t="shared" si="163"/>
        <v>0</v>
      </c>
      <c r="FV296" s="3">
        <f t="shared" si="163"/>
        <v>0</v>
      </c>
      <c r="FW296" s="3">
        <f t="shared" si="163"/>
        <v>0</v>
      </c>
      <c r="FX296" s="3">
        <f t="shared" si="163"/>
        <v>0</v>
      </c>
      <c r="FY296" s="3">
        <f t="shared" si="163"/>
        <v>0</v>
      </c>
      <c r="FZ296" s="3">
        <f t="shared" si="163"/>
        <v>0</v>
      </c>
      <c r="GA296" s="3">
        <f t="shared" si="163"/>
        <v>0</v>
      </c>
      <c r="GB296" s="3">
        <f t="shared" si="163"/>
        <v>0</v>
      </c>
      <c r="GC296" s="3">
        <f t="shared" si="163"/>
        <v>0</v>
      </c>
      <c r="GD296" s="3">
        <f t="shared" si="163"/>
        <v>0</v>
      </c>
      <c r="GE296" s="3">
        <f t="shared" si="163"/>
        <v>0</v>
      </c>
      <c r="GF296" s="3">
        <f t="shared" si="163"/>
        <v>0</v>
      </c>
      <c r="GG296" s="3">
        <f t="shared" si="163"/>
        <v>0</v>
      </c>
      <c r="GH296" s="3">
        <f t="shared" si="163"/>
        <v>0</v>
      </c>
      <c r="GI296" s="3">
        <f t="shared" si="163"/>
        <v>0</v>
      </c>
      <c r="GJ296" s="3">
        <f t="shared" si="163"/>
        <v>0</v>
      </c>
      <c r="GK296" s="3">
        <f t="shared" si="163"/>
        <v>0</v>
      </c>
      <c r="GL296" s="3">
        <f t="shared" si="163"/>
        <v>0</v>
      </c>
      <c r="GM296" s="3">
        <f t="shared" si="163"/>
        <v>0</v>
      </c>
      <c r="GN296" s="3">
        <f t="shared" si="163"/>
        <v>0</v>
      </c>
      <c r="GO296" s="3">
        <f t="shared" si="163"/>
        <v>0</v>
      </c>
      <c r="GP296" s="3">
        <f t="shared" si="163"/>
        <v>0</v>
      </c>
      <c r="GQ296" s="3">
        <f t="shared" si="163"/>
        <v>0</v>
      </c>
      <c r="GR296" s="3">
        <f t="shared" si="163"/>
        <v>0</v>
      </c>
      <c r="GS296" s="3">
        <f t="shared" si="163"/>
        <v>0</v>
      </c>
      <c r="GT296" s="3">
        <f t="shared" si="163"/>
        <v>0</v>
      </c>
      <c r="GU296" s="3">
        <f t="shared" si="163"/>
        <v>0</v>
      </c>
      <c r="GV296" s="3">
        <f t="shared" si="163"/>
        <v>0</v>
      </c>
      <c r="GW296" s="3">
        <f t="shared" si="163"/>
        <v>0</v>
      </c>
      <c r="GX296" s="3">
        <f t="shared" si="163"/>
        <v>0</v>
      </c>
    </row>
    <row r="298" spans="1:245" x14ac:dyDescent="0.2">
      <c r="A298">
        <v>17</v>
      </c>
      <c r="B298">
        <v>1</v>
      </c>
      <c r="C298">
        <f>ROW(SmtRes!A57)</f>
        <v>57</v>
      </c>
      <c r="D298">
        <f>ROW(EtalonRes!A61)</f>
        <v>61</v>
      </c>
      <c r="E298" t="s">
        <v>165</v>
      </c>
      <c r="F298" t="s">
        <v>166</v>
      </c>
      <c r="G298" t="s">
        <v>167</v>
      </c>
      <c r="H298" t="s">
        <v>168</v>
      </c>
      <c r="I298">
        <f>ROUND(15355*1.4,9)</f>
        <v>21497</v>
      </c>
      <c r="J298">
        <v>0</v>
      </c>
      <c r="O298">
        <f>ROUND(CP298,2)</f>
        <v>1303363.1100000001</v>
      </c>
      <c r="P298">
        <f>ROUND((ROUND((AC298*AW298*I298),2)*BC298),2)</f>
        <v>0</v>
      </c>
      <c r="Q298">
        <f>(ROUND((ROUND(((ET298)*AV298*I298),2)*BB298),2)+ROUND((ROUND(((AE298-(EU298))*AV298*I298),2)*BS298),2))</f>
        <v>1303363.1100000001</v>
      </c>
      <c r="R298">
        <f>ROUND((ROUND((AE298*AV298*I298),2)*BS298),2)</f>
        <v>0</v>
      </c>
      <c r="S298">
        <f>ROUND((ROUND((AF298*AV298*I298),2)*BA298),2)</f>
        <v>0</v>
      </c>
      <c r="T298">
        <f>ROUND(CU298*I298,2)</f>
        <v>0</v>
      </c>
      <c r="U298">
        <f>CV298*I298</f>
        <v>0</v>
      </c>
      <c r="V298">
        <f>CW298*I298</f>
        <v>0</v>
      </c>
      <c r="W298">
        <f>ROUND(CX298*I298,2)</f>
        <v>0</v>
      </c>
      <c r="X298">
        <f>ROUND(CY298,2)</f>
        <v>0</v>
      </c>
      <c r="Y298">
        <f>ROUND(CZ298,2)</f>
        <v>0</v>
      </c>
      <c r="AA298">
        <v>49688178</v>
      </c>
      <c r="AB298">
        <f>ROUND((AC298+AD298+AF298),6)</f>
        <v>5.64</v>
      </c>
      <c r="AC298">
        <f>ROUND((ES298),6)</f>
        <v>0</v>
      </c>
      <c r="AD298">
        <f>ROUND((((ET298)-(EU298))+AE298),6)</f>
        <v>5.64</v>
      </c>
      <c r="AE298">
        <f>ROUND((EU298),6)</f>
        <v>0</v>
      </c>
      <c r="AF298">
        <f>ROUND((EV298),6)</f>
        <v>0</v>
      </c>
      <c r="AG298">
        <f>ROUND((AP298),6)</f>
        <v>0</v>
      </c>
      <c r="AH298">
        <f>(EW298)</f>
        <v>0</v>
      </c>
      <c r="AI298">
        <f>(EX298)</f>
        <v>0</v>
      </c>
      <c r="AJ298">
        <f>(AS298)</f>
        <v>0</v>
      </c>
      <c r="AK298">
        <v>5.64</v>
      </c>
      <c r="AL298">
        <v>0</v>
      </c>
      <c r="AM298">
        <v>5.64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93</v>
      </c>
      <c r="AU298">
        <v>64</v>
      </c>
      <c r="AV298">
        <v>1</v>
      </c>
      <c r="AW298">
        <v>1</v>
      </c>
      <c r="AZ298">
        <v>1</v>
      </c>
      <c r="BA298">
        <v>1</v>
      </c>
      <c r="BB298">
        <v>10.75</v>
      </c>
      <c r="BC298">
        <v>1</v>
      </c>
      <c r="BD298" t="s">
        <v>5</v>
      </c>
      <c r="BE298" t="s">
        <v>5</v>
      </c>
      <c r="BF298" t="s">
        <v>5</v>
      </c>
      <c r="BG298" t="s">
        <v>5</v>
      </c>
      <c r="BH298">
        <v>0</v>
      </c>
      <c r="BI298">
        <v>4</v>
      </c>
      <c r="BJ298" t="s">
        <v>169</v>
      </c>
      <c r="BM298">
        <v>1111</v>
      </c>
      <c r="BN298">
        <v>0</v>
      </c>
      <c r="BO298" t="s">
        <v>166</v>
      </c>
      <c r="BP298">
        <v>1</v>
      </c>
      <c r="BQ298">
        <v>150</v>
      </c>
      <c r="BR298">
        <v>0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 t="s">
        <v>5</v>
      </c>
      <c r="BZ298">
        <v>93</v>
      </c>
      <c r="CA298">
        <v>64</v>
      </c>
      <c r="CE298">
        <v>30</v>
      </c>
      <c r="CF298">
        <v>0</v>
      </c>
      <c r="CG298">
        <v>0</v>
      </c>
      <c r="CM298">
        <v>0</v>
      </c>
      <c r="CN298" t="s">
        <v>5</v>
      </c>
      <c r="CO298">
        <v>0</v>
      </c>
      <c r="CP298">
        <f>(P298+Q298+S298)</f>
        <v>1303363.1100000001</v>
      </c>
      <c r="CQ298">
        <f>ROUND((ROUND((AC298*AW298*1),2)*BC298),2)</f>
        <v>0</v>
      </c>
      <c r="CR298">
        <f>(ROUND((ROUND(((ET298)*AV298*1),2)*BB298),2)+ROUND((ROUND(((AE298-(EU298))*AV298*1),2)*BS298),2))</f>
        <v>60.63</v>
      </c>
      <c r="CS298">
        <f>ROUND((ROUND((AE298*AV298*1),2)*BS298),2)</f>
        <v>0</v>
      </c>
      <c r="CT298">
        <f>ROUND((ROUND((AF298*AV298*1),2)*BA298),2)</f>
        <v>0</v>
      </c>
      <c r="CU298">
        <f>AG298</f>
        <v>0</v>
      </c>
      <c r="CV298">
        <f>(AH298*AV298)</f>
        <v>0</v>
      </c>
      <c r="CW298">
        <f>AI298</f>
        <v>0</v>
      </c>
      <c r="CX298">
        <f>AJ298</f>
        <v>0</v>
      </c>
      <c r="CY298">
        <f>S298*(BZ298/100)</f>
        <v>0</v>
      </c>
      <c r="CZ298">
        <f>S298*(CA298/100)</f>
        <v>0</v>
      </c>
      <c r="DC298" t="s">
        <v>5</v>
      </c>
      <c r="DD298" t="s">
        <v>5</v>
      </c>
      <c r="DE298" t="s">
        <v>5</v>
      </c>
      <c r="DF298" t="s">
        <v>5</v>
      </c>
      <c r="DG298" t="s">
        <v>5</v>
      </c>
      <c r="DH298" t="s">
        <v>5</v>
      </c>
      <c r="DI298" t="s">
        <v>5</v>
      </c>
      <c r="DJ298" t="s">
        <v>5</v>
      </c>
      <c r="DK298" t="s">
        <v>5</v>
      </c>
      <c r="DL298" t="s">
        <v>5</v>
      </c>
      <c r="DM298" t="s">
        <v>5</v>
      </c>
      <c r="DN298">
        <v>0</v>
      </c>
      <c r="DO298">
        <v>0</v>
      </c>
      <c r="DP298">
        <v>1</v>
      </c>
      <c r="DQ298">
        <v>1</v>
      </c>
      <c r="DU298">
        <v>1009</v>
      </c>
      <c r="DV298" t="s">
        <v>168</v>
      </c>
      <c r="DW298" t="s">
        <v>168</v>
      </c>
      <c r="DX298">
        <v>1000</v>
      </c>
      <c r="DZ298" t="s">
        <v>5</v>
      </c>
      <c r="EA298" t="s">
        <v>5</v>
      </c>
      <c r="EB298" t="s">
        <v>5</v>
      </c>
      <c r="EC298" t="s">
        <v>5</v>
      </c>
      <c r="EE298">
        <v>49388807</v>
      </c>
      <c r="EF298">
        <v>150</v>
      </c>
      <c r="EG298" t="s">
        <v>170</v>
      </c>
      <c r="EH298">
        <v>0</v>
      </c>
      <c r="EI298" t="s">
        <v>5</v>
      </c>
      <c r="EJ298">
        <v>4</v>
      </c>
      <c r="EK298">
        <v>1111</v>
      </c>
      <c r="EL298" t="s">
        <v>171</v>
      </c>
      <c r="EM298" t="s">
        <v>172</v>
      </c>
      <c r="EO298" t="s">
        <v>5</v>
      </c>
      <c r="EQ298">
        <v>0</v>
      </c>
      <c r="ER298">
        <v>5.64</v>
      </c>
      <c r="ES298">
        <v>0</v>
      </c>
      <c r="ET298">
        <v>5.64</v>
      </c>
      <c r="EU298">
        <v>0</v>
      </c>
      <c r="EV298">
        <v>0</v>
      </c>
      <c r="EW298">
        <v>0</v>
      </c>
      <c r="EX298">
        <v>0</v>
      </c>
      <c r="EY298">
        <v>0</v>
      </c>
      <c r="FQ298">
        <v>0</v>
      </c>
      <c r="FR298">
        <f>ROUND(IF(AND(BH298=3,BI298=3),P298,0),2)</f>
        <v>0</v>
      </c>
      <c r="FS298">
        <v>0</v>
      </c>
      <c r="FX298">
        <v>0</v>
      </c>
      <c r="FY298">
        <v>0</v>
      </c>
      <c r="GA298" t="s">
        <v>5</v>
      </c>
      <c r="GD298">
        <v>0</v>
      </c>
      <c r="GF298">
        <v>-1688412487</v>
      </c>
      <c r="GG298">
        <v>2</v>
      </c>
      <c r="GH298">
        <v>1</v>
      </c>
      <c r="GI298">
        <v>2</v>
      </c>
      <c r="GJ298">
        <v>0</v>
      </c>
      <c r="GK298">
        <f>ROUND(R298*(R12)/100,2)</f>
        <v>0</v>
      </c>
      <c r="GL298">
        <f>ROUND(IF(AND(BH298=3,BI298=3,FS298&lt;&gt;0),P298,0),2)</f>
        <v>0</v>
      </c>
      <c r="GM298">
        <f>ROUND(O298+X298+Y298+GK298,2)+GX298</f>
        <v>1303363.1100000001</v>
      </c>
      <c r="GN298">
        <f>IF(OR(BI298=0,BI298=1),ROUND(O298+X298+Y298+GK298,2),0)</f>
        <v>0</v>
      </c>
      <c r="GO298">
        <f>IF(BI298=2,ROUND(O298+X298+Y298+GK298,2),0)</f>
        <v>0</v>
      </c>
      <c r="GP298">
        <f>IF(BI298=4,ROUND(O298+X298+Y298+GK298,2)+GX298,0)</f>
        <v>1303363.1100000001</v>
      </c>
      <c r="GR298">
        <v>0</v>
      </c>
      <c r="GS298">
        <v>3</v>
      </c>
      <c r="GT298">
        <v>0</v>
      </c>
      <c r="GU298" t="s">
        <v>5</v>
      </c>
      <c r="GV298">
        <f>ROUND((GT298),6)</f>
        <v>0</v>
      </c>
      <c r="GW298">
        <v>1</v>
      </c>
      <c r="GX298">
        <f>ROUND(HC298*I298,2)</f>
        <v>0</v>
      </c>
      <c r="HA298">
        <v>0</v>
      </c>
      <c r="HB298">
        <v>0</v>
      </c>
      <c r="HC298">
        <f>GV298*GW298</f>
        <v>0</v>
      </c>
      <c r="HE298" t="s">
        <v>5</v>
      </c>
      <c r="HF298" t="s">
        <v>5</v>
      </c>
      <c r="IK298">
        <v>0</v>
      </c>
    </row>
    <row r="300" spans="1:245" x14ac:dyDescent="0.2">
      <c r="A300" s="2">
        <v>51</v>
      </c>
      <c r="B300" s="2">
        <f>B294</f>
        <v>1</v>
      </c>
      <c r="C300" s="2">
        <f>A294</f>
        <v>4</v>
      </c>
      <c r="D300" s="2">
        <f>ROW(A294)</f>
        <v>294</v>
      </c>
      <c r="E300" s="2"/>
      <c r="F300" s="2" t="str">
        <f>IF(F294&lt;&gt;"",F294,"")</f>
        <v>Новый раздел</v>
      </c>
      <c r="G300" s="2" t="str">
        <f>IF(G294&lt;&gt;"",G294,"")</f>
        <v>Посадка деревьев с комом земли 1,5х1,5х0,65 м - 4625 шт.</v>
      </c>
      <c r="H300" s="2">
        <v>0</v>
      </c>
      <c r="I300" s="2"/>
      <c r="J300" s="2"/>
      <c r="K300" s="2"/>
      <c r="L300" s="2"/>
      <c r="M300" s="2"/>
      <c r="N300" s="2"/>
      <c r="O300" s="2">
        <f t="shared" ref="O300:T300" si="164">ROUND(AB300,2)</f>
        <v>1303363.1100000001</v>
      </c>
      <c r="P300" s="2">
        <f t="shared" si="164"/>
        <v>0</v>
      </c>
      <c r="Q300" s="2">
        <f t="shared" si="164"/>
        <v>1303363.1100000001</v>
      </c>
      <c r="R300" s="2">
        <f t="shared" si="164"/>
        <v>0</v>
      </c>
      <c r="S300" s="2">
        <f t="shared" si="164"/>
        <v>0</v>
      </c>
      <c r="T300" s="2">
        <f t="shared" si="164"/>
        <v>0</v>
      </c>
      <c r="U300" s="2">
        <f>AH300</f>
        <v>0</v>
      </c>
      <c r="V300" s="2">
        <f>AI300</f>
        <v>0</v>
      </c>
      <c r="W300" s="2">
        <f>ROUND(AJ300,2)</f>
        <v>0</v>
      </c>
      <c r="X300" s="2">
        <f>ROUND(AK300,2)</f>
        <v>0</v>
      </c>
      <c r="Y300" s="2">
        <f>ROUND(AL300,2)</f>
        <v>0</v>
      </c>
      <c r="Z300" s="2"/>
      <c r="AA300" s="2"/>
      <c r="AB300" s="2">
        <f>ROUND(SUMIF(AA298:AA298,"=49688178",O298:O298),2)</f>
        <v>1303363.1100000001</v>
      </c>
      <c r="AC300" s="2">
        <f>ROUND(SUMIF(AA298:AA298,"=49688178",P298:P298),2)</f>
        <v>0</v>
      </c>
      <c r="AD300" s="2">
        <f>ROUND(SUMIF(AA298:AA298,"=49688178",Q298:Q298),2)</f>
        <v>1303363.1100000001</v>
      </c>
      <c r="AE300" s="2">
        <f>ROUND(SUMIF(AA298:AA298,"=49688178",R298:R298),2)</f>
        <v>0</v>
      </c>
      <c r="AF300" s="2">
        <f>ROUND(SUMIF(AA298:AA298,"=49688178",S298:S298),2)</f>
        <v>0</v>
      </c>
      <c r="AG300" s="2">
        <f>ROUND(SUMIF(AA298:AA298,"=49688178",T298:T298),2)</f>
        <v>0</v>
      </c>
      <c r="AH300" s="2">
        <f>SUMIF(AA298:AA298,"=49688178",U298:U298)</f>
        <v>0</v>
      </c>
      <c r="AI300" s="2">
        <f>SUMIF(AA298:AA298,"=49688178",V298:V298)</f>
        <v>0</v>
      </c>
      <c r="AJ300" s="2">
        <f>ROUND(SUMIF(AA298:AA298,"=49688178",W298:W298),2)</f>
        <v>0</v>
      </c>
      <c r="AK300" s="2">
        <f>ROUND(SUMIF(AA298:AA298,"=49688178",X298:X298),2)</f>
        <v>0</v>
      </c>
      <c r="AL300" s="2">
        <f>ROUND(SUMIF(AA298:AA298,"=49688178",Y298:Y298),2)</f>
        <v>0</v>
      </c>
      <c r="AM300" s="2"/>
      <c r="AN300" s="2"/>
      <c r="AO300" s="2">
        <f t="shared" ref="AO300:BD300" si="165">ROUND(BX300,2)</f>
        <v>0</v>
      </c>
      <c r="AP300" s="2">
        <f t="shared" si="165"/>
        <v>0</v>
      </c>
      <c r="AQ300" s="2">
        <f t="shared" si="165"/>
        <v>0</v>
      </c>
      <c r="AR300" s="2">
        <f t="shared" si="165"/>
        <v>1303363.1100000001</v>
      </c>
      <c r="AS300" s="2">
        <f t="shared" si="165"/>
        <v>0</v>
      </c>
      <c r="AT300" s="2">
        <f t="shared" si="165"/>
        <v>0</v>
      </c>
      <c r="AU300" s="2">
        <f t="shared" si="165"/>
        <v>1303363.1100000001</v>
      </c>
      <c r="AV300" s="2">
        <f t="shared" si="165"/>
        <v>0</v>
      </c>
      <c r="AW300" s="2">
        <f t="shared" si="165"/>
        <v>0</v>
      </c>
      <c r="AX300" s="2">
        <f t="shared" si="165"/>
        <v>0</v>
      </c>
      <c r="AY300" s="2">
        <f t="shared" si="165"/>
        <v>0</v>
      </c>
      <c r="AZ300" s="2">
        <f t="shared" si="165"/>
        <v>0</v>
      </c>
      <c r="BA300" s="2">
        <f t="shared" si="165"/>
        <v>0</v>
      </c>
      <c r="BB300" s="2">
        <f t="shared" si="165"/>
        <v>0</v>
      </c>
      <c r="BC300" s="2">
        <f t="shared" si="165"/>
        <v>0</v>
      </c>
      <c r="BD300" s="2">
        <f t="shared" si="165"/>
        <v>0</v>
      </c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>
        <f>ROUND(SUMIF(AA298:AA298,"=49688178",FQ298:FQ298),2)</f>
        <v>0</v>
      </c>
      <c r="BY300" s="2">
        <f>ROUND(SUMIF(AA298:AA298,"=49688178",FR298:FR298),2)</f>
        <v>0</v>
      </c>
      <c r="BZ300" s="2">
        <f>ROUND(SUMIF(AA298:AA298,"=49688178",GL298:GL298),2)</f>
        <v>0</v>
      </c>
      <c r="CA300" s="2">
        <f>ROUND(SUMIF(AA298:AA298,"=49688178",GM298:GM298),2)</f>
        <v>1303363.1100000001</v>
      </c>
      <c r="CB300" s="2">
        <f>ROUND(SUMIF(AA298:AA298,"=49688178",GN298:GN298),2)</f>
        <v>0</v>
      </c>
      <c r="CC300" s="2">
        <f>ROUND(SUMIF(AA298:AA298,"=49688178",GO298:GO298),2)</f>
        <v>0</v>
      </c>
      <c r="CD300" s="2">
        <f>ROUND(SUMIF(AA298:AA298,"=49688178",GP298:GP298),2)</f>
        <v>1303363.1100000001</v>
      </c>
      <c r="CE300" s="2">
        <f>AC300-BX300</f>
        <v>0</v>
      </c>
      <c r="CF300" s="2">
        <f>AC300-BY300</f>
        <v>0</v>
      </c>
      <c r="CG300" s="2">
        <f>BX300-BZ300</f>
        <v>0</v>
      </c>
      <c r="CH300" s="2">
        <f>AC300-BX300-BY300+BZ300</f>
        <v>0</v>
      </c>
      <c r="CI300" s="2">
        <f>BY300-BZ300</f>
        <v>0</v>
      </c>
      <c r="CJ300" s="2">
        <f>ROUND(SUMIF(AA298:AA298,"=49688178",GX298:GX298),2)</f>
        <v>0</v>
      </c>
      <c r="CK300" s="2">
        <f>ROUND(SUMIF(AA298:AA298,"=49688178",GY298:GY298),2)</f>
        <v>0</v>
      </c>
      <c r="CL300" s="2">
        <f>ROUND(SUMIF(AA298:AA298,"=49688178",GZ298:GZ298),2)</f>
        <v>0</v>
      </c>
      <c r="CM300" s="2">
        <f>ROUND(SUMIF(AA298:AA298,"=49688178",HD298:HD298),2)</f>
        <v>0</v>
      </c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>
        <v>0</v>
      </c>
    </row>
    <row r="302" spans="1:245" x14ac:dyDescent="0.2">
      <c r="A302" s="4">
        <v>50</v>
      </c>
      <c r="B302" s="4">
        <v>0</v>
      </c>
      <c r="C302" s="4">
        <v>0</v>
      </c>
      <c r="D302" s="4">
        <v>1</v>
      </c>
      <c r="E302" s="4">
        <v>201</v>
      </c>
      <c r="F302" s="4">
        <f>ROUND(Source!O300,O302)</f>
        <v>1303363.1100000001</v>
      </c>
      <c r="G302" s="4" t="s">
        <v>51</v>
      </c>
      <c r="H302" s="4" t="s">
        <v>52</v>
      </c>
      <c r="I302" s="4"/>
      <c r="J302" s="4"/>
      <c r="K302" s="4">
        <v>201</v>
      </c>
      <c r="L302" s="4">
        <v>1</v>
      </c>
      <c r="M302" s="4">
        <v>3</v>
      </c>
      <c r="N302" s="4" t="s">
        <v>5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45" x14ac:dyDescent="0.2">
      <c r="A303" s="4">
        <v>50</v>
      </c>
      <c r="B303" s="4">
        <v>0</v>
      </c>
      <c r="C303" s="4">
        <v>0</v>
      </c>
      <c r="D303" s="4">
        <v>1</v>
      </c>
      <c r="E303" s="4">
        <v>202</v>
      </c>
      <c r="F303" s="4">
        <f>ROUND(Source!P300,O303)</f>
        <v>0</v>
      </c>
      <c r="G303" s="4" t="s">
        <v>53</v>
      </c>
      <c r="H303" s="4" t="s">
        <v>54</v>
      </c>
      <c r="I303" s="4"/>
      <c r="J303" s="4"/>
      <c r="K303" s="4">
        <v>202</v>
      </c>
      <c r="L303" s="4">
        <v>2</v>
      </c>
      <c r="M303" s="4">
        <v>3</v>
      </c>
      <c r="N303" s="4" t="s">
        <v>5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45" x14ac:dyDescent="0.2">
      <c r="A304" s="4">
        <v>50</v>
      </c>
      <c r="B304" s="4">
        <v>0</v>
      </c>
      <c r="C304" s="4">
        <v>0</v>
      </c>
      <c r="D304" s="4">
        <v>1</v>
      </c>
      <c r="E304" s="4">
        <v>222</v>
      </c>
      <c r="F304" s="4">
        <f>ROUND(Source!AO300,O304)</f>
        <v>0</v>
      </c>
      <c r="G304" s="4" t="s">
        <v>55</v>
      </c>
      <c r="H304" s="4" t="s">
        <v>56</v>
      </c>
      <c r="I304" s="4"/>
      <c r="J304" s="4"/>
      <c r="K304" s="4">
        <v>222</v>
      </c>
      <c r="L304" s="4">
        <v>3</v>
      </c>
      <c r="M304" s="4">
        <v>3</v>
      </c>
      <c r="N304" s="4" t="s">
        <v>5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>
        <v>50</v>
      </c>
      <c r="B305" s="4">
        <v>0</v>
      </c>
      <c r="C305" s="4">
        <v>0</v>
      </c>
      <c r="D305" s="4">
        <v>1</v>
      </c>
      <c r="E305" s="4">
        <v>225</v>
      </c>
      <c r="F305" s="4">
        <f>ROUND(Source!AV300,O305)</f>
        <v>0</v>
      </c>
      <c r="G305" s="4" t="s">
        <v>57</v>
      </c>
      <c r="H305" s="4" t="s">
        <v>58</v>
      </c>
      <c r="I305" s="4"/>
      <c r="J305" s="4"/>
      <c r="K305" s="4">
        <v>225</v>
      </c>
      <c r="L305" s="4">
        <v>4</v>
      </c>
      <c r="M305" s="4">
        <v>3</v>
      </c>
      <c r="N305" s="4" t="s">
        <v>5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>
        <v>50</v>
      </c>
      <c r="B306" s="4">
        <v>0</v>
      </c>
      <c r="C306" s="4">
        <v>0</v>
      </c>
      <c r="D306" s="4">
        <v>1</v>
      </c>
      <c r="E306" s="4">
        <v>226</v>
      </c>
      <c r="F306" s="4">
        <f>ROUND(Source!AW300,O306)</f>
        <v>0</v>
      </c>
      <c r="G306" s="4" t="s">
        <v>59</v>
      </c>
      <c r="H306" s="4" t="s">
        <v>60</v>
      </c>
      <c r="I306" s="4"/>
      <c r="J306" s="4"/>
      <c r="K306" s="4">
        <v>226</v>
      </c>
      <c r="L306" s="4">
        <v>5</v>
      </c>
      <c r="M306" s="4">
        <v>3</v>
      </c>
      <c r="N306" s="4" t="s">
        <v>5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>
        <v>50</v>
      </c>
      <c r="B307" s="4">
        <v>0</v>
      </c>
      <c r="C307" s="4">
        <v>0</v>
      </c>
      <c r="D307" s="4">
        <v>1</v>
      </c>
      <c r="E307" s="4">
        <v>227</v>
      </c>
      <c r="F307" s="4">
        <f>ROUND(Source!AX300,O307)</f>
        <v>0</v>
      </c>
      <c r="G307" s="4" t="s">
        <v>61</v>
      </c>
      <c r="H307" s="4" t="s">
        <v>62</v>
      </c>
      <c r="I307" s="4"/>
      <c r="J307" s="4"/>
      <c r="K307" s="4">
        <v>227</v>
      </c>
      <c r="L307" s="4">
        <v>6</v>
      </c>
      <c r="M307" s="4">
        <v>3</v>
      </c>
      <c r="N307" s="4" t="s">
        <v>5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>
        <v>50</v>
      </c>
      <c r="B308" s="4">
        <v>0</v>
      </c>
      <c r="C308" s="4">
        <v>0</v>
      </c>
      <c r="D308" s="4">
        <v>1</v>
      </c>
      <c r="E308" s="4">
        <v>228</v>
      </c>
      <c r="F308" s="4">
        <f>ROUND(Source!AY300,O308)</f>
        <v>0</v>
      </c>
      <c r="G308" s="4" t="s">
        <v>63</v>
      </c>
      <c r="H308" s="4" t="s">
        <v>64</v>
      </c>
      <c r="I308" s="4"/>
      <c r="J308" s="4"/>
      <c r="K308" s="4">
        <v>228</v>
      </c>
      <c r="L308" s="4">
        <v>7</v>
      </c>
      <c r="M308" s="4">
        <v>3</v>
      </c>
      <c r="N308" s="4" t="s">
        <v>5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>
        <v>50</v>
      </c>
      <c r="B309" s="4">
        <v>0</v>
      </c>
      <c r="C309" s="4">
        <v>0</v>
      </c>
      <c r="D309" s="4">
        <v>1</v>
      </c>
      <c r="E309" s="4">
        <v>216</v>
      </c>
      <c r="F309" s="4">
        <f>ROUND(Source!AP300,O309)</f>
        <v>0</v>
      </c>
      <c r="G309" s="4" t="s">
        <v>65</v>
      </c>
      <c r="H309" s="4" t="s">
        <v>66</v>
      </c>
      <c r="I309" s="4"/>
      <c r="J309" s="4"/>
      <c r="K309" s="4">
        <v>216</v>
      </c>
      <c r="L309" s="4">
        <v>8</v>
      </c>
      <c r="M309" s="4">
        <v>3</v>
      </c>
      <c r="N309" s="4" t="s">
        <v>5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>
        <v>50</v>
      </c>
      <c r="B310" s="4">
        <v>0</v>
      </c>
      <c r="C310" s="4">
        <v>0</v>
      </c>
      <c r="D310" s="4">
        <v>1</v>
      </c>
      <c r="E310" s="4">
        <v>223</v>
      </c>
      <c r="F310" s="4">
        <f>ROUND(Source!AQ300,O310)</f>
        <v>0</v>
      </c>
      <c r="G310" s="4" t="s">
        <v>67</v>
      </c>
      <c r="H310" s="4" t="s">
        <v>68</v>
      </c>
      <c r="I310" s="4"/>
      <c r="J310" s="4"/>
      <c r="K310" s="4">
        <v>223</v>
      </c>
      <c r="L310" s="4">
        <v>9</v>
      </c>
      <c r="M310" s="4">
        <v>3</v>
      </c>
      <c r="N310" s="4" t="s">
        <v>5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>
        <v>50</v>
      </c>
      <c r="B311" s="4">
        <v>0</v>
      </c>
      <c r="C311" s="4">
        <v>0</v>
      </c>
      <c r="D311" s="4">
        <v>1</v>
      </c>
      <c r="E311" s="4">
        <v>229</v>
      </c>
      <c r="F311" s="4">
        <f>ROUND(Source!AZ300,O311)</f>
        <v>0</v>
      </c>
      <c r="G311" s="4" t="s">
        <v>69</v>
      </c>
      <c r="H311" s="4" t="s">
        <v>70</v>
      </c>
      <c r="I311" s="4"/>
      <c r="J311" s="4"/>
      <c r="K311" s="4">
        <v>229</v>
      </c>
      <c r="L311" s="4">
        <v>10</v>
      </c>
      <c r="M311" s="4">
        <v>3</v>
      </c>
      <c r="N311" s="4" t="s">
        <v>5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>
        <v>50</v>
      </c>
      <c r="B312" s="4">
        <v>0</v>
      </c>
      <c r="C312" s="4">
        <v>0</v>
      </c>
      <c r="D312" s="4">
        <v>1</v>
      </c>
      <c r="E312" s="4">
        <v>203</v>
      </c>
      <c r="F312" s="4">
        <f>ROUND(Source!Q300,O312)</f>
        <v>1303363.1100000001</v>
      </c>
      <c r="G312" s="4" t="s">
        <v>71</v>
      </c>
      <c r="H312" s="4" t="s">
        <v>72</v>
      </c>
      <c r="I312" s="4"/>
      <c r="J312" s="4"/>
      <c r="K312" s="4">
        <v>203</v>
      </c>
      <c r="L312" s="4">
        <v>11</v>
      </c>
      <c r="M312" s="4">
        <v>3</v>
      </c>
      <c r="N312" s="4" t="s">
        <v>5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>
        <v>50</v>
      </c>
      <c r="B313" s="4">
        <v>0</v>
      </c>
      <c r="C313" s="4">
        <v>0</v>
      </c>
      <c r="D313" s="4">
        <v>1</v>
      </c>
      <c r="E313" s="4">
        <v>231</v>
      </c>
      <c r="F313" s="4">
        <f>ROUND(Source!BB300,O313)</f>
        <v>0</v>
      </c>
      <c r="G313" s="4" t="s">
        <v>73</v>
      </c>
      <c r="H313" s="4" t="s">
        <v>74</v>
      </c>
      <c r="I313" s="4"/>
      <c r="J313" s="4"/>
      <c r="K313" s="4">
        <v>231</v>
      </c>
      <c r="L313" s="4">
        <v>12</v>
      </c>
      <c r="M313" s="4">
        <v>3</v>
      </c>
      <c r="N313" s="4" t="s">
        <v>5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>
        <v>50</v>
      </c>
      <c r="B314" s="4">
        <v>0</v>
      </c>
      <c r="C314" s="4">
        <v>0</v>
      </c>
      <c r="D314" s="4">
        <v>1</v>
      </c>
      <c r="E314" s="4">
        <v>204</v>
      </c>
      <c r="F314" s="4">
        <f>ROUND(Source!R300,O314)</f>
        <v>0</v>
      </c>
      <c r="G314" s="4" t="s">
        <v>75</v>
      </c>
      <c r="H314" s="4" t="s">
        <v>76</v>
      </c>
      <c r="I314" s="4"/>
      <c r="J314" s="4"/>
      <c r="K314" s="4">
        <v>204</v>
      </c>
      <c r="L314" s="4">
        <v>13</v>
      </c>
      <c r="M314" s="4">
        <v>3</v>
      </c>
      <c r="N314" s="4" t="s">
        <v>5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>
        <v>50</v>
      </c>
      <c r="B315" s="4">
        <v>0</v>
      </c>
      <c r="C315" s="4">
        <v>0</v>
      </c>
      <c r="D315" s="4">
        <v>1</v>
      </c>
      <c r="E315" s="4">
        <v>205</v>
      </c>
      <c r="F315" s="4">
        <f>ROUND(Source!S300,O315)</f>
        <v>0</v>
      </c>
      <c r="G315" s="4" t="s">
        <v>77</v>
      </c>
      <c r="H315" s="4" t="s">
        <v>78</v>
      </c>
      <c r="I315" s="4"/>
      <c r="J315" s="4"/>
      <c r="K315" s="4">
        <v>205</v>
      </c>
      <c r="L315" s="4">
        <v>14</v>
      </c>
      <c r="M315" s="4">
        <v>3</v>
      </c>
      <c r="N315" s="4" t="s">
        <v>5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>
        <v>50</v>
      </c>
      <c r="B316" s="4">
        <v>0</v>
      </c>
      <c r="C316" s="4">
        <v>0</v>
      </c>
      <c r="D316" s="4">
        <v>1</v>
      </c>
      <c r="E316" s="4">
        <v>232</v>
      </c>
      <c r="F316" s="4">
        <f>ROUND(Source!BC300,O316)</f>
        <v>0</v>
      </c>
      <c r="G316" s="4" t="s">
        <v>79</v>
      </c>
      <c r="H316" s="4" t="s">
        <v>80</v>
      </c>
      <c r="I316" s="4"/>
      <c r="J316" s="4"/>
      <c r="K316" s="4">
        <v>232</v>
      </c>
      <c r="L316" s="4">
        <v>15</v>
      </c>
      <c r="M316" s="4">
        <v>3</v>
      </c>
      <c r="N316" s="4" t="s">
        <v>5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>
        <v>50</v>
      </c>
      <c r="B317" s="4">
        <v>0</v>
      </c>
      <c r="C317" s="4">
        <v>0</v>
      </c>
      <c r="D317" s="4">
        <v>1</v>
      </c>
      <c r="E317" s="4">
        <v>214</v>
      </c>
      <c r="F317" s="4">
        <f>ROUND(Source!AS300,O317)</f>
        <v>0</v>
      </c>
      <c r="G317" s="4" t="s">
        <v>81</v>
      </c>
      <c r="H317" s="4" t="s">
        <v>82</v>
      </c>
      <c r="I317" s="4"/>
      <c r="J317" s="4"/>
      <c r="K317" s="4">
        <v>214</v>
      </c>
      <c r="L317" s="4">
        <v>16</v>
      </c>
      <c r="M317" s="4">
        <v>3</v>
      </c>
      <c r="N317" s="4" t="s">
        <v>5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>
        <v>50</v>
      </c>
      <c r="B318" s="4">
        <v>0</v>
      </c>
      <c r="C318" s="4">
        <v>0</v>
      </c>
      <c r="D318" s="4">
        <v>1</v>
      </c>
      <c r="E318" s="4">
        <v>215</v>
      </c>
      <c r="F318" s="4">
        <f>ROUND(Source!AT300,O318)</f>
        <v>0</v>
      </c>
      <c r="G318" s="4" t="s">
        <v>83</v>
      </c>
      <c r="H318" s="4" t="s">
        <v>84</v>
      </c>
      <c r="I318" s="4"/>
      <c r="J318" s="4"/>
      <c r="K318" s="4">
        <v>215</v>
      </c>
      <c r="L318" s="4">
        <v>17</v>
      </c>
      <c r="M318" s="4">
        <v>3</v>
      </c>
      <c r="N318" s="4" t="s">
        <v>5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>
        <v>50</v>
      </c>
      <c r="B319" s="4">
        <v>0</v>
      </c>
      <c r="C319" s="4">
        <v>0</v>
      </c>
      <c r="D319" s="4">
        <v>1</v>
      </c>
      <c r="E319" s="4">
        <v>217</v>
      </c>
      <c r="F319" s="4">
        <f>ROUND(Source!AU300,O319)</f>
        <v>1303363.1100000001</v>
      </c>
      <c r="G319" s="4" t="s">
        <v>85</v>
      </c>
      <c r="H319" s="4" t="s">
        <v>86</v>
      </c>
      <c r="I319" s="4"/>
      <c r="J319" s="4"/>
      <c r="K319" s="4">
        <v>217</v>
      </c>
      <c r="L319" s="4">
        <v>18</v>
      </c>
      <c r="M319" s="4">
        <v>3</v>
      </c>
      <c r="N319" s="4" t="s">
        <v>5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>
        <v>50</v>
      </c>
      <c r="B320" s="4">
        <v>0</v>
      </c>
      <c r="C320" s="4">
        <v>0</v>
      </c>
      <c r="D320" s="4">
        <v>1</v>
      </c>
      <c r="E320" s="4">
        <v>230</v>
      </c>
      <c r="F320" s="4">
        <f>ROUND(Source!BA300,O320)</f>
        <v>0</v>
      </c>
      <c r="G320" s="4" t="s">
        <v>87</v>
      </c>
      <c r="H320" s="4" t="s">
        <v>88</v>
      </c>
      <c r="I320" s="4"/>
      <c r="J320" s="4"/>
      <c r="K320" s="4">
        <v>230</v>
      </c>
      <c r="L320" s="4">
        <v>19</v>
      </c>
      <c r="M320" s="4">
        <v>3</v>
      </c>
      <c r="N320" s="4" t="s">
        <v>5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245" x14ac:dyDescent="0.2">
      <c r="A321" s="4">
        <v>50</v>
      </c>
      <c r="B321" s="4">
        <v>0</v>
      </c>
      <c r="C321" s="4">
        <v>0</v>
      </c>
      <c r="D321" s="4">
        <v>1</v>
      </c>
      <c r="E321" s="4">
        <v>206</v>
      </c>
      <c r="F321" s="4">
        <f>ROUND(Source!T300,O321)</f>
        <v>0</v>
      </c>
      <c r="G321" s="4" t="s">
        <v>89</v>
      </c>
      <c r="H321" s="4" t="s">
        <v>90</v>
      </c>
      <c r="I321" s="4"/>
      <c r="J321" s="4"/>
      <c r="K321" s="4">
        <v>206</v>
      </c>
      <c r="L321" s="4">
        <v>20</v>
      </c>
      <c r="M321" s="4">
        <v>3</v>
      </c>
      <c r="N321" s="4" t="s">
        <v>5</v>
      </c>
      <c r="O321" s="4">
        <v>2</v>
      </c>
      <c r="P321" s="4"/>
      <c r="Q321" s="4"/>
      <c r="R321" s="4"/>
      <c r="S321" s="4"/>
      <c r="T321" s="4"/>
      <c r="U321" s="4"/>
      <c r="V321" s="4"/>
      <c r="W321" s="4"/>
    </row>
    <row r="322" spans="1:245" x14ac:dyDescent="0.2">
      <c r="A322" s="4">
        <v>50</v>
      </c>
      <c r="B322" s="4">
        <v>0</v>
      </c>
      <c r="C322" s="4">
        <v>0</v>
      </c>
      <c r="D322" s="4">
        <v>1</v>
      </c>
      <c r="E322" s="4">
        <v>207</v>
      </c>
      <c r="F322" s="4">
        <f>Source!U300</f>
        <v>0</v>
      </c>
      <c r="G322" s="4" t="s">
        <v>91</v>
      </c>
      <c r="H322" s="4" t="s">
        <v>92</v>
      </c>
      <c r="I322" s="4"/>
      <c r="J322" s="4"/>
      <c r="K322" s="4">
        <v>207</v>
      </c>
      <c r="L322" s="4">
        <v>21</v>
      </c>
      <c r="M322" s="4">
        <v>3</v>
      </c>
      <c r="N322" s="4" t="s">
        <v>5</v>
      </c>
      <c r="O322" s="4">
        <v>-1</v>
      </c>
      <c r="P322" s="4"/>
      <c r="Q322" s="4"/>
      <c r="R322" s="4"/>
      <c r="S322" s="4"/>
      <c r="T322" s="4"/>
      <c r="U322" s="4"/>
      <c r="V322" s="4"/>
      <c r="W322" s="4"/>
    </row>
    <row r="323" spans="1:245" x14ac:dyDescent="0.2">
      <c r="A323" s="4">
        <v>50</v>
      </c>
      <c r="B323" s="4">
        <v>0</v>
      </c>
      <c r="C323" s="4">
        <v>0</v>
      </c>
      <c r="D323" s="4">
        <v>1</v>
      </c>
      <c r="E323" s="4">
        <v>208</v>
      </c>
      <c r="F323" s="4">
        <f>Source!V300</f>
        <v>0</v>
      </c>
      <c r="G323" s="4" t="s">
        <v>93</v>
      </c>
      <c r="H323" s="4" t="s">
        <v>94</v>
      </c>
      <c r="I323" s="4"/>
      <c r="J323" s="4"/>
      <c r="K323" s="4">
        <v>208</v>
      </c>
      <c r="L323" s="4">
        <v>22</v>
      </c>
      <c r="M323" s="4">
        <v>3</v>
      </c>
      <c r="N323" s="4" t="s">
        <v>5</v>
      </c>
      <c r="O323" s="4">
        <v>-1</v>
      </c>
      <c r="P323" s="4"/>
      <c r="Q323" s="4"/>
      <c r="R323" s="4"/>
      <c r="S323" s="4"/>
      <c r="T323" s="4"/>
      <c r="U323" s="4"/>
      <c r="V323" s="4"/>
      <c r="W323" s="4"/>
    </row>
    <row r="324" spans="1:245" x14ac:dyDescent="0.2">
      <c r="A324" s="4">
        <v>50</v>
      </c>
      <c r="B324" s="4">
        <v>0</v>
      </c>
      <c r="C324" s="4">
        <v>0</v>
      </c>
      <c r="D324" s="4">
        <v>1</v>
      </c>
      <c r="E324" s="4">
        <v>209</v>
      </c>
      <c r="F324" s="4">
        <f>ROUND(Source!W300,O324)</f>
        <v>0</v>
      </c>
      <c r="G324" s="4" t="s">
        <v>95</v>
      </c>
      <c r="H324" s="4" t="s">
        <v>96</v>
      </c>
      <c r="I324" s="4"/>
      <c r="J324" s="4"/>
      <c r="K324" s="4">
        <v>209</v>
      </c>
      <c r="L324" s="4">
        <v>23</v>
      </c>
      <c r="M324" s="4">
        <v>3</v>
      </c>
      <c r="N324" s="4" t="s">
        <v>5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245" x14ac:dyDescent="0.2">
      <c r="A325" s="4">
        <v>50</v>
      </c>
      <c r="B325" s="4">
        <v>0</v>
      </c>
      <c r="C325" s="4">
        <v>0</v>
      </c>
      <c r="D325" s="4">
        <v>1</v>
      </c>
      <c r="E325" s="4">
        <v>233</v>
      </c>
      <c r="F325" s="4">
        <f>ROUND(Source!BD300,O325)</f>
        <v>0</v>
      </c>
      <c r="G325" s="4" t="s">
        <v>97</v>
      </c>
      <c r="H325" s="4" t="s">
        <v>98</v>
      </c>
      <c r="I325" s="4"/>
      <c r="J325" s="4"/>
      <c r="K325" s="4">
        <v>233</v>
      </c>
      <c r="L325" s="4">
        <v>24</v>
      </c>
      <c r="M325" s="4">
        <v>3</v>
      </c>
      <c r="N325" s="4" t="s">
        <v>5</v>
      </c>
      <c r="O325" s="4">
        <v>2</v>
      </c>
      <c r="P325" s="4"/>
      <c r="Q325" s="4"/>
      <c r="R325" s="4"/>
      <c r="S325" s="4"/>
      <c r="T325" s="4"/>
      <c r="U325" s="4"/>
      <c r="V325" s="4"/>
      <c r="W325" s="4"/>
    </row>
    <row r="326" spans="1:245" x14ac:dyDescent="0.2">
      <c r="A326" s="4">
        <v>50</v>
      </c>
      <c r="B326" s="4">
        <v>0</v>
      </c>
      <c r="C326" s="4">
        <v>0</v>
      </c>
      <c r="D326" s="4">
        <v>1</v>
      </c>
      <c r="E326" s="4">
        <v>210</v>
      </c>
      <c r="F326" s="4">
        <f>ROUND(Source!X300,O326)</f>
        <v>0</v>
      </c>
      <c r="G326" s="4" t="s">
        <v>99</v>
      </c>
      <c r="H326" s="4" t="s">
        <v>100</v>
      </c>
      <c r="I326" s="4"/>
      <c r="J326" s="4"/>
      <c r="K326" s="4">
        <v>210</v>
      </c>
      <c r="L326" s="4">
        <v>25</v>
      </c>
      <c r="M326" s="4">
        <v>3</v>
      </c>
      <c r="N326" s="4" t="s">
        <v>5</v>
      </c>
      <c r="O326" s="4">
        <v>2</v>
      </c>
      <c r="P326" s="4"/>
      <c r="Q326" s="4"/>
      <c r="R326" s="4"/>
      <c r="S326" s="4"/>
      <c r="T326" s="4"/>
      <c r="U326" s="4"/>
      <c r="V326" s="4"/>
      <c r="W326" s="4"/>
    </row>
    <row r="327" spans="1:245" x14ac:dyDescent="0.2">
      <c r="A327" s="4">
        <v>50</v>
      </c>
      <c r="B327" s="4">
        <v>0</v>
      </c>
      <c r="C327" s="4">
        <v>0</v>
      </c>
      <c r="D327" s="4">
        <v>1</v>
      </c>
      <c r="E327" s="4">
        <v>211</v>
      </c>
      <c r="F327" s="4">
        <f>ROUND(Source!Y300,O327)</f>
        <v>0</v>
      </c>
      <c r="G327" s="4" t="s">
        <v>101</v>
      </c>
      <c r="H327" s="4" t="s">
        <v>102</v>
      </c>
      <c r="I327" s="4"/>
      <c r="J327" s="4"/>
      <c r="K327" s="4">
        <v>211</v>
      </c>
      <c r="L327" s="4">
        <v>26</v>
      </c>
      <c r="M327" s="4">
        <v>3</v>
      </c>
      <c r="N327" s="4" t="s">
        <v>5</v>
      </c>
      <c r="O327" s="4">
        <v>2</v>
      </c>
      <c r="P327" s="4"/>
      <c r="Q327" s="4"/>
      <c r="R327" s="4"/>
      <c r="S327" s="4"/>
      <c r="T327" s="4"/>
      <c r="U327" s="4"/>
      <c r="V327" s="4"/>
      <c r="W327" s="4"/>
    </row>
    <row r="328" spans="1:245" x14ac:dyDescent="0.2">
      <c r="A328" s="4">
        <v>50</v>
      </c>
      <c r="B328" s="4">
        <v>0</v>
      </c>
      <c r="C328" s="4">
        <v>0</v>
      </c>
      <c r="D328" s="4">
        <v>1</v>
      </c>
      <c r="E328" s="4">
        <v>224</v>
      </c>
      <c r="F328" s="4">
        <f>ROUND(Source!AR300,O328)</f>
        <v>1303363.1100000001</v>
      </c>
      <c r="G328" s="4" t="s">
        <v>103</v>
      </c>
      <c r="H328" s="4" t="s">
        <v>104</v>
      </c>
      <c r="I328" s="4"/>
      <c r="J328" s="4"/>
      <c r="K328" s="4">
        <v>224</v>
      </c>
      <c r="L328" s="4">
        <v>27</v>
      </c>
      <c r="M328" s="4">
        <v>3</v>
      </c>
      <c r="N328" s="4" t="s">
        <v>5</v>
      </c>
      <c r="O328" s="4">
        <v>2</v>
      </c>
      <c r="P328" s="4"/>
      <c r="Q328" s="4"/>
      <c r="R328" s="4"/>
      <c r="S328" s="4"/>
      <c r="T328" s="4"/>
      <c r="U328" s="4"/>
      <c r="V328" s="4"/>
      <c r="W328" s="4"/>
    </row>
    <row r="330" spans="1:245" x14ac:dyDescent="0.2">
      <c r="A330" s="1">
        <v>4</v>
      </c>
      <c r="B330" s="1">
        <v>1</v>
      </c>
      <c r="C330" s="1"/>
      <c r="D330" s="1">
        <f>ROW(A336)</f>
        <v>336</v>
      </c>
      <c r="E330" s="1"/>
      <c r="F330" s="1" t="s">
        <v>14</v>
      </c>
      <c r="G330" s="1" t="s">
        <v>129</v>
      </c>
      <c r="H330" s="1" t="s">
        <v>5</v>
      </c>
      <c r="I330" s="1">
        <v>0</v>
      </c>
      <c r="J330" s="1"/>
      <c r="K330" s="1">
        <v>0</v>
      </c>
      <c r="L330" s="1"/>
      <c r="M330" s="1" t="s">
        <v>5</v>
      </c>
      <c r="N330" s="1"/>
      <c r="O330" s="1"/>
      <c r="P330" s="1"/>
      <c r="Q330" s="1"/>
      <c r="R330" s="1"/>
      <c r="S330" s="1">
        <v>0</v>
      </c>
      <c r="T330" s="1"/>
      <c r="U330" s="1" t="s">
        <v>5</v>
      </c>
      <c r="V330" s="1">
        <v>0</v>
      </c>
      <c r="W330" s="1"/>
      <c r="X330" s="1"/>
      <c r="Y330" s="1"/>
      <c r="Z330" s="1"/>
      <c r="AA330" s="1"/>
      <c r="AB330" s="1" t="s">
        <v>5</v>
      </c>
      <c r="AC330" s="1" t="s">
        <v>5</v>
      </c>
      <c r="AD330" s="1" t="s">
        <v>5</v>
      </c>
      <c r="AE330" s="1" t="s">
        <v>5</v>
      </c>
      <c r="AF330" s="1" t="s">
        <v>5</v>
      </c>
      <c r="AG330" s="1" t="s">
        <v>5</v>
      </c>
      <c r="AH330" s="1"/>
      <c r="AI330" s="1"/>
      <c r="AJ330" s="1"/>
      <c r="AK330" s="1"/>
      <c r="AL330" s="1"/>
      <c r="AM330" s="1"/>
      <c r="AN330" s="1"/>
      <c r="AO330" s="1"/>
      <c r="AP330" s="1" t="s">
        <v>5</v>
      </c>
      <c r="AQ330" s="1" t="s">
        <v>5</v>
      </c>
      <c r="AR330" s="1" t="s">
        <v>5</v>
      </c>
      <c r="AS330" s="1"/>
      <c r="AT330" s="1"/>
      <c r="AU330" s="1"/>
      <c r="AV330" s="1"/>
      <c r="AW330" s="1"/>
      <c r="AX330" s="1"/>
      <c r="AY330" s="1"/>
      <c r="AZ330" s="1" t="s">
        <v>5</v>
      </c>
      <c r="BA330" s="1"/>
      <c r="BB330" s="1" t="s">
        <v>5</v>
      </c>
      <c r="BC330" s="1" t="s">
        <v>5</v>
      </c>
      <c r="BD330" s="1" t="s">
        <v>5</v>
      </c>
      <c r="BE330" s="1" t="s">
        <v>5</v>
      </c>
      <c r="BF330" s="1" t="s">
        <v>5</v>
      </c>
      <c r="BG330" s="1" t="s">
        <v>5</v>
      </c>
      <c r="BH330" s="1" t="s">
        <v>5</v>
      </c>
      <c r="BI330" s="1" t="s">
        <v>5</v>
      </c>
      <c r="BJ330" s="1" t="s">
        <v>5</v>
      </c>
      <c r="BK330" s="1" t="s">
        <v>5</v>
      </c>
      <c r="BL330" s="1" t="s">
        <v>5</v>
      </c>
      <c r="BM330" s="1" t="s">
        <v>5</v>
      </c>
      <c r="BN330" s="1" t="s">
        <v>5</v>
      </c>
      <c r="BO330" s="1" t="s">
        <v>5</v>
      </c>
      <c r="BP330" s="1" t="s">
        <v>5</v>
      </c>
      <c r="BQ330" s="1"/>
      <c r="BR330" s="1"/>
      <c r="BS330" s="1"/>
      <c r="BT330" s="1"/>
      <c r="BU330" s="1"/>
      <c r="BV330" s="1"/>
      <c r="BW330" s="1"/>
      <c r="BX330" s="1">
        <v>0</v>
      </c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>
        <v>0</v>
      </c>
    </row>
    <row r="332" spans="1:245" x14ac:dyDescent="0.2">
      <c r="A332" s="2">
        <v>52</v>
      </c>
      <c r="B332" s="2">
        <f t="shared" ref="B332:G332" si="166">B336</f>
        <v>1</v>
      </c>
      <c r="C332" s="2">
        <f t="shared" si="166"/>
        <v>4</v>
      </c>
      <c r="D332" s="2">
        <f t="shared" si="166"/>
        <v>330</v>
      </c>
      <c r="E332" s="2">
        <f t="shared" si="166"/>
        <v>0</v>
      </c>
      <c r="F332" s="2" t="str">
        <f t="shared" si="166"/>
        <v>Новый раздел</v>
      </c>
      <c r="G332" s="2" t="str">
        <f t="shared" si="166"/>
        <v>Посадка деревьев с комом земли 1,0х1,0х0,6 м - 91 шт.</v>
      </c>
      <c r="H332" s="2"/>
      <c r="I332" s="2"/>
      <c r="J332" s="2"/>
      <c r="K332" s="2"/>
      <c r="L332" s="2"/>
      <c r="M332" s="2"/>
      <c r="N332" s="2"/>
      <c r="O332" s="2">
        <f t="shared" ref="O332:AT332" si="167">O336</f>
        <v>14173.98</v>
      </c>
      <c r="P332" s="2">
        <f t="shared" si="167"/>
        <v>0</v>
      </c>
      <c r="Q332" s="2">
        <f t="shared" si="167"/>
        <v>14173.98</v>
      </c>
      <c r="R332" s="2">
        <f t="shared" si="167"/>
        <v>0</v>
      </c>
      <c r="S332" s="2">
        <f t="shared" si="167"/>
        <v>0</v>
      </c>
      <c r="T332" s="2">
        <f t="shared" si="167"/>
        <v>0</v>
      </c>
      <c r="U332" s="2">
        <f t="shared" si="167"/>
        <v>0</v>
      </c>
      <c r="V332" s="2">
        <f t="shared" si="167"/>
        <v>0</v>
      </c>
      <c r="W332" s="2">
        <f t="shared" si="167"/>
        <v>0</v>
      </c>
      <c r="X332" s="2">
        <f t="shared" si="167"/>
        <v>0</v>
      </c>
      <c r="Y332" s="2">
        <f t="shared" si="167"/>
        <v>0</v>
      </c>
      <c r="Z332" s="2">
        <f t="shared" si="167"/>
        <v>0</v>
      </c>
      <c r="AA332" s="2">
        <f t="shared" si="167"/>
        <v>0</v>
      </c>
      <c r="AB332" s="2">
        <f t="shared" si="167"/>
        <v>14173.98</v>
      </c>
      <c r="AC332" s="2">
        <f t="shared" si="167"/>
        <v>0</v>
      </c>
      <c r="AD332" s="2">
        <f t="shared" si="167"/>
        <v>14173.98</v>
      </c>
      <c r="AE332" s="2">
        <f t="shared" si="167"/>
        <v>0</v>
      </c>
      <c r="AF332" s="2">
        <f t="shared" si="167"/>
        <v>0</v>
      </c>
      <c r="AG332" s="2">
        <f t="shared" si="167"/>
        <v>0</v>
      </c>
      <c r="AH332" s="2">
        <f t="shared" si="167"/>
        <v>0</v>
      </c>
      <c r="AI332" s="2">
        <f t="shared" si="167"/>
        <v>0</v>
      </c>
      <c r="AJ332" s="2">
        <f t="shared" si="167"/>
        <v>0</v>
      </c>
      <c r="AK332" s="2">
        <f t="shared" si="167"/>
        <v>0</v>
      </c>
      <c r="AL332" s="2">
        <f t="shared" si="167"/>
        <v>0</v>
      </c>
      <c r="AM332" s="2">
        <f t="shared" si="167"/>
        <v>0</v>
      </c>
      <c r="AN332" s="2">
        <f t="shared" si="167"/>
        <v>0</v>
      </c>
      <c r="AO332" s="2">
        <f t="shared" si="167"/>
        <v>0</v>
      </c>
      <c r="AP332" s="2">
        <f t="shared" si="167"/>
        <v>0</v>
      </c>
      <c r="AQ332" s="2">
        <f t="shared" si="167"/>
        <v>0</v>
      </c>
      <c r="AR332" s="2">
        <f t="shared" si="167"/>
        <v>14173.98</v>
      </c>
      <c r="AS332" s="2">
        <f t="shared" si="167"/>
        <v>0</v>
      </c>
      <c r="AT332" s="2">
        <f t="shared" si="167"/>
        <v>0</v>
      </c>
      <c r="AU332" s="2">
        <f t="shared" ref="AU332:BZ332" si="168">AU336</f>
        <v>14173.98</v>
      </c>
      <c r="AV332" s="2">
        <f t="shared" si="168"/>
        <v>0</v>
      </c>
      <c r="AW332" s="2">
        <f t="shared" si="168"/>
        <v>0</v>
      </c>
      <c r="AX332" s="2">
        <f t="shared" si="168"/>
        <v>0</v>
      </c>
      <c r="AY332" s="2">
        <f t="shared" si="168"/>
        <v>0</v>
      </c>
      <c r="AZ332" s="2">
        <f t="shared" si="168"/>
        <v>0</v>
      </c>
      <c r="BA332" s="2">
        <f t="shared" si="168"/>
        <v>0</v>
      </c>
      <c r="BB332" s="2">
        <f t="shared" si="168"/>
        <v>0</v>
      </c>
      <c r="BC332" s="2">
        <f t="shared" si="168"/>
        <v>0</v>
      </c>
      <c r="BD332" s="2">
        <f t="shared" si="168"/>
        <v>0</v>
      </c>
      <c r="BE332" s="2">
        <f t="shared" si="168"/>
        <v>0</v>
      </c>
      <c r="BF332" s="2">
        <f t="shared" si="168"/>
        <v>0</v>
      </c>
      <c r="BG332" s="2">
        <f t="shared" si="168"/>
        <v>0</v>
      </c>
      <c r="BH332" s="2">
        <f t="shared" si="168"/>
        <v>0</v>
      </c>
      <c r="BI332" s="2">
        <f t="shared" si="168"/>
        <v>0</v>
      </c>
      <c r="BJ332" s="2">
        <f t="shared" si="168"/>
        <v>0</v>
      </c>
      <c r="BK332" s="2">
        <f t="shared" si="168"/>
        <v>0</v>
      </c>
      <c r="BL332" s="2">
        <f t="shared" si="168"/>
        <v>0</v>
      </c>
      <c r="BM332" s="2">
        <f t="shared" si="168"/>
        <v>0</v>
      </c>
      <c r="BN332" s="2">
        <f t="shared" si="168"/>
        <v>0</v>
      </c>
      <c r="BO332" s="2">
        <f t="shared" si="168"/>
        <v>0</v>
      </c>
      <c r="BP332" s="2">
        <f t="shared" si="168"/>
        <v>0</v>
      </c>
      <c r="BQ332" s="2">
        <f t="shared" si="168"/>
        <v>0</v>
      </c>
      <c r="BR332" s="2">
        <f t="shared" si="168"/>
        <v>0</v>
      </c>
      <c r="BS332" s="2">
        <f t="shared" si="168"/>
        <v>0</v>
      </c>
      <c r="BT332" s="2">
        <f t="shared" si="168"/>
        <v>0</v>
      </c>
      <c r="BU332" s="2">
        <f t="shared" si="168"/>
        <v>0</v>
      </c>
      <c r="BV332" s="2">
        <f t="shared" si="168"/>
        <v>0</v>
      </c>
      <c r="BW332" s="2">
        <f t="shared" si="168"/>
        <v>0</v>
      </c>
      <c r="BX332" s="2">
        <f t="shared" si="168"/>
        <v>0</v>
      </c>
      <c r="BY332" s="2">
        <f t="shared" si="168"/>
        <v>0</v>
      </c>
      <c r="BZ332" s="2">
        <f t="shared" si="168"/>
        <v>0</v>
      </c>
      <c r="CA332" s="2">
        <f t="shared" ref="CA332:DF332" si="169">CA336</f>
        <v>14173.98</v>
      </c>
      <c r="CB332" s="2">
        <f t="shared" si="169"/>
        <v>0</v>
      </c>
      <c r="CC332" s="2">
        <f t="shared" si="169"/>
        <v>0</v>
      </c>
      <c r="CD332" s="2">
        <f t="shared" si="169"/>
        <v>14173.98</v>
      </c>
      <c r="CE332" s="2">
        <f t="shared" si="169"/>
        <v>0</v>
      </c>
      <c r="CF332" s="2">
        <f t="shared" si="169"/>
        <v>0</v>
      </c>
      <c r="CG332" s="2">
        <f t="shared" si="169"/>
        <v>0</v>
      </c>
      <c r="CH332" s="2">
        <f t="shared" si="169"/>
        <v>0</v>
      </c>
      <c r="CI332" s="2">
        <f t="shared" si="169"/>
        <v>0</v>
      </c>
      <c r="CJ332" s="2">
        <f t="shared" si="169"/>
        <v>0</v>
      </c>
      <c r="CK332" s="2">
        <f t="shared" si="169"/>
        <v>0</v>
      </c>
      <c r="CL332" s="2">
        <f t="shared" si="169"/>
        <v>0</v>
      </c>
      <c r="CM332" s="2">
        <f t="shared" si="169"/>
        <v>0</v>
      </c>
      <c r="CN332" s="2">
        <f t="shared" si="169"/>
        <v>0</v>
      </c>
      <c r="CO332" s="2">
        <f t="shared" si="169"/>
        <v>0</v>
      </c>
      <c r="CP332" s="2">
        <f t="shared" si="169"/>
        <v>0</v>
      </c>
      <c r="CQ332" s="2">
        <f t="shared" si="169"/>
        <v>0</v>
      </c>
      <c r="CR332" s="2">
        <f t="shared" si="169"/>
        <v>0</v>
      </c>
      <c r="CS332" s="2">
        <f t="shared" si="169"/>
        <v>0</v>
      </c>
      <c r="CT332" s="2">
        <f t="shared" si="169"/>
        <v>0</v>
      </c>
      <c r="CU332" s="2">
        <f t="shared" si="169"/>
        <v>0</v>
      </c>
      <c r="CV332" s="2">
        <f t="shared" si="169"/>
        <v>0</v>
      </c>
      <c r="CW332" s="2">
        <f t="shared" si="169"/>
        <v>0</v>
      </c>
      <c r="CX332" s="2">
        <f t="shared" si="169"/>
        <v>0</v>
      </c>
      <c r="CY332" s="2">
        <f t="shared" si="169"/>
        <v>0</v>
      </c>
      <c r="CZ332" s="2">
        <f t="shared" si="169"/>
        <v>0</v>
      </c>
      <c r="DA332" s="2">
        <f t="shared" si="169"/>
        <v>0</v>
      </c>
      <c r="DB332" s="2">
        <f t="shared" si="169"/>
        <v>0</v>
      </c>
      <c r="DC332" s="2">
        <f t="shared" si="169"/>
        <v>0</v>
      </c>
      <c r="DD332" s="2">
        <f t="shared" si="169"/>
        <v>0</v>
      </c>
      <c r="DE332" s="2">
        <f t="shared" si="169"/>
        <v>0</v>
      </c>
      <c r="DF332" s="2">
        <f t="shared" si="169"/>
        <v>0</v>
      </c>
      <c r="DG332" s="3">
        <f t="shared" ref="DG332:EL332" si="170">DG336</f>
        <v>0</v>
      </c>
      <c r="DH332" s="3">
        <f t="shared" si="170"/>
        <v>0</v>
      </c>
      <c r="DI332" s="3">
        <f t="shared" si="170"/>
        <v>0</v>
      </c>
      <c r="DJ332" s="3">
        <f t="shared" si="170"/>
        <v>0</v>
      </c>
      <c r="DK332" s="3">
        <f t="shared" si="170"/>
        <v>0</v>
      </c>
      <c r="DL332" s="3">
        <f t="shared" si="170"/>
        <v>0</v>
      </c>
      <c r="DM332" s="3">
        <f t="shared" si="170"/>
        <v>0</v>
      </c>
      <c r="DN332" s="3">
        <f t="shared" si="170"/>
        <v>0</v>
      </c>
      <c r="DO332" s="3">
        <f t="shared" si="170"/>
        <v>0</v>
      </c>
      <c r="DP332" s="3">
        <f t="shared" si="170"/>
        <v>0</v>
      </c>
      <c r="DQ332" s="3">
        <f t="shared" si="170"/>
        <v>0</v>
      </c>
      <c r="DR332" s="3">
        <f t="shared" si="170"/>
        <v>0</v>
      </c>
      <c r="DS332" s="3">
        <f t="shared" si="170"/>
        <v>0</v>
      </c>
      <c r="DT332" s="3">
        <f t="shared" si="170"/>
        <v>0</v>
      </c>
      <c r="DU332" s="3">
        <f t="shared" si="170"/>
        <v>0</v>
      </c>
      <c r="DV332" s="3">
        <f t="shared" si="170"/>
        <v>0</v>
      </c>
      <c r="DW332" s="3">
        <f t="shared" si="170"/>
        <v>0</v>
      </c>
      <c r="DX332" s="3">
        <f t="shared" si="170"/>
        <v>0</v>
      </c>
      <c r="DY332" s="3">
        <f t="shared" si="170"/>
        <v>0</v>
      </c>
      <c r="DZ332" s="3">
        <f t="shared" si="170"/>
        <v>0</v>
      </c>
      <c r="EA332" s="3">
        <f t="shared" si="170"/>
        <v>0</v>
      </c>
      <c r="EB332" s="3">
        <f t="shared" si="170"/>
        <v>0</v>
      </c>
      <c r="EC332" s="3">
        <f t="shared" si="170"/>
        <v>0</v>
      </c>
      <c r="ED332" s="3">
        <f t="shared" si="170"/>
        <v>0</v>
      </c>
      <c r="EE332" s="3">
        <f t="shared" si="170"/>
        <v>0</v>
      </c>
      <c r="EF332" s="3">
        <f t="shared" si="170"/>
        <v>0</v>
      </c>
      <c r="EG332" s="3">
        <f t="shared" si="170"/>
        <v>0</v>
      </c>
      <c r="EH332" s="3">
        <f t="shared" si="170"/>
        <v>0</v>
      </c>
      <c r="EI332" s="3">
        <f t="shared" si="170"/>
        <v>0</v>
      </c>
      <c r="EJ332" s="3">
        <f t="shared" si="170"/>
        <v>0</v>
      </c>
      <c r="EK332" s="3">
        <f t="shared" si="170"/>
        <v>0</v>
      </c>
      <c r="EL332" s="3">
        <f t="shared" si="170"/>
        <v>0</v>
      </c>
      <c r="EM332" s="3">
        <f t="shared" ref="EM332:FR332" si="171">EM336</f>
        <v>0</v>
      </c>
      <c r="EN332" s="3">
        <f t="shared" si="171"/>
        <v>0</v>
      </c>
      <c r="EO332" s="3">
        <f t="shared" si="171"/>
        <v>0</v>
      </c>
      <c r="EP332" s="3">
        <f t="shared" si="171"/>
        <v>0</v>
      </c>
      <c r="EQ332" s="3">
        <f t="shared" si="171"/>
        <v>0</v>
      </c>
      <c r="ER332" s="3">
        <f t="shared" si="171"/>
        <v>0</v>
      </c>
      <c r="ES332" s="3">
        <f t="shared" si="171"/>
        <v>0</v>
      </c>
      <c r="ET332" s="3">
        <f t="shared" si="171"/>
        <v>0</v>
      </c>
      <c r="EU332" s="3">
        <f t="shared" si="171"/>
        <v>0</v>
      </c>
      <c r="EV332" s="3">
        <f t="shared" si="171"/>
        <v>0</v>
      </c>
      <c r="EW332" s="3">
        <f t="shared" si="171"/>
        <v>0</v>
      </c>
      <c r="EX332" s="3">
        <f t="shared" si="171"/>
        <v>0</v>
      </c>
      <c r="EY332" s="3">
        <f t="shared" si="171"/>
        <v>0</v>
      </c>
      <c r="EZ332" s="3">
        <f t="shared" si="171"/>
        <v>0</v>
      </c>
      <c r="FA332" s="3">
        <f t="shared" si="171"/>
        <v>0</v>
      </c>
      <c r="FB332" s="3">
        <f t="shared" si="171"/>
        <v>0</v>
      </c>
      <c r="FC332" s="3">
        <f t="shared" si="171"/>
        <v>0</v>
      </c>
      <c r="FD332" s="3">
        <f t="shared" si="171"/>
        <v>0</v>
      </c>
      <c r="FE332" s="3">
        <f t="shared" si="171"/>
        <v>0</v>
      </c>
      <c r="FF332" s="3">
        <f t="shared" si="171"/>
        <v>0</v>
      </c>
      <c r="FG332" s="3">
        <f t="shared" si="171"/>
        <v>0</v>
      </c>
      <c r="FH332" s="3">
        <f t="shared" si="171"/>
        <v>0</v>
      </c>
      <c r="FI332" s="3">
        <f t="shared" si="171"/>
        <v>0</v>
      </c>
      <c r="FJ332" s="3">
        <f t="shared" si="171"/>
        <v>0</v>
      </c>
      <c r="FK332" s="3">
        <f t="shared" si="171"/>
        <v>0</v>
      </c>
      <c r="FL332" s="3">
        <f t="shared" si="171"/>
        <v>0</v>
      </c>
      <c r="FM332" s="3">
        <f t="shared" si="171"/>
        <v>0</v>
      </c>
      <c r="FN332" s="3">
        <f t="shared" si="171"/>
        <v>0</v>
      </c>
      <c r="FO332" s="3">
        <f t="shared" si="171"/>
        <v>0</v>
      </c>
      <c r="FP332" s="3">
        <f t="shared" si="171"/>
        <v>0</v>
      </c>
      <c r="FQ332" s="3">
        <f t="shared" si="171"/>
        <v>0</v>
      </c>
      <c r="FR332" s="3">
        <f t="shared" si="171"/>
        <v>0</v>
      </c>
      <c r="FS332" s="3">
        <f t="shared" ref="FS332:GX332" si="172">FS336</f>
        <v>0</v>
      </c>
      <c r="FT332" s="3">
        <f t="shared" si="172"/>
        <v>0</v>
      </c>
      <c r="FU332" s="3">
        <f t="shared" si="172"/>
        <v>0</v>
      </c>
      <c r="FV332" s="3">
        <f t="shared" si="172"/>
        <v>0</v>
      </c>
      <c r="FW332" s="3">
        <f t="shared" si="172"/>
        <v>0</v>
      </c>
      <c r="FX332" s="3">
        <f t="shared" si="172"/>
        <v>0</v>
      </c>
      <c r="FY332" s="3">
        <f t="shared" si="172"/>
        <v>0</v>
      </c>
      <c r="FZ332" s="3">
        <f t="shared" si="172"/>
        <v>0</v>
      </c>
      <c r="GA332" s="3">
        <f t="shared" si="172"/>
        <v>0</v>
      </c>
      <c r="GB332" s="3">
        <f t="shared" si="172"/>
        <v>0</v>
      </c>
      <c r="GC332" s="3">
        <f t="shared" si="172"/>
        <v>0</v>
      </c>
      <c r="GD332" s="3">
        <f t="shared" si="172"/>
        <v>0</v>
      </c>
      <c r="GE332" s="3">
        <f t="shared" si="172"/>
        <v>0</v>
      </c>
      <c r="GF332" s="3">
        <f t="shared" si="172"/>
        <v>0</v>
      </c>
      <c r="GG332" s="3">
        <f t="shared" si="172"/>
        <v>0</v>
      </c>
      <c r="GH332" s="3">
        <f t="shared" si="172"/>
        <v>0</v>
      </c>
      <c r="GI332" s="3">
        <f t="shared" si="172"/>
        <v>0</v>
      </c>
      <c r="GJ332" s="3">
        <f t="shared" si="172"/>
        <v>0</v>
      </c>
      <c r="GK332" s="3">
        <f t="shared" si="172"/>
        <v>0</v>
      </c>
      <c r="GL332" s="3">
        <f t="shared" si="172"/>
        <v>0</v>
      </c>
      <c r="GM332" s="3">
        <f t="shared" si="172"/>
        <v>0</v>
      </c>
      <c r="GN332" s="3">
        <f t="shared" si="172"/>
        <v>0</v>
      </c>
      <c r="GO332" s="3">
        <f t="shared" si="172"/>
        <v>0</v>
      </c>
      <c r="GP332" s="3">
        <f t="shared" si="172"/>
        <v>0</v>
      </c>
      <c r="GQ332" s="3">
        <f t="shared" si="172"/>
        <v>0</v>
      </c>
      <c r="GR332" s="3">
        <f t="shared" si="172"/>
        <v>0</v>
      </c>
      <c r="GS332" s="3">
        <f t="shared" si="172"/>
        <v>0</v>
      </c>
      <c r="GT332" s="3">
        <f t="shared" si="172"/>
        <v>0</v>
      </c>
      <c r="GU332" s="3">
        <f t="shared" si="172"/>
        <v>0</v>
      </c>
      <c r="GV332" s="3">
        <f t="shared" si="172"/>
        <v>0</v>
      </c>
      <c r="GW332" s="3">
        <f t="shared" si="172"/>
        <v>0</v>
      </c>
      <c r="GX332" s="3">
        <f t="shared" si="172"/>
        <v>0</v>
      </c>
    </row>
    <row r="334" spans="1:245" x14ac:dyDescent="0.2">
      <c r="A334">
        <v>17</v>
      </c>
      <c r="B334">
        <v>1</v>
      </c>
      <c r="C334">
        <f>ROW(SmtRes!A58)</f>
        <v>58</v>
      </c>
      <c r="D334">
        <f>ROW(EtalonRes!A62)</f>
        <v>62</v>
      </c>
      <c r="E334" t="s">
        <v>173</v>
      </c>
      <c r="F334" t="s">
        <v>166</v>
      </c>
      <c r="G334" t="s">
        <v>167</v>
      </c>
      <c r="H334" t="s">
        <v>168</v>
      </c>
      <c r="I334">
        <f>ROUND(166.985*1.4,9)</f>
        <v>233.779</v>
      </c>
      <c r="J334">
        <v>0</v>
      </c>
      <c r="O334">
        <f>ROUND(CP334,2)</f>
        <v>14173.98</v>
      </c>
      <c r="P334">
        <f>ROUND((ROUND((AC334*AW334*I334),2)*BC334),2)</f>
        <v>0</v>
      </c>
      <c r="Q334">
        <f>(ROUND((ROUND(((ET334)*AV334*I334),2)*BB334),2)+ROUND((ROUND(((AE334-(EU334))*AV334*I334),2)*BS334),2))</f>
        <v>14173.98</v>
      </c>
      <c r="R334">
        <f>ROUND((ROUND((AE334*AV334*I334),2)*BS334),2)</f>
        <v>0</v>
      </c>
      <c r="S334">
        <f>ROUND((ROUND((AF334*AV334*I334),2)*BA334),2)</f>
        <v>0</v>
      </c>
      <c r="T334">
        <f>ROUND(CU334*I334,2)</f>
        <v>0</v>
      </c>
      <c r="U334">
        <f>CV334*I334</f>
        <v>0</v>
      </c>
      <c r="V334">
        <f>CW334*I334</f>
        <v>0</v>
      </c>
      <c r="W334">
        <f>ROUND(CX334*I334,2)</f>
        <v>0</v>
      </c>
      <c r="X334">
        <f>ROUND(CY334,2)</f>
        <v>0</v>
      </c>
      <c r="Y334">
        <f>ROUND(CZ334,2)</f>
        <v>0</v>
      </c>
      <c r="AA334">
        <v>49688178</v>
      </c>
      <c r="AB334">
        <f>ROUND((AC334+AD334+AF334),6)</f>
        <v>5.64</v>
      </c>
      <c r="AC334">
        <f>ROUND((ES334),6)</f>
        <v>0</v>
      </c>
      <c r="AD334">
        <f>ROUND((((ET334)-(EU334))+AE334),6)</f>
        <v>5.64</v>
      </c>
      <c r="AE334">
        <f>ROUND((EU334),6)</f>
        <v>0</v>
      </c>
      <c r="AF334">
        <f>ROUND((EV334),6)</f>
        <v>0</v>
      </c>
      <c r="AG334">
        <f>ROUND((AP334),6)</f>
        <v>0</v>
      </c>
      <c r="AH334">
        <f>(EW334)</f>
        <v>0</v>
      </c>
      <c r="AI334">
        <f>(EX334)</f>
        <v>0</v>
      </c>
      <c r="AJ334">
        <f>(AS334)</f>
        <v>0</v>
      </c>
      <c r="AK334">
        <v>5.64</v>
      </c>
      <c r="AL334">
        <v>0</v>
      </c>
      <c r="AM334">
        <v>5.64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93</v>
      </c>
      <c r="AU334">
        <v>64</v>
      </c>
      <c r="AV334">
        <v>1</v>
      </c>
      <c r="AW334">
        <v>1</v>
      </c>
      <c r="AZ334">
        <v>1</v>
      </c>
      <c r="BA334">
        <v>1</v>
      </c>
      <c r="BB334">
        <v>10.75</v>
      </c>
      <c r="BC334">
        <v>1</v>
      </c>
      <c r="BD334" t="s">
        <v>5</v>
      </c>
      <c r="BE334" t="s">
        <v>5</v>
      </c>
      <c r="BF334" t="s">
        <v>5</v>
      </c>
      <c r="BG334" t="s">
        <v>5</v>
      </c>
      <c r="BH334">
        <v>0</v>
      </c>
      <c r="BI334">
        <v>4</v>
      </c>
      <c r="BJ334" t="s">
        <v>169</v>
      </c>
      <c r="BM334">
        <v>1111</v>
      </c>
      <c r="BN334">
        <v>0</v>
      </c>
      <c r="BO334" t="s">
        <v>166</v>
      </c>
      <c r="BP334">
        <v>1</v>
      </c>
      <c r="BQ334">
        <v>150</v>
      </c>
      <c r="BR334">
        <v>0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 t="s">
        <v>5</v>
      </c>
      <c r="BZ334">
        <v>93</v>
      </c>
      <c r="CA334">
        <v>64</v>
      </c>
      <c r="CE334">
        <v>30</v>
      </c>
      <c r="CF334">
        <v>0</v>
      </c>
      <c r="CG334">
        <v>0</v>
      </c>
      <c r="CM334">
        <v>0</v>
      </c>
      <c r="CN334" t="s">
        <v>5</v>
      </c>
      <c r="CO334">
        <v>0</v>
      </c>
      <c r="CP334">
        <f>(P334+Q334+S334)</f>
        <v>14173.98</v>
      </c>
      <c r="CQ334">
        <f>ROUND((ROUND((AC334*AW334*1),2)*BC334),2)</f>
        <v>0</v>
      </c>
      <c r="CR334">
        <f>(ROUND((ROUND(((ET334)*AV334*1),2)*BB334),2)+ROUND((ROUND(((AE334-(EU334))*AV334*1),2)*BS334),2))</f>
        <v>60.63</v>
      </c>
      <c r="CS334">
        <f>ROUND((ROUND((AE334*AV334*1),2)*BS334),2)</f>
        <v>0</v>
      </c>
      <c r="CT334">
        <f>ROUND((ROUND((AF334*AV334*1),2)*BA334),2)</f>
        <v>0</v>
      </c>
      <c r="CU334">
        <f>AG334</f>
        <v>0</v>
      </c>
      <c r="CV334">
        <f>(AH334*AV334)</f>
        <v>0</v>
      </c>
      <c r="CW334">
        <f>AI334</f>
        <v>0</v>
      </c>
      <c r="CX334">
        <f>AJ334</f>
        <v>0</v>
      </c>
      <c r="CY334">
        <f>S334*(BZ334/100)</f>
        <v>0</v>
      </c>
      <c r="CZ334">
        <f>S334*(CA334/100)</f>
        <v>0</v>
      </c>
      <c r="DC334" t="s">
        <v>5</v>
      </c>
      <c r="DD334" t="s">
        <v>5</v>
      </c>
      <c r="DE334" t="s">
        <v>5</v>
      </c>
      <c r="DF334" t="s">
        <v>5</v>
      </c>
      <c r="DG334" t="s">
        <v>5</v>
      </c>
      <c r="DH334" t="s">
        <v>5</v>
      </c>
      <c r="DI334" t="s">
        <v>5</v>
      </c>
      <c r="DJ334" t="s">
        <v>5</v>
      </c>
      <c r="DK334" t="s">
        <v>5</v>
      </c>
      <c r="DL334" t="s">
        <v>5</v>
      </c>
      <c r="DM334" t="s">
        <v>5</v>
      </c>
      <c r="DN334">
        <v>0</v>
      </c>
      <c r="DO334">
        <v>0</v>
      </c>
      <c r="DP334">
        <v>1</v>
      </c>
      <c r="DQ334">
        <v>1</v>
      </c>
      <c r="DU334">
        <v>1009</v>
      </c>
      <c r="DV334" t="s">
        <v>168</v>
      </c>
      <c r="DW334" t="s">
        <v>168</v>
      </c>
      <c r="DX334">
        <v>1000</v>
      </c>
      <c r="DZ334" t="s">
        <v>5</v>
      </c>
      <c r="EA334" t="s">
        <v>5</v>
      </c>
      <c r="EB334" t="s">
        <v>5</v>
      </c>
      <c r="EC334" t="s">
        <v>5</v>
      </c>
      <c r="EE334">
        <v>49388807</v>
      </c>
      <c r="EF334">
        <v>150</v>
      </c>
      <c r="EG334" t="s">
        <v>170</v>
      </c>
      <c r="EH334">
        <v>0</v>
      </c>
      <c r="EI334" t="s">
        <v>5</v>
      </c>
      <c r="EJ334">
        <v>4</v>
      </c>
      <c r="EK334">
        <v>1111</v>
      </c>
      <c r="EL334" t="s">
        <v>171</v>
      </c>
      <c r="EM334" t="s">
        <v>172</v>
      </c>
      <c r="EO334" t="s">
        <v>5</v>
      </c>
      <c r="EQ334">
        <v>0</v>
      </c>
      <c r="ER334">
        <v>5.64</v>
      </c>
      <c r="ES334">
        <v>0</v>
      </c>
      <c r="ET334">
        <v>5.64</v>
      </c>
      <c r="EU334">
        <v>0</v>
      </c>
      <c r="EV334">
        <v>0</v>
      </c>
      <c r="EW334">
        <v>0</v>
      </c>
      <c r="EX334">
        <v>0</v>
      </c>
      <c r="EY334">
        <v>0</v>
      </c>
      <c r="FQ334">
        <v>0</v>
      </c>
      <c r="FR334">
        <f>ROUND(IF(AND(BH334=3,BI334=3),P334,0),2)</f>
        <v>0</v>
      </c>
      <c r="FS334">
        <v>0</v>
      </c>
      <c r="FX334">
        <v>0</v>
      </c>
      <c r="FY334">
        <v>0</v>
      </c>
      <c r="GA334" t="s">
        <v>5</v>
      </c>
      <c r="GD334">
        <v>0</v>
      </c>
      <c r="GF334">
        <v>-1688412487</v>
      </c>
      <c r="GG334">
        <v>2</v>
      </c>
      <c r="GH334">
        <v>1</v>
      </c>
      <c r="GI334">
        <v>2</v>
      </c>
      <c r="GJ334">
        <v>0</v>
      </c>
      <c r="GK334">
        <f>ROUND(R334*(R12)/100,2)</f>
        <v>0</v>
      </c>
      <c r="GL334">
        <f>ROUND(IF(AND(BH334=3,BI334=3,FS334&lt;&gt;0),P334,0),2)</f>
        <v>0</v>
      </c>
      <c r="GM334">
        <f>ROUND(O334+X334+Y334+GK334,2)+GX334</f>
        <v>14173.98</v>
      </c>
      <c r="GN334">
        <f>IF(OR(BI334=0,BI334=1),ROUND(O334+X334+Y334+GK334,2),0)</f>
        <v>0</v>
      </c>
      <c r="GO334">
        <f>IF(BI334=2,ROUND(O334+X334+Y334+GK334,2),0)</f>
        <v>0</v>
      </c>
      <c r="GP334">
        <f>IF(BI334=4,ROUND(O334+X334+Y334+GK334,2)+GX334,0)</f>
        <v>14173.98</v>
      </c>
      <c r="GR334">
        <v>0</v>
      </c>
      <c r="GS334">
        <v>3</v>
      </c>
      <c r="GT334">
        <v>0</v>
      </c>
      <c r="GU334" t="s">
        <v>5</v>
      </c>
      <c r="GV334">
        <f>ROUND((GT334),6)</f>
        <v>0</v>
      </c>
      <c r="GW334">
        <v>1</v>
      </c>
      <c r="GX334">
        <f>ROUND(HC334*I334,2)</f>
        <v>0</v>
      </c>
      <c r="HA334">
        <v>0</v>
      </c>
      <c r="HB334">
        <v>0</v>
      </c>
      <c r="HC334">
        <f>GV334*GW334</f>
        <v>0</v>
      </c>
      <c r="HE334" t="s">
        <v>5</v>
      </c>
      <c r="HF334" t="s">
        <v>5</v>
      </c>
      <c r="IK334">
        <v>0</v>
      </c>
    </row>
    <row r="336" spans="1:245" x14ac:dyDescent="0.2">
      <c r="A336" s="2">
        <v>51</v>
      </c>
      <c r="B336" s="2">
        <f>B330</f>
        <v>1</v>
      </c>
      <c r="C336" s="2">
        <f>A330</f>
        <v>4</v>
      </c>
      <c r="D336" s="2">
        <f>ROW(A330)</f>
        <v>330</v>
      </c>
      <c r="E336" s="2"/>
      <c r="F336" s="2" t="str">
        <f>IF(F330&lt;&gt;"",F330,"")</f>
        <v>Новый раздел</v>
      </c>
      <c r="G336" s="2" t="str">
        <f>IF(G330&lt;&gt;"",G330,"")</f>
        <v>Посадка деревьев с комом земли 1,0х1,0х0,6 м - 91 шт.</v>
      </c>
      <c r="H336" s="2">
        <v>0</v>
      </c>
      <c r="I336" s="2"/>
      <c r="J336" s="2"/>
      <c r="K336" s="2"/>
      <c r="L336" s="2"/>
      <c r="M336" s="2"/>
      <c r="N336" s="2"/>
      <c r="O336" s="2">
        <f t="shared" ref="O336:T336" si="173">ROUND(AB336,2)</f>
        <v>14173.98</v>
      </c>
      <c r="P336" s="2">
        <f t="shared" si="173"/>
        <v>0</v>
      </c>
      <c r="Q336" s="2">
        <f t="shared" si="173"/>
        <v>14173.98</v>
      </c>
      <c r="R336" s="2">
        <f t="shared" si="173"/>
        <v>0</v>
      </c>
      <c r="S336" s="2">
        <f t="shared" si="173"/>
        <v>0</v>
      </c>
      <c r="T336" s="2">
        <f t="shared" si="173"/>
        <v>0</v>
      </c>
      <c r="U336" s="2">
        <f>AH336</f>
        <v>0</v>
      </c>
      <c r="V336" s="2">
        <f>AI336</f>
        <v>0</v>
      </c>
      <c r="W336" s="2">
        <f>ROUND(AJ336,2)</f>
        <v>0</v>
      </c>
      <c r="X336" s="2">
        <f>ROUND(AK336,2)</f>
        <v>0</v>
      </c>
      <c r="Y336" s="2">
        <f>ROUND(AL336,2)</f>
        <v>0</v>
      </c>
      <c r="Z336" s="2"/>
      <c r="AA336" s="2"/>
      <c r="AB336" s="2">
        <f>ROUND(SUMIF(AA334:AA334,"=49688178",O334:O334),2)</f>
        <v>14173.98</v>
      </c>
      <c r="AC336" s="2">
        <f>ROUND(SUMIF(AA334:AA334,"=49688178",P334:P334),2)</f>
        <v>0</v>
      </c>
      <c r="AD336" s="2">
        <f>ROUND(SUMIF(AA334:AA334,"=49688178",Q334:Q334),2)</f>
        <v>14173.98</v>
      </c>
      <c r="AE336" s="2">
        <f>ROUND(SUMIF(AA334:AA334,"=49688178",R334:R334),2)</f>
        <v>0</v>
      </c>
      <c r="AF336" s="2">
        <f>ROUND(SUMIF(AA334:AA334,"=49688178",S334:S334),2)</f>
        <v>0</v>
      </c>
      <c r="AG336" s="2">
        <f>ROUND(SUMIF(AA334:AA334,"=49688178",T334:T334),2)</f>
        <v>0</v>
      </c>
      <c r="AH336" s="2">
        <f>SUMIF(AA334:AA334,"=49688178",U334:U334)</f>
        <v>0</v>
      </c>
      <c r="AI336" s="2">
        <f>SUMIF(AA334:AA334,"=49688178",V334:V334)</f>
        <v>0</v>
      </c>
      <c r="AJ336" s="2">
        <f>ROUND(SUMIF(AA334:AA334,"=49688178",W334:W334),2)</f>
        <v>0</v>
      </c>
      <c r="AK336" s="2">
        <f>ROUND(SUMIF(AA334:AA334,"=49688178",X334:X334),2)</f>
        <v>0</v>
      </c>
      <c r="AL336" s="2">
        <f>ROUND(SUMIF(AA334:AA334,"=49688178",Y334:Y334),2)</f>
        <v>0</v>
      </c>
      <c r="AM336" s="2"/>
      <c r="AN336" s="2"/>
      <c r="AO336" s="2">
        <f t="shared" ref="AO336:BD336" si="174">ROUND(BX336,2)</f>
        <v>0</v>
      </c>
      <c r="AP336" s="2">
        <f t="shared" si="174"/>
        <v>0</v>
      </c>
      <c r="AQ336" s="2">
        <f t="shared" si="174"/>
        <v>0</v>
      </c>
      <c r="AR336" s="2">
        <f t="shared" si="174"/>
        <v>14173.98</v>
      </c>
      <c r="AS336" s="2">
        <f t="shared" si="174"/>
        <v>0</v>
      </c>
      <c r="AT336" s="2">
        <f t="shared" si="174"/>
        <v>0</v>
      </c>
      <c r="AU336" s="2">
        <f t="shared" si="174"/>
        <v>14173.98</v>
      </c>
      <c r="AV336" s="2">
        <f t="shared" si="174"/>
        <v>0</v>
      </c>
      <c r="AW336" s="2">
        <f t="shared" si="174"/>
        <v>0</v>
      </c>
      <c r="AX336" s="2">
        <f t="shared" si="174"/>
        <v>0</v>
      </c>
      <c r="AY336" s="2">
        <f t="shared" si="174"/>
        <v>0</v>
      </c>
      <c r="AZ336" s="2">
        <f t="shared" si="174"/>
        <v>0</v>
      </c>
      <c r="BA336" s="2">
        <f t="shared" si="174"/>
        <v>0</v>
      </c>
      <c r="BB336" s="2">
        <f t="shared" si="174"/>
        <v>0</v>
      </c>
      <c r="BC336" s="2">
        <f t="shared" si="174"/>
        <v>0</v>
      </c>
      <c r="BD336" s="2">
        <f t="shared" si="174"/>
        <v>0</v>
      </c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>
        <f>ROUND(SUMIF(AA334:AA334,"=49688178",FQ334:FQ334),2)</f>
        <v>0</v>
      </c>
      <c r="BY336" s="2">
        <f>ROUND(SUMIF(AA334:AA334,"=49688178",FR334:FR334),2)</f>
        <v>0</v>
      </c>
      <c r="BZ336" s="2">
        <f>ROUND(SUMIF(AA334:AA334,"=49688178",GL334:GL334),2)</f>
        <v>0</v>
      </c>
      <c r="CA336" s="2">
        <f>ROUND(SUMIF(AA334:AA334,"=49688178",GM334:GM334),2)</f>
        <v>14173.98</v>
      </c>
      <c r="CB336" s="2">
        <f>ROUND(SUMIF(AA334:AA334,"=49688178",GN334:GN334),2)</f>
        <v>0</v>
      </c>
      <c r="CC336" s="2">
        <f>ROUND(SUMIF(AA334:AA334,"=49688178",GO334:GO334),2)</f>
        <v>0</v>
      </c>
      <c r="CD336" s="2">
        <f>ROUND(SUMIF(AA334:AA334,"=49688178",GP334:GP334),2)</f>
        <v>14173.98</v>
      </c>
      <c r="CE336" s="2">
        <f>AC336-BX336</f>
        <v>0</v>
      </c>
      <c r="CF336" s="2">
        <f>AC336-BY336</f>
        <v>0</v>
      </c>
      <c r="CG336" s="2">
        <f>BX336-BZ336</f>
        <v>0</v>
      </c>
      <c r="CH336" s="2">
        <f>AC336-BX336-BY336+BZ336</f>
        <v>0</v>
      </c>
      <c r="CI336" s="2">
        <f>BY336-BZ336</f>
        <v>0</v>
      </c>
      <c r="CJ336" s="2">
        <f>ROUND(SUMIF(AA334:AA334,"=49688178",GX334:GX334),2)</f>
        <v>0</v>
      </c>
      <c r="CK336" s="2">
        <f>ROUND(SUMIF(AA334:AA334,"=49688178",GY334:GY334),2)</f>
        <v>0</v>
      </c>
      <c r="CL336" s="2">
        <f>ROUND(SUMIF(AA334:AA334,"=49688178",GZ334:GZ334),2)</f>
        <v>0</v>
      </c>
      <c r="CM336" s="2">
        <f>ROUND(SUMIF(AA334:AA334,"=49688178",HD334:HD334),2)</f>
        <v>0</v>
      </c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>
        <v>0</v>
      </c>
    </row>
    <row r="338" spans="1:23" x14ac:dyDescent="0.2">
      <c r="A338" s="4">
        <v>50</v>
      </c>
      <c r="B338" s="4">
        <v>0</v>
      </c>
      <c r="C338" s="4">
        <v>0</v>
      </c>
      <c r="D338" s="4">
        <v>1</v>
      </c>
      <c r="E338" s="4">
        <v>201</v>
      </c>
      <c r="F338" s="4">
        <f>ROUND(Source!O336,O338)</f>
        <v>14173.98</v>
      </c>
      <c r="G338" s="4" t="s">
        <v>51</v>
      </c>
      <c r="H338" s="4" t="s">
        <v>52</v>
      </c>
      <c r="I338" s="4"/>
      <c r="J338" s="4"/>
      <c r="K338" s="4">
        <v>201</v>
      </c>
      <c r="L338" s="4">
        <v>1</v>
      </c>
      <c r="M338" s="4">
        <v>3</v>
      </c>
      <c r="N338" s="4" t="s">
        <v>5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>
        <v>50</v>
      </c>
      <c r="B339" s="4">
        <v>0</v>
      </c>
      <c r="C339" s="4">
        <v>0</v>
      </c>
      <c r="D339" s="4">
        <v>1</v>
      </c>
      <c r="E339" s="4">
        <v>202</v>
      </c>
      <c r="F339" s="4">
        <f>ROUND(Source!P336,O339)</f>
        <v>0</v>
      </c>
      <c r="G339" s="4" t="s">
        <v>53</v>
      </c>
      <c r="H339" s="4" t="s">
        <v>54</v>
      </c>
      <c r="I339" s="4"/>
      <c r="J339" s="4"/>
      <c r="K339" s="4">
        <v>202</v>
      </c>
      <c r="L339" s="4">
        <v>2</v>
      </c>
      <c r="M339" s="4">
        <v>3</v>
      </c>
      <c r="N339" s="4" t="s">
        <v>5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>
        <v>50</v>
      </c>
      <c r="B340" s="4">
        <v>0</v>
      </c>
      <c r="C340" s="4">
        <v>0</v>
      </c>
      <c r="D340" s="4">
        <v>1</v>
      </c>
      <c r="E340" s="4">
        <v>222</v>
      </c>
      <c r="F340" s="4">
        <f>ROUND(Source!AO336,O340)</f>
        <v>0</v>
      </c>
      <c r="G340" s="4" t="s">
        <v>55</v>
      </c>
      <c r="H340" s="4" t="s">
        <v>56</v>
      </c>
      <c r="I340" s="4"/>
      <c r="J340" s="4"/>
      <c r="K340" s="4">
        <v>222</v>
      </c>
      <c r="L340" s="4">
        <v>3</v>
      </c>
      <c r="M340" s="4">
        <v>3</v>
      </c>
      <c r="N340" s="4" t="s">
        <v>5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>
        <v>50</v>
      </c>
      <c r="B341" s="4">
        <v>0</v>
      </c>
      <c r="C341" s="4">
        <v>0</v>
      </c>
      <c r="D341" s="4">
        <v>1</v>
      </c>
      <c r="E341" s="4">
        <v>225</v>
      </c>
      <c r="F341" s="4">
        <f>ROUND(Source!AV336,O341)</f>
        <v>0</v>
      </c>
      <c r="G341" s="4" t="s">
        <v>57</v>
      </c>
      <c r="H341" s="4" t="s">
        <v>58</v>
      </c>
      <c r="I341" s="4"/>
      <c r="J341" s="4"/>
      <c r="K341" s="4">
        <v>225</v>
      </c>
      <c r="L341" s="4">
        <v>4</v>
      </c>
      <c r="M341" s="4">
        <v>3</v>
      </c>
      <c r="N341" s="4" t="s">
        <v>5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>
        <v>50</v>
      </c>
      <c r="B342" s="4">
        <v>0</v>
      </c>
      <c r="C342" s="4">
        <v>0</v>
      </c>
      <c r="D342" s="4">
        <v>1</v>
      </c>
      <c r="E342" s="4">
        <v>226</v>
      </c>
      <c r="F342" s="4">
        <f>ROUND(Source!AW336,O342)</f>
        <v>0</v>
      </c>
      <c r="G342" s="4" t="s">
        <v>59</v>
      </c>
      <c r="H342" s="4" t="s">
        <v>60</v>
      </c>
      <c r="I342" s="4"/>
      <c r="J342" s="4"/>
      <c r="K342" s="4">
        <v>226</v>
      </c>
      <c r="L342" s="4">
        <v>5</v>
      </c>
      <c r="M342" s="4">
        <v>3</v>
      </c>
      <c r="N342" s="4" t="s">
        <v>5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>
        <v>50</v>
      </c>
      <c r="B343" s="4">
        <v>0</v>
      </c>
      <c r="C343" s="4">
        <v>0</v>
      </c>
      <c r="D343" s="4">
        <v>1</v>
      </c>
      <c r="E343" s="4">
        <v>227</v>
      </c>
      <c r="F343" s="4">
        <f>ROUND(Source!AX336,O343)</f>
        <v>0</v>
      </c>
      <c r="G343" s="4" t="s">
        <v>61</v>
      </c>
      <c r="H343" s="4" t="s">
        <v>62</v>
      </c>
      <c r="I343" s="4"/>
      <c r="J343" s="4"/>
      <c r="K343" s="4">
        <v>227</v>
      </c>
      <c r="L343" s="4">
        <v>6</v>
      </c>
      <c r="M343" s="4">
        <v>3</v>
      </c>
      <c r="N343" s="4" t="s">
        <v>5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>
        <v>50</v>
      </c>
      <c r="B344" s="4">
        <v>0</v>
      </c>
      <c r="C344" s="4">
        <v>0</v>
      </c>
      <c r="D344" s="4">
        <v>1</v>
      </c>
      <c r="E344" s="4">
        <v>228</v>
      </c>
      <c r="F344" s="4">
        <f>ROUND(Source!AY336,O344)</f>
        <v>0</v>
      </c>
      <c r="G344" s="4" t="s">
        <v>63</v>
      </c>
      <c r="H344" s="4" t="s">
        <v>64</v>
      </c>
      <c r="I344" s="4"/>
      <c r="J344" s="4"/>
      <c r="K344" s="4">
        <v>228</v>
      </c>
      <c r="L344" s="4">
        <v>7</v>
      </c>
      <c r="M344" s="4">
        <v>3</v>
      </c>
      <c r="N344" s="4" t="s">
        <v>5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>
        <v>50</v>
      </c>
      <c r="B345" s="4">
        <v>0</v>
      </c>
      <c r="C345" s="4">
        <v>0</v>
      </c>
      <c r="D345" s="4">
        <v>1</v>
      </c>
      <c r="E345" s="4">
        <v>216</v>
      </c>
      <c r="F345" s="4">
        <f>ROUND(Source!AP336,O345)</f>
        <v>0</v>
      </c>
      <c r="G345" s="4" t="s">
        <v>65</v>
      </c>
      <c r="H345" s="4" t="s">
        <v>66</v>
      </c>
      <c r="I345" s="4"/>
      <c r="J345" s="4"/>
      <c r="K345" s="4">
        <v>216</v>
      </c>
      <c r="L345" s="4">
        <v>8</v>
      </c>
      <c r="M345" s="4">
        <v>3</v>
      </c>
      <c r="N345" s="4" t="s">
        <v>5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>
        <v>50</v>
      </c>
      <c r="B346" s="4">
        <v>0</v>
      </c>
      <c r="C346" s="4">
        <v>0</v>
      </c>
      <c r="D346" s="4">
        <v>1</v>
      </c>
      <c r="E346" s="4">
        <v>223</v>
      </c>
      <c r="F346" s="4">
        <f>ROUND(Source!AQ336,O346)</f>
        <v>0</v>
      </c>
      <c r="G346" s="4" t="s">
        <v>67</v>
      </c>
      <c r="H346" s="4" t="s">
        <v>68</v>
      </c>
      <c r="I346" s="4"/>
      <c r="J346" s="4"/>
      <c r="K346" s="4">
        <v>223</v>
      </c>
      <c r="L346" s="4">
        <v>9</v>
      </c>
      <c r="M346" s="4">
        <v>3</v>
      </c>
      <c r="N346" s="4" t="s">
        <v>5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>
        <v>50</v>
      </c>
      <c r="B347" s="4">
        <v>0</v>
      </c>
      <c r="C347" s="4">
        <v>0</v>
      </c>
      <c r="D347" s="4">
        <v>1</v>
      </c>
      <c r="E347" s="4">
        <v>229</v>
      </c>
      <c r="F347" s="4">
        <f>ROUND(Source!AZ336,O347)</f>
        <v>0</v>
      </c>
      <c r="G347" s="4" t="s">
        <v>69</v>
      </c>
      <c r="H347" s="4" t="s">
        <v>70</v>
      </c>
      <c r="I347" s="4"/>
      <c r="J347" s="4"/>
      <c r="K347" s="4">
        <v>229</v>
      </c>
      <c r="L347" s="4">
        <v>10</v>
      </c>
      <c r="M347" s="4">
        <v>3</v>
      </c>
      <c r="N347" s="4" t="s">
        <v>5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>
        <v>50</v>
      </c>
      <c r="B348" s="4">
        <v>0</v>
      </c>
      <c r="C348" s="4">
        <v>0</v>
      </c>
      <c r="D348" s="4">
        <v>1</v>
      </c>
      <c r="E348" s="4">
        <v>203</v>
      </c>
      <c r="F348" s="4">
        <f>ROUND(Source!Q336,O348)</f>
        <v>14173.98</v>
      </c>
      <c r="G348" s="4" t="s">
        <v>71</v>
      </c>
      <c r="H348" s="4" t="s">
        <v>72</v>
      </c>
      <c r="I348" s="4"/>
      <c r="J348" s="4"/>
      <c r="K348" s="4">
        <v>203</v>
      </c>
      <c r="L348" s="4">
        <v>11</v>
      </c>
      <c r="M348" s="4">
        <v>3</v>
      </c>
      <c r="N348" s="4" t="s">
        <v>5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>
        <v>50</v>
      </c>
      <c r="B349" s="4">
        <v>0</v>
      </c>
      <c r="C349" s="4">
        <v>0</v>
      </c>
      <c r="D349" s="4">
        <v>1</v>
      </c>
      <c r="E349" s="4">
        <v>231</v>
      </c>
      <c r="F349" s="4">
        <f>ROUND(Source!BB336,O349)</f>
        <v>0</v>
      </c>
      <c r="G349" s="4" t="s">
        <v>73</v>
      </c>
      <c r="H349" s="4" t="s">
        <v>74</v>
      </c>
      <c r="I349" s="4"/>
      <c r="J349" s="4"/>
      <c r="K349" s="4">
        <v>231</v>
      </c>
      <c r="L349" s="4">
        <v>12</v>
      </c>
      <c r="M349" s="4">
        <v>3</v>
      </c>
      <c r="N349" s="4" t="s">
        <v>5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>
        <v>50</v>
      </c>
      <c r="B350" s="4">
        <v>0</v>
      </c>
      <c r="C350" s="4">
        <v>0</v>
      </c>
      <c r="D350" s="4">
        <v>1</v>
      </c>
      <c r="E350" s="4">
        <v>204</v>
      </c>
      <c r="F350" s="4">
        <f>ROUND(Source!R336,O350)</f>
        <v>0</v>
      </c>
      <c r="G350" s="4" t="s">
        <v>75</v>
      </c>
      <c r="H350" s="4" t="s">
        <v>76</v>
      </c>
      <c r="I350" s="4"/>
      <c r="J350" s="4"/>
      <c r="K350" s="4">
        <v>204</v>
      </c>
      <c r="L350" s="4">
        <v>13</v>
      </c>
      <c r="M350" s="4">
        <v>3</v>
      </c>
      <c r="N350" s="4" t="s">
        <v>5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>
        <v>50</v>
      </c>
      <c r="B351" s="4">
        <v>0</v>
      </c>
      <c r="C351" s="4">
        <v>0</v>
      </c>
      <c r="D351" s="4">
        <v>1</v>
      </c>
      <c r="E351" s="4">
        <v>205</v>
      </c>
      <c r="F351" s="4">
        <f>ROUND(Source!S336,O351)</f>
        <v>0</v>
      </c>
      <c r="G351" s="4" t="s">
        <v>77</v>
      </c>
      <c r="H351" s="4" t="s">
        <v>78</v>
      </c>
      <c r="I351" s="4"/>
      <c r="J351" s="4"/>
      <c r="K351" s="4">
        <v>205</v>
      </c>
      <c r="L351" s="4">
        <v>14</v>
      </c>
      <c r="M351" s="4">
        <v>3</v>
      </c>
      <c r="N351" s="4" t="s">
        <v>5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>
        <v>50</v>
      </c>
      <c r="B352" s="4">
        <v>0</v>
      </c>
      <c r="C352" s="4">
        <v>0</v>
      </c>
      <c r="D352" s="4">
        <v>1</v>
      </c>
      <c r="E352" s="4">
        <v>232</v>
      </c>
      <c r="F352" s="4">
        <f>ROUND(Source!BC336,O352)</f>
        <v>0</v>
      </c>
      <c r="G352" s="4" t="s">
        <v>79</v>
      </c>
      <c r="H352" s="4" t="s">
        <v>80</v>
      </c>
      <c r="I352" s="4"/>
      <c r="J352" s="4"/>
      <c r="K352" s="4">
        <v>232</v>
      </c>
      <c r="L352" s="4">
        <v>15</v>
      </c>
      <c r="M352" s="4">
        <v>3</v>
      </c>
      <c r="N352" s="4" t="s">
        <v>5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06" x14ac:dyDescent="0.2">
      <c r="A353" s="4">
        <v>50</v>
      </c>
      <c r="B353" s="4">
        <v>0</v>
      </c>
      <c r="C353" s="4">
        <v>0</v>
      </c>
      <c r="D353" s="4">
        <v>1</v>
      </c>
      <c r="E353" s="4">
        <v>214</v>
      </c>
      <c r="F353" s="4">
        <f>ROUND(Source!AS336,O353)</f>
        <v>0</v>
      </c>
      <c r="G353" s="4" t="s">
        <v>81</v>
      </c>
      <c r="H353" s="4" t="s">
        <v>82</v>
      </c>
      <c r="I353" s="4"/>
      <c r="J353" s="4"/>
      <c r="K353" s="4">
        <v>214</v>
      </c>
      <c r="L353" s="4">
        <v>16</v>
      </c>
      <c r="M353" s="4">
        <v>3</v>
      </c>
      <c r="N353" s="4" t="s">
        <v>5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06" x14ac:dyDescent="0.2">
      <c r="A354" s="4">
        <v>50</v>
      </c>
      <c r="B354" s="4">
        <v>0</v>
      </c>
      <c r="C354" s="4">
        <v>0</v>
      </c>
      <c r="D354" s="4">
        <v>1</v>
      </c>
      <c r="E354" s="4">
        <v>215</v>
      </c>
      <c r="F354" s="4">
        <f>ROUND(Source!AT336,O354)</f>
        <v>0</v>
      </c>
      <c r="G354" s="4" t="s">
        <v>83</v>
      </c>
      <c r="H354" s="4" t="s">
        <v>84</v>
      </c>
      <c r="I354" s="4"/>
      <c r="J354" s="4"/>
      <c r="K354" s="4">
        <v>215</v>
      </c>
      <c r="L354" s="4">
        <v>17</v>
      </c>
      <c r="M354" s="4">
        <v>3</v>
      </c>
      <c r="N354" s="4" t="s">
        <v>5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06" x14ac:dyDescent="0.2">
      <c r="A355" s="4">
        <v>50</v>
      </c>
      <c r="B355" s="4">
        <v>0</v>
      </c>
      <c r="C355" s="4">
        <v>0</v>
      </c>
      <c r="D355" s="4">
        <v>1</v>
      </c>
      <c r="E355" s="4">
        <v>217</v>
      </c>
      <c r="F355" s="4">
        <f>ROUND(Source!AU336,O355)</f>
        <v>14173.98</v>
      </c>
      <c r="G355" s="4" t="s">
        <v>85</v>
      </c>
      <c r="H355" s="4" t="s">
        <v>86</v>
      </c>
      <c r="I355" s="4"/>
      <c r="J355" s="4"/>
      <c r="K355" s="4">
        <v>217</v>
      </c>
      <c r="L355" s="4">
        <v>18</v>
      </c>
      <c r="M355" s="4">
        <v>3</v>
      </c>
      <c r="N355" s="4" t="s">
        <v>5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06" x14ac:dyDescent="0.2">
      <c r="A356" s="4">
        <v>50</v>
      </c>
      <c r="B356" s="4">
        <v>0</v>
      </c>
      <c r="C356" s="4">
        <v>0</v>
      </c>
      <c r="D356" s="4">
        <v>1</v>
      </c>
      <c r="E356" s="4">
        <v>230</v>
      </c>
      <c r="F356" s="4">
        <f>ROUND(Source!BA336,O356)</f>
        <v>0</v>
      </c>
      <c r="G356" s="4" t="s">
        <v>87</v>
      </c>
      <c r="H356" s="4" t="s">
        <v>88</v>
      </c>
      <c r="I356" s="4"/>
      <c r="J356" s="4"/>
      <c r="K356" s="4">
        <v>230</v>
      </c>
      <c r="L356" s="4">
        <v>19</v>
      </c>
      <c r="M356" s="4">
        <v>3</v>
      </c>
      <c r="N356" s="4" t="s">
        <v>5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06" x14ac:dyDescent="0.2">
      <c r="A357" s="4">
        <v>50</v>
      </c>
      <c r="B357" s="4">
        <v>0</v>
      </c>
      <c r="C357" s="4">
        <v>0</v>
      </c>
      <c r="D357" s="4">
        <v>1</v>
      </c>
      <c r="E357" s="4">
        <v>206</v>
      </c>
      <c r="F357" s="4">
        <f>ROUND(Source!T336,O357)</f>
        <v>0</v>
      </c>
      <c r="G357" s="4" t="s">
        <v>89</v>
      </c>
      <c r="H357" s="4" t="s">
        <v>90</v>
      </c>
      <c r="I357" s="4"/>
      <c r="J357" s="4"/>
      <c r="K357" s="4">
        <v>206</v>
      </c>
      <c r="L357" s="4">
        <v>20</v>
      </c>
      <c r="M357" s="4">
        <v>3</v>
      </c>
      <c r="N357" s="4" t="s">
        <v>5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06" x14ac:dyDescent="0.2">
      <c r="A358" s="4">
        <v>50</v>
      </c>
      <c r="B358" s="4">
        <v>0</v>
      </c>
      <c r="C358" s="4">
        <v>0</v>
      </c>
      <c r="D358" s="4">
        <v>1</v>
      </c>
      <c r="E358" s="4">
        <v>207</v>
      </c>
      <c r="F358" s="4">
        <f>Source!U336</f>
        <v>0</v>
      </c>
      <c r="G358" s="4" t="s">
        <v>91</v>
      </c>
      <c r="H358" s="4" t="s">
        <v>92</v>
      </c>
      <c r="I358" s="4"/>
      <c r="J358" s="4"/>
      <c r="K358" s="4">
        <v>207</v>
      </c>
      <c r="L358" s="4">
        <v>21</v>
      </c>
      <c r="M358" s="4">
        <v>3</v>
      </c>
      <c r="N358" s="4" t="s">
        <v>5</v>
      </c>
      <c r="O358" s="4">
        <v>-1</v>
      </c>
      <c r="P358" s="4"/>
      <c r="Q358" s="4"/>
      <c r="R358" s="4"/>
      <c r="S358" s="4"/>
      <c r="T358" s="4"/>
      <c r="U358" s="4"/>
      <c r="V358" s="4"/>
      <c r="W358" s="4"/>
    </row>
    <row r="359" spans="1:206" x14ac:dyDescent="0.2">
      <c r="A359" s="4">
        <v>50</v>
      </c>
      <c r="B359" s="4">
        <v>0</v>
      </c>
      <c r="C359" s="4">
        <v>0</v>
      </c>
      <c r="D359" s="4">
        <v>1</v>
      </c>
      <c r="E359" s="4">
        <v>208</v>
      </c>
      <c r="F359" s="4">
        <f>Source!V336</f>
        <v>0</v>
      </c>
      <c r="G359" s="4" t="s">
        <v>93</v>
      </c>
      <c r="H359" s="4" t="s">
        <v>94</v>
      </c>
      <c r="I359" s="4"/>
      <c r="J359" s="4"/>
      <c r="K359" s="4">
        <v>208</v>
      </c>
      <c r="L359" s="4">
        <v>22</v>
      </c>
      <c r="M359" s="4">
        <v>3</v>
      </c>
      <c r="N359" s="4" t="s">
        <v>5</v>
      </c>
      <c r="O359" s="4">
        <v>-1</v>
      </c>
      <c r="P359" s="4"/>
      <c r="Q359" s="4"/>
      <c r="R359" s="4"/>
      <c r="S359" s="4"/>
      <c r="T359" s="4"/>
      <c r="U359" s="4"/>
      <c r="V359" s="4"/>
      <c r="W359" s="4"/>
    </row>
    <row r="360" spans="1:206" x14ac:dyDescent="0.2">
      <c r="A360" s="4">
        <v>50</v>
      </c>
      <c r="B360" s="4">
        <v>0</v>
      </c>
      <c r="C360" s="4">
        <v>0</v>
      </c>
      <c r="D360" s="4">
        <v>1</v>
      </c>
      <c r="E360" s="4">
        <v>209</v>
      </c>
      <c r="F360" s="4">
        <f>ROUND(Source!W336,O360)</f>
        <v>0</v>
      </c>
      <c r="G360" s="4" t="s">
        <v>95</v>
      </c>
      <c r="H360" s="4" t="s">
        <v>96</v>
      </c>
      <c r="I360" s="4"/>
      <c r="J360" s="4"/>
      <c r="K360" s="4">
        <v>209</v>
      </c>
      <c r="L360" s="4">
        <v>23</v>
      </c>
      <c r="M360" s="4">
        <v>3</v>
      </c>
      <c r="N360" s="4" t="s">
        <v>5</v>
      </c>
      <c r="O360" s="4">
        <v>2</v>
      </c>
      <c r="P360" s="4"/>
      <c r="Q360" s="4"/>
      <c r="R360" s="4"/>
      <c r="S360" s="4"/>
      <c r="T360" s="4"/>
      <c r="U360" s="4"/>
      <c r="V360" s="4"/>
      <c r="W360" s="4"/>
    </row>
    <row r="361" spans="1:206" x14ac:dyDescent="0.2">
      <c r="A361" s="4">
        <v>50</v>
      </c>
      <c r="B361" s="4">
        <v>0</v>
      </c>
      <c r="C361" s="4">
        <v>0</v>
      </c>
      <c r="D361" s="4">
        <v>1</v>
      </c>
      <c r="E361" s="4">
        <v>233</v>
      </c>
      <c r="F361" s="4">
        <f>ROUND(Source!BD336,O361)</f>
        <v>0</v>
      </c>
      <c r="G361" s="4" t="s">
        <v>97</v>
      </c>
      <c r="H361" s="4" t="s">
        <v>98</v>
      </c>
      <c r="I361" s="4"/>
      <c r="J361" s="4"/>
      <c r="K361" s="4">
        <v>233</v>
      </c>
      <c r="L361" s="4">
        <v>24</v>
      </c>
      <c r="M361" s="4">
        <v>3</v>
      </c>
      <c r="N361" s="4" t="s">
        <v>5</v>
      </c>
      <c r="O361" s="4">
        <v>2</v>
      </c>
      <c r="P361" s="4"/>
      <c r="Q361" s="4"/>
      <c r="R361" s="4"/>
      <c r="S361" s="4"/>
      <c r="T361" s="4"/>
      <c r="U361" s="4"/>
      <c r="V361" s="4"/>
      <c r="W361" s="4"/>
    </row>
    <row r="362" spans="1:206" x14ac:dyDescent="0.2">
      <c r="A362" s="4">
        <v>50</v>
      </c>
      <c r="B362" s="4">
        <v>0</v>
      </c>
      <c r="C362" s="4">
        <v>0</v>
      </c>
      <c r="D362" s="4">
        <v>1</v>
      </c>
      <c r="E362" s="4">
        <v>210</v>
      </c>
      <c r="F362" s="4">
        <f>ROUND(Source!X336,O362)</f>
        <v>0</v>
      </c>
      <c r="G362" s="4" t="s">
        <v>99</v>
      </c>
      <c r="H362" s="4" t="s">
        <v>100</v>
      </c>
      <c r="I362" s="4"/>
      <c r="J362" s="4"/>
      <c r="K362" s="4">
        <v>210</v>
      </c>
      <c r="L362" s="4">
        <v>25</v>
      </c>
      <c r="M362" s="4">
        <v>3</v>
      </c>
      <c r="N362" s="4" t="s">
        <v>5</v>
      </c>
      <c r="O362" s="4">
        <v>2</v>
      </c>
      <c r="P362" s="4"/>
      <c r="Q362" s="4"/>
      <c r="R362" s="4"/>
      <c r="S362" s="4"/>
      <c r="T362" s="4"/>
      <c r="U362" s="4"/>
      <c r="V362" s="4"/>
      <c r="W362" s="4"/>
    </row>
    <row r="363" spans="1:206" x14ac:dyDescent="0.2">
      <c r="A363" s="4">
        <v>50</v>
      </c>
      <c r="B363" s="4">
        <v>0</v>
      </c>
      <c r="C363" s="4">
        <v>0</v>
      </c>
      <c r="D363" s="4">
        <v>1</v>
      </c>
      <c r="E363" s="4">
        <v>211</v>
      </c>
      <c r="F363" s="4">
        <f>ROUND(Source!Y336,O363)</f>
        <v>0</v>
      </c>
      <c r="G363" s="4" t="s">
        <v>101</v>
      </c>
      <c r="H363" s="4" t="s">
        <v>102</v>
      </c>
      <c r="I363" s="4"/>
      <c r="J363" s="4"/>
      <c r="K363" s="4">
        <v>211</v>
      </c>
      <c r="L363" s="4">
        <v>26</v>
      </c>
      <c r="M363" s="4">
        <v>3</v>
      </c>
      <c r="N363" s="4" t="s">
        <v>5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06" x14ac:dyDescent="0.2">
      <c r="A364" s="4">
        <v>50</v>
      </c>
      <c r="B364" s="4">
        <v>0</v>
      </c>
      <c r="C364" s="4">
        <v>0</v>
      </c>
      <c r="D364" s="4">
        <v>1</v>
      </c>
      <c r="E364" s="4">
        <v>224</v>
      </c>
      <c r="F364" s="4">
        <f>ROUND(Source!AR336,O364)</f>
        <v>14173.98</v>
      </c>
      <c r="G364" s="4" t="s">
        <v>103</v>
      </c>
      <c r="H364" s="4" t="s">
        <v>104</v>
      </c>
      <c r="I364" s="4"/>
      <c r="J364" s="4"/>
      <c r="K364" s="4">
        <v>224</v>
      </c>
      <c r="L364" s="4">
        <v>27</v>
      </c>
      <c r="M364" s="4">
        <v>3</v>
      </c>
      <c r="N364" s="4" t="s">
        <v>5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6" spans="1:206" x14ac:dyDescent="0.2">
      <c r="A366" s="2">
        <v>51</v>
      </c>
      <c r="B366" s="2">
        <f>B290</f>
        <v>1</v>
      </c>
      <c r="C366" s="2">
        <f>A290</f>
        <v>3</v>
      </c>
      <c r="D366" s="2">
        <f>ROW(A290)</f>
        <v>290</v>
      </c>
      <c r="E366" s="2"/>
      <c r="F366" s="2" t="str">
        <f>IF(F290&lt;&gt;"",F290,"")</f>
        <v>Новая локальная смета</v>
      </c>
      <c r="G366" s="2" t="str">
        <f>IF(G290&lt;&gt;"",G290,"")</f>
        <v>Затраты на перевозку отходов строительства и сноса, в т.ч. грунта, автотранспортными средствами</v>
      </c>
      <c r="H366" s="2">
        <v>0</v>
      </c>
      <c r="I366" s="2"/>
      <c r="J366" s="2"/>
      <c r="K366" s="2"/>
      <c r="L366" s="2"/>
      <c r="M366" s="2"/>
      <c r="N366" s="2"/>
      <c r="O366" s="2">
        <f t="shared" ref="O366:T366" si="175">ROUND(O300+O336+AB366,2)</f>
        <v>1317537.0900000001</v>
      </c>
      <c r="P366" s="2">
        <f t="shared" si="175"/>
        <v>0</v>
      </c>
      <c r="Q366" s="2">
        <f t="shared" si="175"/>
        <v>1317537.0900000001</v>
      </c>
      <c r="R366" s="2">
        <f t="shared" si="175"/>
        <v>0</v>
      </c>
      <c r="S366" s="2">
        <f t="shared" si="175"/>
        <v>0</v>
      </c>
      <c r="T366" s="2">
        <f t="shared" si="175"/>
        <v>0</v>
      </c>
      <c r="U366" s="2">
        <f>U300+U336+AH366</f>
        <v>0</v>
      </c>
      <c r="V366" s="2">
        <f>V300+V336+AI366</f>
        <v>0</v>
      </c>
      <c r="W366" s="2">
        <f>ROUND(W300+W336+AJ366,2)</f>
        <v>0</v>
      </c>
      <c r="X366" s="2">
        <f>ROUND(X300+X336+AK366,2)</f>
        <v>0</v>
      </c>
      <c r="Y366" s="2">
        <f>ROUND(Y300+Y336+AL366,2)</f>
        <v>0</v>
      </c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>
        <f t="shared" ref="AO366:BD366" si="176">ROUND(AO300+AO336+BX366,2)</f>
        <v>0</v>
      </c>
      <c r="AP366" s="2">
        <f t="shared" si="176"/>
        <v>0</v>
      </c>
      <c r="AQ366" s="2">
        <f t="shared" si="176"/>
        <v>0</v>
      </c>
      <c r="AR366" s="2">
        <f t="shared" si="176"/>
        <v>1317537.0900000001</v>
      </c>
      <c r="AS366" s="2">
        <f t="shared" si="176"/>
        <v>0</v>
      </c>
      <c r="AT366" s="2">
        <f t="shared" si="176"/>
        <v>0</v>
      </c>
      <c r="AU366" s="2">
        <f t="shared" si="176"/>
        <v>1317537.0900000001</v>
      </c>
      <c r="AV366" s="2">
        <f t="shared" si="176"/>
        <v>0</v>
      </c>
      <c r="AW366" s="2">
        <f t="shared" si="176"/>
        <v>0</v>
      </c>
      <c r="AX366" s="2">
        <f t="shared" si="176"/>
        <v>0</v>
      </c>
      <c r="AY366" s="2">
        <f t="shared" si="176"/>
        <v>0</v>
      </c>
      <c r="AZ366" s="2">
        <f t="shared" si="176"/>
        <v>0</v>
      </c>
      <c r="BA366" s="2">
        <f t="shared" si="176"/>
        <v>0</v>
      </c>
      <c r="BB366" s="2">
        <f t="shared" si="176"/>
        <v>0</v>
      </c>
      <c r="BC366" s="2">
        <f t="shared" si="176"/>
        <v>0</v>
      </c>
      <c r="BD366" s="2">
        <f t="shared" si="176"/>
        <v>0</v>
      </c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>
        <v>0</v>
      </c>
    </row>
    <row r="368" spans="1:206" x14ac:dyDescent="0.2">
      <c r="A368" s="4">
        <v>50</v>
      </c>
      <c r="B368" s="4">
        <v>0</v>
      </c>
      <c r="C368" s="4">
        <v>0</v>
      </c>
      <c r="D368" s="4">
        <v>1</v>
      </c>
      <c r="E368" s="4">
        <v>201</v>
      </c>
      <c r="F368" s="4">
        <f>ROUND(Source!O366,O368)</f>
        <v>1317537.0900000001</v>
      </c>
      <c r="G368" s="4" t="s">
        <v>51</v>
      </c>
      <c r="H368" s="4" t="s">
        <v>52</v>
      </c>
      <c r="I368" s="4"/>
      <c r="J368" s="4"/>
      <c r="K368" s="4">
        <v>201</v>
      </c>
      <c r="L368" s="4">
        <v>1</v>
      </c>
      <c r="M368" s="4">
        <v>3</v>
      </c>
      <c r="N368" s="4" t="s">
        <v>5</v>
      </c>
      <c r="O368" s="4">
        <v>2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4">
        <v>50</v>
      </c>
      <c r="B369" s="4">
        <v>0</v>
      </c>
      <c r="C369" s="4">
        <v>0</v>
      </c>
      <c r="D369" s="4">
        <v>1</v>
      </c>
      <c r="E369" s="4">
        <v>202</v>
      </c>
      <c r="F369" s="4">
        <f>ROUND(Source!P366,O369)</f>
        <v>0</v>
      </c>
      <c r="G369" s="4" t="s">
        <v>53</v>
      </c>
      <c r="H369" s="4" t="s">
        <v>54</v>
      </c>
      <c r="I369" s="4"/>
      <c r="J369" s="4"/>
      <c r="K369" s="4">
        <v>202</v>
      </c>
      <c r="L369" s="4">
        <v>2</v>
      </c>
      <c r="M369" s="4">
        <v>3</v>
      </c>
      <c r="N369" s="4" t="s">
        <v>5</v>
      </c>
      <c r="O369" s="4">
        <v>2</v>
      </c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4">
        <v>50</v>
      </c>
      <c r="B370" s="4">
        <v>0</v>
      </c>
      <c r="C370" s="4">
        <v>0</v>
      </c>
      <c r="D370" s="4">
        <v>1</v>
      </c>
      <c r="E370" s="4">
        <v>222</v>
      </c>
      <c r="F370" s="4">
        <f>ROUND(Source!AO366,O370)</f>
        <v>0</v>
      </c>
      <c r="G370" s="4" t="s">
        <v>55</v>
      </c>
      <c r="H370" s="4" t="s">
        <v>56</v>
      </c>
      <c r="I370" s="4"/>
      <c r="J370" s="4"/>
      <c r="K370" s="4">
        <v>222</v>
      </c>
      <c r="L370" s="4">
        <v>3</v>
      </c>
      <c r="M370" s="4">
        <v>3</v>
      </c>
      <c r="N370" s="4" t="s">
        <v>5</v>
      </c>
      <c r="O370" s="4">
        <v>2</v>
      </c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4">
        <v>50</v>
      </c>
      <c r="B371" s="4">
        <v>0</v>
      </c>
      <c r="C371" s="4">
        <v>0</v>
      </c>
      <c r="D371" s="4">
        <v>1</v>
      </c>
      <c r="E371" s="4">
        <v>225</v>
      </c>
      <c r="F371" s="4">
        <f>ROUND(Source!AV366,O371)</f>
        <v>0</v>
      </c>
      <c r="G371" s="4" t="s">
        <v>57</v>
      </c>
      <c r="H371" s="4" t="s">
        <v>58</v>
      </c>
      <c r="I371" s="4"/>
      <c r="J371" s="4"/>
      <c r="K371" s="4">
        <v>225</v>
      </c>
      <c r="L371" s="4">
        <v>4</v>
      </c>
      <c r="M371" s="4">
        <v>3</v>
      </c>
      <c r="N371" s="4" t="s">
        <v>5</v>
      </c>
      <c r="O371" s="4">
        <v>2</v>
      </c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4">
        <v>50</v>
      </c>
      <c r="B372" s="4">
        <v>0</v>
      </c>
      <c r="C372" s="4">
        <v>0</v>
      </c>
      <c r="D372" s="4">
        <v>1</v>
      </c>
      <c r="E372" s="4">
        <v>226</v>
      </c>
      <c r="F372" s="4">
        <f>ROUND(Source!AW366,O372)</f>
        <v>0</v>
      </c>
      <c r="G372" s="4" t="s">
        <v>59</v>
      </c>
      <c r="H372" s="4" t="s">
        <v>60</v>
      </c>
      <c r="I372" s="4"/>
      <c r="J372" s="4"/>
      <c r="K372" s="4">
        <v>226</v>
      </c>
      <c r="L372" s="4">
        <v>5</v>
      </c>
      <c r="M372" s="4">
        <v>3</v>
      </c>
      <c r="N372" s="4" t="s">
        <v>5</v>
      </c>
      <c r="O372" s="4">
        <v>2</v>
      </c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4">
        <v>50</v>
      </c>
      <c r="B373" s="4">
        <v>0</v>
      </c>
      <c r="C373" s="4">
        <v>0</v>
      </c>
      <c r="D373" s="4">
        <v>1</v>
      </c>
      <c r="E373" s="4">
        <v>227</v>
      </c>
      <c r="F373" s="4">
        <f>ROUND(Source!AX366,O373)</f>
        <v>0</v>
      </c>
      <c r="G373" s="4" t="s">
        <v>61</v>
      </c>
      <c r="H373" s="4" t="s">
        <v>62</v>
      </c>
      <c r="I373" s="4"/>
      <c r="J373" s="4"/>
      <c r="K373" s="4">
        <v>227</v>
      </c>
      <c r="L373" s="4">
        <v>6</v>
      </c>
      <c r="M373" s="4">
        <v>3</v>
      </c>
      <c r="N373" s="4" t="s">
        <v>5</v>
      </c>
      <c r="O373" s="4">
        <v>2</v>
      </c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4">
        <v>50</v>
      </c>
      <c r="B374" s="4">
        <v>0</v>
      </c>
      <c r="C374" s="4">
        <v>0</v>
      </c>
      <c r="D374" s="4">
        <v>1</v>
      </c>
      <c r="E374" s="4">
        <v>228</v>
      </c>
      <c r="F374" s="4">
        <f>ROUND(Source!AY366,O374)</f>
        <v>0</v>
      </c>
      <c r="G374" s="4" t="s">
        <v>63</v>
      </c>
      <c r="H374" s="4" t="s">
        <v>64</v>
      </c>
      <c r="I374" s="4"/>
      <c r="J374" s="4"/>
      <c r="K374" s="4">
        <v>228</v>
      </c>
      <c r="L374" s="4">
        <v>7</v>
      </c>
      <c r="M374" s="4">
        <v>3</v>
      </c>
      <c r="N374" s="4" t="s">
        <v>5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4">
        <v>50</v>
      </c>
      <c r="B375" s="4">
        <v>0</v>
      </c>
      <c r="C375" s="4">
        <v>0</v>
      </c>
      <c r="D375" s="4">
        <v>1</v>
      </c>
      <c r="E375" s="4">
        <v>216</v>
      </c>
      <c r="F375" s="4">
        <f>ROUND(Source!AP366,O375)</f>
        <v>0</v>
      </c>
      <c r="G375" s="4" t="s">
        <v>65</v>
      </c>
      <c r="H375" s="4" t="s">
        <v>66</v>
      </c>
      <c r="I375" s="4"/>
      <c r="J375" s="4"/>
      <c r="K375" s="4">
        <v>216</v>
      </c>
      <c r="L375" s="4">
        <v>8</v>
      </c>
      <c r="M375" s="4">
        <v>3</v>
      </c>
      <c r="N375" s="4" t="s">
        <v>5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4">
        <v>50</v>
      </c>
      <c r="B376" s="4">
        <v>0</v>
      </c>
      <c r="C376" s="4">
        <v>0</v>
      </c>
      <c r="D376" s="4">
        <v>1</v>
      </c>
      <c r="E376" s="4">
        <v>223</v>
      </c>
      <c r="F376" s="4">
        <f>ROUND(Source!AQ366,O376)</f>
        <v>0</v>
      </c>
      <c r="G376" s="4" t="s">
        <v>67</v>
      </c>
      <c r="H376" s="4" t="s">
        <v>68</v>
      </c>
      <c r="I376" s="4"/>
      <c r="J376" s="4"/>
      <c r="K376" s="4">
        <v>223</v>
      </c>
      <c r="L376" s="4">
        <v>9</v>
      </c>
      <c r="M376" s="4">
        <v>3</v>
      </c>
      <c r="N376" s="4" t="s">
        <v>5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4">
        <v>50</v>
      </c>
      <c r="B377" s="4">
        <v>0</v>
      </c>
      <c r="C377" s="4">
        <v>0</v>
      </c>
      <c r="D377" s="4">
        <v>1</v>
      </c>
      <c r="E377" s="4">
        <v>229</v>
      </c>
      <c r="F377" s="4">
        <f>ROUND(Source!AZ366,O377)</f>
        <v>0</v>
      </c>
      <c r="G377" s="4" t="s">
        <v>69</v>
      </c>
      <c r="H377" s="4" t="s">
        <v>70</v>
      </c>
      <c r="I377" s="4"/>
      <c r="J377" s="4"/>
      <c r="K377" s="4">
        <v>229</v>
      </c>
      <c r="L377" s="4">
        <v>10</v>
      </c>
      <c r="M377" s="4">
        <v>3</v>
      </c>
      <c r="N377" s="4" t="s">
        <v>5</v>
      </c>
      <c r="O377" s="4">
        <v>2</v>
      </c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4">
        <v>50</v>
      </c>
      <c r="B378" s="4">
        <v>0</v>
      </c>
      <c r="C378" s="4">
        <v>0</v>
      </c>
      <c r="D378" s="4">
        <v>1</v>
      </c>
      <c r="E378" s="4">
        <v>203</v>
      </c>
      <c r="F378" s="4">
        <f>ROUND(Source!Q366,O378)</f>
        <v>1317537.0900000001</v>
      </c>
      <c r="G378" s="4" t="s">
        <v>71</v>
      </c>
      <c r="H378" s="4" t="s">
        <v>72</v>
      </c>
      <c r="I378" s="4"/>
      <c r="J378" s="4"/>
      <c r="K378" s="4">
        <v>203</v>
      </c>
      <c r="L378" s="4">
        <v>11</v>
      </c>
      <c r="M378" s="4">
        <v>3</v>
      </c>
      <c r="N378" s="4" t="s">
        <v>5</v>
      </c>
      <c r="O378" s="4">
        <v>2</v>
      </c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4">
        <v>50</v>
      </c>
      <c r="B379" s="4">
        <v>0</v>
      </c>
      <c r="C379" s="4">
        <v>0</v>
      </c>
      <c r="D379" s="4">
        <v>1</v>
      </c>
      <c r="E379" s="4">
        <v>231</v>
      </c>
      <c r="F379" s="4">
        <f>ROUND(Source!BB366,O379)</f>
        <v>0</v>
      </c>
      <c r="G379" s="4" t="s">
        <v>73</v>
      </c>
      <c r="H379" s="4" t="s">
        <v>74</v>
      </c>
      <c r="I379" s="4"/>
      <c r="J379" s="4"/>
      <c r="K379" s="4">
        <v>231</v>
      </c>
      <c r="L379" s="4">
        <v>12</v>
      </c>
      <c r="M379" s="4">
        <v>3</v>
      </c>
      <c r="N379" s="4" t="s">
        <v>5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4">
        <v>50</v>
      </c>
      <c r="B380" s="4">
        <v>0</v>
      </c>
      <c r="C380" s="4">
        <v>0</v>
      </c>
      <c r="D380" s="4">
        <v>1</v>
      </c>
      <c r="E380" s="4">
        <v>204</v>
      </c>
      <c r="F380" s="4">
        <f>ROUND(Source!R366,O380)</f>
        <v>0</v>
      </c>
      <c r="G380" s="4" t="s">
        <v>75</v>
      </c>
      <c r="H380" s="4" t="s">
        <v>76</v>
      </c>
      <c r="I380" s="4"/>
      <c r="J380" s="4"/>
      <c r="K380" s="4">
        <v>204</v>
      </c>
      <c r="L380" s="4">
        <v>13</v>
      </c>
      <c r="M380" s="4">
        <v>3</v>
      </c>
      <c r="N380" s="4" t="s">
        <v>5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4">
        <v>50</v>
      </c>
      <c r="B381" s="4">
        <v>0</v>
      </c>
      <c r="C381" s="4">
        <v>0</v>
      </c>
      <c r="D381" s="4">
        <v>1</v>
      </c>
      <c r="E381" s="4">
        <v>205</v>
      </c>
      <c r="F381" s="4">
        <f>ROUND(Source!S366,O381)</f>
        <v>0</v>
      </c>
      <c r="G381" s="4" t="s">
        <v>77</v>
      </c>
      <c r="H381" s="4" t="s">
        <v>78</v>
      </c>
      <c r="I381" s="4"/>
      <c r="J381" s="4"/>
      <c r="K381" s="4">
        <v>205</v>
      </c>
      <c r="L381" s="4">
        <v>14</v>
      </c>
      <c r="M381" s="4">
        <v>3</v>
      </c>
      <c r="N381" s="4" t="s">
        <v>5</v>
      </c>
      <c r="O381" s="4">
        <v>2</v>
      </c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4">
        <v>50</v>
      </c>
      <c r="B382" s="4">
        <v>0</v>
      </c>
      <c r="C382" s="4">
        <v>0</v>
      </c>
      <c r="D382" s="4">
        <v>1</v>
      </c>
      <c r="E382" s="4">
        <v>232</v>
      </c>
      <c r="F382" s="4">
        <f>ROUND(Source!BC366,O382)</f>
        <v>0</v>
      </c>
      <c r="G382" s="4" t="s">
        <v>79</v>
      </c>
      <c r="H382" s="4" t="s">
        <v>80</v>
      </c>
      <c r="I382" s="4"/>
      <c r="J382" s="4"/>
      <c r="K382" s="4">
        <v>232</v>
      </c>
      <c r="L382" s="4">
        <v>15</v>
      </c>
      <c r="M382" s="4">
        <v>3</v>
      </c>
      <c r="N382" s="4" t="s">
        <v>5</v>
      </c>
      <c r="O382" s="4">
        <v>2</v>
      </c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4">
        <v>50</v>
      </c>
      <c r="B383" s="4">
        <v>0</v>
      </c>
      <c r="C383" s="4">
        <v>0</v>
      </c>
      <c r="D383" s="4">
        <v>1</v>
      </c>
      <c r="E383" s="4">
        <v>214</v>
      </c>
      <c r="F383" s="4">
        <f>ROUND(Source!AS366,O383)</f>
        <v>0</v>
      </c>
      <c r="G383" s="4" t="s">
        <v>81</v>
      </c>
      <c r="H383" s="4" t="s">
        <v>82</v>
      </c>
      <c r="I383" s="4"/>
      <c r="J383" s="4"/>
      <c r="K383" s="4">
        <v>214</v>
      </c>
      <c r="L383" s="4">
        <v>16</v>
      </c>
      <c r="M383" s="4">
        <v>3</v>
      </c>
      <c r="N383" s="4" t="s">
        <v>5</v>
      </c>
      <c r="O383" s="4">
        <v>2</v>
      </c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4">
        <v>50</v>
      </c>
      <c r="B384" s="4">
        <v>0</v>
      </c>
      <c r="C384" s="4">
        <v>0</v>
      </c>
      <c r="D384" s="4">
        <v>1</v>
      </c>
      <c r="E384" s="4">
        <v>215</v>
      </c>
      <c r="F384" s="4">
        <f>ROUND(Source!AT366,O384)</f>
        <v>0</v>
      </c>
      <c r="G384" s="4" t="s">
        <v>83</v>
      </c>
      <c r="H384" s="4" t="s">
        <v>84</v>
      </c>
      <c r="I384" s="4"/>
      <c r="J384" s="4"/>
      <c r="K384" s="4">
        <v>215</v>
      </c>
      <c r="L384" s="4">
        <v>17</v>
      </c>
      <c r="M384" s="4">
        <v>3</v>
      </c>
      <c r="N384" s="4" t="s">
        <v>5</v>
      </c>
      <c r="O384" s="4">
        <v>2</v>
      </c>
      <c r="P384" s="4"/>
      <c r="Q384" s="4"/>
      <c r="R384" s="4"/>
      <c r="S384" s="4"/>
      <c r="T384" s="4"/>
      <c r="U384" s="4"/>
      <c r="V384" s="4"/>
      <c r="W384" s="4"/>
    </row>
    <row r="385" spans="1:206" x14ac:dyDescent="0.2">
      <c r="A385" s="4">
        <v>50</v>
      </c>
      <c r="B385" s="4">
        <v>0</v>
      </c>
      <c r="C385" s="4">
        <v>0</v>
      </c>
      <c r="D385" s="4">
        <v>1</v>
      </c>
      <c r="E385" s="4">
        <v>217</v>
      </c>
      <c r="F385" s="4">
        <f>ROUND(Source!AU366,O385)</f>
        <v>1317537.0900000001</v>
      </c>
      <c r="G385" s="4" t="s">
        <v>85</v>
      </c>
      <c r="H385" s="4" t="s">
        <v>86</v>
      </c>
      <c r="I385" s="4"/>
      <c r="J385" s="4"/>
      <c r="K385" s="4">
        <v>217</v>
      </c>
      <c r="L385" s="4">
        <v>18</v>
      </c>
      <c r="M385" s="4">
        <v>3</v>
      </c>
      <c r="N385" s="4" t="s">
        <v>5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06" x14ac:dyDescent="0.2">
      <c r="A386" s="4">
        <v>50</v>
      </c>
      <c r="B386" s="4">
        <v>0</v>
      </c>
      <c r="C386" s="4">
        <v>0</v>
      </c>
      <c r="D386" s="4">
        <v>1</v>
      </c>
      <c r="E386" s="4">
        <v>230</v>
      </c>
      <c r="F386" s="4">
        <f>ROUND(Source!BA366,O386)</f>
        <v>0</v>
      </c>
      <c r="G386" s="4" t="s">
        <v>87</v>
      </c>
      <c r="H386" s="4" t="s">
        <v>88</v>
      </c>
      <c r="I386" s="4"/>
      <c r="J386" s="4"/>
      <c r="K386" s="4">
        <v>230</v>
      </c>
      <c r="L386" s="4">
        <v>19</v>
      </c>
      <c r="M386" s="4">
        <v>3</v>
      </c>
      <c r="N386" s="4" t="s">
        <v>5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06" x14ac:dyDescent="0.2">
      <c r="A387" s="4">
        <v>50</v>
      </c>
      <c r="B387" s="4">
        <v>0</v>
      </c>
      <c r="C387" s="4">
        <v>0</v>
      </c>
      <c r="D387" s="4">
        <v>1</v>
      </c>
      <c r="E387" s="4">
        <v>206</v>
      </c>
      <c r="F387" s="4">
        <f>ROUND(Source!T366,O387)</f>
        <v>0</v>
      </c>
      <c r="G387" s="4" t="s">
        <v>89</v>
      </c>
      <c r="H387" s="4" t="s">
        <v>90</v>
      </c>
      <c r="I387" s="4"/>
      <c r="J387" s="4"/>
      <c r="K387" s="4">
        <v>206</v>
      </c>
      <c r="L387" s="4">
        <v>20</v>
      </c>
      <c r="M387" s="4">
        <v>3</v>
      </c>
      <c r="N387" s="4" t="s">
        <v>5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06" x14ac:dyDescent="0.2">
      <c r="A388" s="4">
        <v>50</v>
      </c>
      <c r="B388" s="4">
        <v>0</v>
      </c>
      <c r="C388" s="4">
        <v>0</v>
      </c>
      <c r="D388" s="4">
        <v>1</v>
      </c>
      <c r="E388" s="4">
        <v>207</v>
      </c>
      <c r="F388" s="4">
        <f>Source!U366</f>
        <v>0</v>
      </c>
      <c r="G388" s="4" t="s">
        <v>91</v>
      </c>
      <c r="H388" s="4" t="s">
        <v>92</v>
      </c>
      <c r="I388" s="4"/>
      <c r="J388" s="4"/>
      <c r="K388" s="4">
        <v>207</v>
      </c>
      <c r="L388" s="4">
        <v>21</v>
      </c>
      <c r="M388" s="4">
        <v>3</v>
      </c>
      <c r="N388" s="4" t="s">
        <v>5</v>
      </c>
      <c r="O388" s="4">
        <v>-1</v>
      </c>
      <c r="P388" s="4"/>
      <c r="Q388" s="4"/>
      <c r="R388" s="4"/>
      <c r="S388" s="4"/>
      <c r="T388" s="4"/>
      <c r="U388" s="4"/>
      <c r="V388" s="4"/>
      <c r="W388" s="4"/>
    </row>
    <row r="389" spans="1:206" x14ac:dyDescent="0.2">
      <c r="A389" s="4">
        <v>50</v>
      </c>
      <c r="B389" s="4">
        <v>0</v>
      </c>
      <c r="C389" s="4">
        <v>0</v>
      </c>
      <c r="D389" s="4">
        <v>1</v>
      </c>
      <c r="E389" s="4">
        <v>208</v>
      </c>
      <c r="F389" s="4">
        <f>Source!V366</f>
        <v>0</v>
      </c>
      <c r="G389" s="4" t="s">
        <v>93</v>
      </c>
      <c r="H389" s="4" t="s">
        <v>94</v>
      </c>
      <c r="I389" s="4"/>
      <c r="J389" s="4"/>
      <c r="K389" s="4">
        <v>208</v>
      </c>
      <c r="L389" s="4">
        <v>22</v>
      </c>
      <c r="M389" s="4">
        <v>3</v>
      </c>
      <c r="N389" s="4" t="s">
        <v>5</v>
      </c>
      <c r="O389" s="4">
        <v>-1</v>
      </c>
      <c r="P389" s="4"/>
      <c r="Q389" s="4"/>
      <c r="R389" s="4"/>
      <c r="S389" s="4"/>
      <c r="T389" s="4"/>
      <c r="U389" s="4"/>
      <c r="V389" s="4"/>
      <c r="W389" s="4"/>
    </row>
    <row r="390" spans="1:206" x14ac:dyDescent="0.2">
      <c r="A390" s="4">
        <v>50</v>
      </c>
      <c r="B390" s="4">
        <v>0</v>
      </c>
      <c r="C390" s="4">
        <v>0</v>
      </c>
      <c r="D390" s="4">
        <v>1</v>
      </c>
      <c r="E390" s="4">
        <v>209</v>
      </c>
      <c r="F390" s="4">
        <f>ROUND(Source!W366,O390)</f>
        <v>0</v>
      </c>
      <c r="G390" s="4" t="s">
        <v>95</v>
      </c>
      <c r="H390" s="4" t="s">
        <v>96</v>
      </c>
      <c r="I390" s="4"/>
      <c r="J390" s="4"/>
      <c r="K390" s="4">
        <v>209</v>
      </c>
      <c r="L390" s="4">
        <v>23</v>
      </c>
      <c r="M390" s="4">
        <v>3</v>
      </c>
      <c r="N390" s="4" t="s">
        <v>5</v>
      </c>
      <c r="O390" s="4">
        <v>2</v>
      </c>
      <c r="P390" s="4"/>
      <c r="Q390" s="4"/>
      <c r="R390" s="4"/>
      <c r="S390" s="4"/>
      <c r="T390" s="4"/>
      <c r="U390" s="4"/>
      <c r="V390" s="4"/>
      <c r="W390" s="4"/>
    </row>
    <row r="391" spans="1:206" x14ac:dyDescent="0.2">
      <c r="A391" s="4">
        <v>50</v>
      </c>
      <c r="B391" s="4">
        <v>0</v>
      </c>
      <c r="C391" s="4">
        <v>0</v>
      </c>
      <c r="D391" s="4">
        <v>1</v>
      </c>
      <c r="E391" s="4">
        <v>233</v>
      </c>
      <c r="F391" s="4">
        <f>ROUND(Source!BD366,O391)</f>
        <v>0</v>
      </c>
      <c r="G391" s="4" t="s">
        <v>97</v>
      </c>
      <c r="H391" s="4" t="s">
        <v>98</v>
      </c>
      <c r="I391" s="4"/>
      <c r="J391" s="4"/>
      <c r="K391" s="4">
        <v>233</v>
      </c>
      <c r="L391" s="4">
        <v>24</v>
      </c>
      <c r="M391" s="4">
        <v>3</v>
      </c>
      <c r="N391" s="4" t="s">
        <v>5</v>
      </c>
      <c r="O391" s="4">
        <v>2</v>
      </c>
      <c r="P391" s="4"/>
      <c r="Q391" s="4"/>
      <c r="R391" s="4"/>
      <c r="S391" s="4"/>
      <c r="T391" s="4"/>
      <c r="U391" s="4"/>
      <c r="V391" s="4"/>
      <c r="W391" s="4"/>
    </row>
    <row r="392" spans="1:206" x14ac:dyDescent="0.2">
      <c r="A392" s="4">
        <v>50</v>
      </c>
      <c r="B392" s="4">
        <v>0</v>
      </c>
      <c r="C392" s="4">
        <v>0</v>
      </c>
      <c r="D392" s="4">
        <v>1</v>
      </c>
      <c r="E392" s="4">
        <v>210</v>
      </c>
      <c r="F392" s="4">
        <f>ROUND(Source!X366,O392)</f>
        <v>0</v>
      </c>
      <c r="G392" s="4" t="s">
        <v>99</v>
      </c>
      <c r="H392" s="4" t="s">
        <v>100</v>
      </c>
      <c r="I392" s="4"/>
      <c r="J392" s="4"/>
      <c r="K392" s="4">
        <v>210</v>
      </c>
      <c r="L392" s="4">
        <v>25</v>
      </c>
      <c r="M392" s="4">
        <v>3</v>
      </c>
      <c r="N392" s="4" t="s">
        <v>5</v>
      </c>
      <c r="O392" s="4">
        <v>2</v>
      </c>
      <c r="P392" s="4"/>
      <c r="Q392" s="4"/>
      <c r="R392" s="4"/>
      <c r="S392" s="4"/>
      <c r="T392" s="4"/>
      <c r="U392" s="4"/>
      <c r="V392" s="4"/>
      <c r="W392" s="4"/>
    </row>
    <row r="393" spans="1:206" x14ac:dyDescent="0.2">
      <c r="A393" s="4">
        <v>50</v>
      </c>
      <c r="B393" s="4">
        <v>0</v>
      </c>
      <c r="C393" s="4">
        <v>0</v>
      </c>
      <c r="D393" s="4">
        <v>1</v>
      </c>
      <c r="E393" s="4">
        <v>211</v>
      </c>
      <c r="F393" s="4">
        <f>ROUND(Source!Y366,O393)</f>
        <v>0</v>
      </c>
      <c r="G393" s="4" t="s">
        <v>101</v>
      </c>
      <c r="H393" s="4" t="s">
        <v>102</v>
      </c>
      <c r="I393" s="4"/>
      <c r="J393" s="4"/>
      <c r="K393" s="4">
        <v>211</v>
      </c>
      <c r="L393" s="4">
        <v>26</v>
      </c>
      <c r="M393" s="4">
        <v>3</v>
      </c>
      <c r="N393" s="4" t="s">
        <v>5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06" x14ac:dyDescent="0.2">
      <c r="A394" s="4">
        <v>50</v>
      </c>
      <c r="B394" s="4">
        <v>0</v>
      </c>
      <c r="C394" s="4">
        <v>0</v>
      </c>
      <c r="D394" s="4">
        <v>1</v>
      </c>
      <c r="E394" s="4">
        <v>224</v>
      </c>
      <c r="F394" s="4">
        <f>ROUND(Source!AR366,O394)</f>
        <v>1317537.0900000001</v>
      </c>
      <c r="G394" s="4" t="s">
        <v>103</v>
      </c>
      <c r="H394" s="4" t="s">
        <v>104</v>
      </c>
      <c r="I394" s="4"/>
      <c r="J394" s="4"/>
      <c r="K394" s="4">
        <v>224</v>
      </c>
      <c r="L394" s="4">
        <v>27</v>
      </c>
      <c r="M394" s="4">
        <v>3</v>
      </c>
      <c r="N394" s="4" t="s">
        <v>5</v>
      </c>
      <c r="O394" s="4">
        <v>2</v>
      </c>
      <c r="P394" s="4"/>
      <c r="Q394" s="4"/>
      <c r="R394" s="4"/>
      <c r="S394" s="4"/>
      <c r="T394" s="4"/>
      <c r="U394" s="4"/>
      <c r="V394" s="4"/>
      <c r="W394" s="4"/>
    </row>
    <row r="396" spans="1:206" x14ac:dyDescent="0.2">
      <c r="A396" s="1">
        <v>3</v>
      </c>
      <c r="B396" s="1">
        <v>1</v>
      </c>
      <c r="C396" s="1"/>
      <c r="D396" s="1">
        <f>ROW(A486)</f>
        <v>486</v>
      </c>
      <c r="E396" s="1"/>
      <c r="F396" s="1" t="s">
        <v>12</v>
      </c>
      <c r="G396" s="1" t="s">
        <v>174</v>
      </c>
      <c r="H396" s="1" t="s">
        <v>5</v>
      </c>
      <c r="I396" s="1">
        <v>0</v>
      </c>
      <c r="J396" s="1" t="s">
        <v>5</v>
      </c>
      <c r="K396" s="1">
        <v>0</v>
      </c>
      <c r="L396" s="1" t="s">
        <v>5</v>
      </c>
      <c r="M396" s="1" t="s">
        <v>5</v>
      </c>
      <c r="N396" s="1"/>
      <c r="O396" s="1"/>
      <c r="P396" s="1"/>
      <c r="Q396" s="1"/>
      <c r="R396" s="1"/>
      <c r="S396" s="1">
        <v>0</v>
      </c>
      <c r="T396" s="1"/>
      <c r="U396" s="1" t="s">
        <v>5</v>
      </c>
      <c r="V396" s="1">
        <v>0</v>
      </c>
      <c r="W396" s="1"/>
      <c r="X396" s="1"/>
      <c r="Y396" s="1"/>
      <c r="Z396" s="1"/>
      <c r="AA396" s="1"/>
      <c r="AB396" s="1" t="s">
        <v>5</v>
      </c>
      <c r="AC396" s="1" t="s">
        <v>5</v>
      </c>
      <c r="AD396" s="1" t="s">
        <v>5</v>
      </c>
      <c r="AE396" s="1" t="s">
        <v>5</v>
      </c>
      <c r="AF396" s="1" t="s">
        <v>5</v>
      </c>
      <c r="AG396" s="1" t="s">
        <v>5</v>
      </c>
      <c r="AH396" s="1"/>
      <c r="AI396" s="1"/>
      <c r="AJ396" s="1"/>
      <c r="AK396" s="1"/>
      <c r="AL396" s="1"/>
      <c r="AM396" s="1"/>
      <c r="AN396" s="1"/>
      <c r="AO396" s="1"/>
      <c r="AP396" s="1" t="s">
        <v>5</v>
      </c>
      <c r="AQ396" s="1" t="s">
        <v>5</v>
      </c>
      <c r="AR396" s="1" t="s">
        <v>5</v>
      </c>
      <c r="AS396" s="1"/>
      <c r="AT396" s="1"/>
      <c r="AU396" s="1"/>
      <c r="AV396" s="1"/>
      <c r="AW396" s="1"/>
      <c r="AX396" s="1"/>
      <c r="AY396" s="1"/>
      <c r="AZ396" s="1" t="s">
        <v>5</v>
      </c>
      <c r="BA396" s="1"/>
      <c r="BB396" s="1" t="s">
        <v>5</v>
      </c>
      <c r="BC396" s="1" t="s">
        <v>5</v>
      </c>
      <c r="BD396" s="1" t="s">
        <v>5</v>
      </c>
      <c r="BE396" s="1" t="s">
        <v>5</v>
      </c>
      <c r="BF396" s="1" t="s">
        <v>5</v>
      </c>
      <c r="BG396" s="1" t="s">
        <v>5</v>
      </c>
      <c r="BH396" s="1" t="s">
        <v>5</v>
      </c>
      <c r="BI396" s="1" t="s">
        <v>5</v>
      </c>
      <c r="BJ396" s="1" t="s">
        <v>5</v>
      </c>
      <c r="BK396" s="1" t="s">
        <v>5</v>
      </c>
      <c r="BL396" s="1" t="s">
        <v>5</v>
      </c>
      <c r="BM396" s="1" t="s">
        <v>5</v>
      </c>
      <c r="BN396" s="1" t="s">
        <v>5</v>
      </c>
      <c r="BO396" s="1" t="s">
        <v>5</v>
      </c>
      <c r="BP396" s="1" t="s">
        <v>5</v>
      </c>
      <c r="BQ396" s="1"/>
      <c r="BR396" s="1"/>
      <c r="BS396" s="1"/>
      <c r="BT396" s="1"/>
      <c r="BU396" s="1"/>
      <c r="BV396" s="1"/>
      <c r="BW396" s="1"/>
      <c r="BX396" s="1">
        <v>0</v>
      </c>
      <c r="BY396" s="1"/>
      <c r="BZ396" s="1"/>
      <c r="CA396" s="1"/>
      <c r="CB396" s="1"/>
      <c r="CC396" s="1"/>
      <c r="CD396" s="1"/>
      <c r="CE396" s="1"/>
      <c r="CF396" s="1">
        <v>0</v>
      </c>
      <c r="CG396" s="1">
        <v>0</v>
      </c>
      <c r="CH396" s="1"/>
      <c r="CI396" s="1" t="s">
        <v>5</v>
      </c>
      <c r="CJ396" s="1" t="s">
        <v>5</v>
      </c>
      <c r="CK396" t="s">
        <v>5</v>
      </c>
      <c r="CL396" t="s">
        <v>5</v>
      </c>
      <c r="CM396" t="s">
        <v>5</v>
      </c>
      <c r="CN396" t="s">
        <v>5</v>
      </c>
      <c r="CO396" t="s">
        <v>5</v>
      </c>
      <c r="CP396" t="s">
        <v>5</v>
      </c>
      <c r="CQ396" t="s">
        <v>5</v>
      </c>
    </row>
    <row r="398" spans="1:206" x14ac:dyDescent="0.2">
      <c r="A398" s="2">
        <v>52</v>
      </c>
      <c r="B398" s="2">
        <f t="shared" ref="B398:G398" si="177">B486</f>
        <v>1</v>
      </c>
      <c r="C398" s="2">
        <f t="shared" si="177"/>
        <v>3</v>
      </c>
      <c r="D398" s="2">
        <f t="shared" si="177"/>
        <v>396</v>
      </c>
      <c r="E398" s="2">
        <f t="shared" si="177"/>
        <v>0</v>
      </c>
      <c r="F398" s="2" t="str">
        <f t="shared" si="177"/>
        <v>Новая локальная смета</v>
      </c>
      <c r="G398" s="2" t="str">
        <f t="shared" si="177"/>
        <v>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  <c r="H398" s="2"/>
      <c r="I398" s="2"/>
      <c r="J398" s="2"/>
      <c r="K398" s="2"/>
      <c r="L398" s="2"/>
      <c r="M398" s="2"/>
      <c r="N398" s="2"/>
      <c r="O398" s="2">
        <f t="shared" ref="O398:AT398" si="178">O486</f>
        <v>304047572</v>
      </c>
      <c r="P398" s="2">
        <f t="shared" si="178"/>
        <v>304047572</v>
      </c>
      <c r="Q398" s="2">
        <f t="shared" si="178"/>
        <v>0</v>
      </c>
      <c r="R398" s="2">
        <f t="shared" si="178"/>
        <v>0</v>
      </c>
      <c r="S398" s="2">
        <f t="shared" si="178"/>
        <v>0</v>
      </c>
      <c r="T398" s="2">
        <f t="shared" si="178"/>
        <v>0</v>
      </c>
      <c r="U398" s="2">
        <f t="shared" si="178"/>
        <v>0</v>
      </c>
      <c r="V398" s="2">
        <f t="shared" si="178"/>
        <v>0</v>
      </c>
      <c r="W398" s="2">
        <f t="shared" si="178"/>
        <v>0</v>
      </c>
      <c r="X398" s="2">
        <f t="shared" si="178"/>
        <v>0</v>
      </c>
      <c r="Y398" s="2">
        <f t="shared" si="178"/>
        <v>0</v>
      </c>
      <c r="Z398" s="2">
        <f t="shared" si="178"/>
        <v>0</v>
      </c>
      <c r="AA398" s="2">
        <f t="shared" si="178"/>
        <v>0</v>
      </c>
      <c r="AB398" s="2">
        <f t="shared" si="178"/>
        <v>0</v>
      </c>
      <c r="AC398" s="2">
        <f t="shared" si="178"/>
        <v>0</v>
      </c>
      <c r="AD398" s="2">
        <f t="shared" si="178"/>
        <v>0</v>
      </c>
      <c r="AE398" s="2">
        <f t="shared" si="178"/>
        <v>0</v>
      </c>
      <c r="AF398" s="2">
        <f t="shared" si="178"/>
        <v>0</v>
      </c>
      <c r="AG398" s="2">
        <f t="shared" si="178"/>
        <v>0</v>
      </c>
      <c r="AH398" s="2">
        <f t="shared" si="178"/>
        <v>0</v>
      </c>
      <c r="AI398" s="2">
        <f t="shared" si="178"/>
        <v>0</v>
      </c>
      <c r="AJ398" s="2">
        <f t="shared" si="178"/>
        <v>0</v>
      </c>
      <c r="AK398" s="2">
        <f t="shared" si="178"/>
        <v>0</v>
      </c>
      <c r="AL398" s="2">
        <f t="shared" si="178"/>
        <v>0</v>
      </c>
      <c r="AM398" s="2">
        <f t="shared" si="178"/>
        <v>0</v>
      </c>
      <c r="AN398" s="2">
        <f t="shared" si="178"/>
        <v>0</v>
      </c>
      <c r="AO398" s="2">
        <f t="shared" si="178"/>
        <v>0</v>
      </c>
      <c r="AP398" s="2">
        <f t="shared" si="178"/>
        <v>0</v>
      </c>
      <c r="AQ398" s="2">
        <f t="shared" si="178"/>
        <v>0</v>
      </c>
      <c r="AR398" s="2">
        <f t="shared" si="178"/>
        <v>304047572</v>
      </c>
      <c r="AS398" s="2">
        <f t="shared" si="178"/>
        <v>304047572</v>
      </c>
      <c r="AT398" s="2">
        <f t="shared" si="178"/>
        <v>0</v>
      </c>
      <c r="AU398" s="2">
        <f t="shared" ref="AU398:BZ398" si="179">AU486</f>
        <v>0</v>
      </c>
      <c r="AV398" s="2">
        <f t="shared" si="179"/>
        <v>304047572</v>
      </c>
      <c r="AW398" s="2">
        <f t="shared" si="179"/>
        <v>304047572</v>
      </c>
      <c r="AX398" s="2">
        <f t="shared" si="179"/>
        <v>0</v>
      </c>
      <c r="AY398" s="2">
        <f t="shared" si="179"/>
        <v>304047572</v>
      </c>
      <c r="AZ398" s="2">
        <f t="shared" si="179"/>
        <v>0</v>
      </c>
      <c r="BA398" s="2">
        <f t="shared" si="179"/>
        <v>0</v>
      </c>
      <c r="BB398" s="2">
        <f t="shared" si="179"/>
        <v>0</v>
      </c>
      <c r="BC398" s="2">
        <f t="shared" si="179"/>
        <v>0</v>
      </c>
      <c r="BD398" s="2">
        <f t="shared" si="179"/>
        <v>0</v>
      </c>
      <c r="BE398" s="2">
        <f t="shared" si="179"/>
        <v>0</v>
      </c>
      <c r="BF398" s="2">
        <f t="shared" si="179"/>
        <v>0</v>
      </c>
      <c r="BG398" s="2">
        <f t="shared" si="179"/>
        <v>0</v>
      </c>
      <c r="BH398" s="2">
        <f t="shared" si="179"/>
        <v>0</v>
      </c>
      <c r="BI398" s="2">
        <f t="shared" si="179"/>
        <v>0</v>
      </c>
      <c r="BJ398" s="2">
        <f t="shared" si="179"/>
        <v>0</v>
      </c>
      <c r="BK398" s="2">
        <f t="shared" si="179"/>
        <v>0</v>
      </c>
      <c r="BL398" s="2">
        <f t="shared" si="179"/>
        <v>0</v>
      </c>
      <c r="BM398" s="2">
        <f t="shared" si="179"/>
        <v>0</v>
      </c>
      <c r="BN398" s="2">
        <f t="shared" si="179"/>
        <v>0</v>
      </c>
      <c r="BO398" s="2">
        <f t="shared" si="179"/>
        <v>0</v>
      </c>
      <c r="BP398" s="2">
        <f t="shared" si="179"/>
        <v>0</v>
      </c>
      <c r="BQ398" s="2">
        <f t="shared" si="179"/>
        <v>0</v>
      </c>
      <c r="BR398" s="2">
        <f t="shared" si="179"/>
        <v>0</v>
      </c>
      <c r="BS398" s="2">
        <f t="shared" si="179"/>
        <v>0</v>
      </c>
      <c r="BT398" s="2">
        <f t="shared" si="179"/>
        <v>0</v>
      </c>
      <c r="BU398" s="2">
        <f t="shared" si="179"/>
        <v>0</v>
      </c>
      <c r="BV398" s="2">
        <f t="shared" si="179"/>
        <v>0</v>
      </c>
      <c r="BW398" s="2">
        <f t="shared" si="179"/>
        <v>0</v>
      </c>
      <c r="BX398" s="2">
        <f t="shared" si="179"/>
        <v>0</v>
      </c>
      <c r="BY398" s="2">
        <f t="shared" si="179"/>
        <v>0</v>
      </c>
      <c r="BZ398" s="2">
        <f t="shared" si="179"/>
        <v>0</v>
      </c>
      <c r="CA398" s="2">
        <f t="shared" ref="CA398:DF398" si="180">CA486</f>
        <v>0</v>
      </c>
      <c r="CB398" s="2">
        <f t="shared" si="180"/>
        <v>0</v>
      </c>
      <c r="CC398" s="2">
        <f t="shared" si="180"/>
        <v>0</v>
      </c>
      <c r="CD398" s="2">
        <f t="shared" si="180"/>
        <v>0</v>
      </c>
      <c r="CE398" s="2">
        <f t="shared" si="180"/>
        <v>0</v>
      </c>
      <c r="CF398" s="2">
        <f t="shared" si="180"/>
        <v>0</v>
      </c>
      <c r="CG398" s="2">
        <f t="shared" si="180"/>
        <v>0</v>
      </c>
      <c r="CH398" s="2">
        <f t="shared" si="180"/>
        <v>0</v>
      </c>
      <c r="CI398" s="2">
        <f t="shared" si="180"/>
        <v>0</v>
      </c>
      <c r="CJ398" s="2">
        <f t="shared" si="180"/>
        <v>0</v>
      </c>
      <c r="CK398" s="2">
        <f t="shared" si="180"/>
        <v>0</v>
      </c>
      <c r="CL398" s="2">
        <f t="shared" si="180"/>
        <v>0</v>
      </c>
      <c r="CM398" s="2">
        <f t="shared" si="180"/>
        <v>0</v>
      </c>
      <c r="CN398" s="2">
        <f t="shared" si="180"/>
        <v>0</v>
      </c>
      <c r="CO398" s="2">
        <f t="shared" si="180"/>
        <v>0</v>
      </c>
      <c r="CP398" s="2">
        <f t="shared" si="180"/>
        <v>0</v>
      </c>
      <c r="CQ398" s="2">
        <f t="shared" si="180"/>
        <v>0</v>
      </c>
      <c r="CR398" s="2">
        <f t="shared" si="180"/>
        <v>0</v>
      </c>
      <c r="CS398" s="2">
        <f t="shared" si="180"/>
        <v>0</v>
      </c>
      <c r="CT398" s="2">
        <f t="shared" si="180"/>
        <v>0</v>
      </c>
      <c r="CU398" s="2">
        <f t="shared" si="180"/>
        <v>0</v>
      </c>
      <c r="CV398" s="2">
        <f t="shared" si="180"/>
        <v>0</v>
      </c>
      <c r="CW398" s="2">
        <f t="shared" si="180"/>
        <v>0</v>
      </c>
      <c r="CX398" s="2">
        <f t="shared" si="180"/>
        <v>0</v>
      </c>
      <c r="CY398" s="2">
        <f t="shared" si="180"/>
        <v>0</v>
      </c>
      <c r="CZ398" s="2">
        <f t="shared" si="180"/>
        <v>0</v>
      </c>
      <c r="DA398" s="2">
        <f t="shared" si="180"/>
        <v>0</v>
      </c>
      <c r="DB398" s="2">
        <f t="shared" si="180"/>
        <v>0</v>
      </c>
      <c r="DC398" s="2">
        <f t="shared" si="180"/>
        <v>0</v>
      </c>
      <c r="DD398" s="2">
        <f t="shared" si="180"/>
        <v>0</v>
      </c>
      <c r="DE398" s="2">
        <f t="shared" si="180"/>
        <v>0</v>
      </c>
      <c r="DF398" s="2">
        <f t="shared" si="180"/>
        <v>0</v>
      </c>
      <c r="DG398" s="3">
        <f t="shared" ref="DG398:EL398" si="181">DG486</f>
        <v>0</v>
      </c>
      <c r="DH398" s="3">
        <f t="shared" si="181"/>
        <v>0</v>
      </c>
      <c r="DI398" s="3">
        <f t="shared" si="181"/>
        <v>0</v>
      </c>
      <c r="DJ398" s="3">
        <f t="shared" si="181"/>
        <v>0</v>
      </c>
      <c r="DK398" s="3">
        <f t="shared" si="181"/>
        <v>0</v>
      </c>
      <c r="DL398" s="3">
        <f t="shared" si="181"/>
        <v>0</v>
      </c>
      <c r="DM398" s="3">
        <f t="shared" si="181"/>
        <v>0</v>
      </c>
      <c r="DN398" s="3">
        <f t="shared" si="181"/>
        <v>0</v>
      </c>
      <c r="DO398" s="3">
        <f t="shared" si="181"/>
        <v>0</v>
      </c>
      <c r="DP398" s="3">
        <f t="shared" si="181"/>
        <v>0</v>
      </c>
      <c r="DQ398" s="3">
        <f t="shared" si="181"/>
        <v>0</v>
      </c>
      <c r="DR398" s="3">
        <f t="shared" si="181"/>
        <v>0</v>
      </c>
      <c r="DS398" s="3">
        <f t="shared" si="181"/>
        <v>0</v>
      </c>
      <c r="DT398" s="3">
        <f t="shared" si="181"/>
        <v>0</v>
      </c>
      <c r="DU398" s="3">
        <f t="shared" si="181"/>
        <v>0</v>
      </c>
      <c r="DV398" s="3">
        <f t="shared" si="181"/>
        <v>0</v>
      </c>
      <c r="DW398" s="3">
        <f t="shared" si="181"/>
        <v>0</v>
      </c>
      <c r="DX398" s="3">
        <f t="shared" si="181"/>
        <v>0</v>
      </c>
      <c r="DY398" s="3">
        <f t="shared" si="181"/>
        <v>0</v>
      </c>
      <c r="DZ398" s="3">
        <f t="shared" si="181"/>
        <v>0</v>
      </c>
      <c r="EA398" s="3">
        <f t="shared" si="181"/>
        <v>0</v>
      </c>
      <c r="EB398" s="3">
        <f t="shared" si="181"/>
        <v>0</v>
      </c>
      <c r="EC398" s="3">
        <f t="shared" si="181"/>
        <v>0</v>
      </c>
      <c r="ED398" s="3">
        <f t="shared" si="181"/>
        <v>0</v>
      </c>
      <c r="EE398" s="3">
        <f t="shared" si="181"/>
        <v>0</v>
      </c>
      <c r="EF398" s="3">
        <f t="shared" si="181"/>
        <v>0</v>
      </c>
      <c r="EG398" s="3">
        <f t="shared" si="181"/>
        <v>0</v>
      </c>
      <c r="EH398" s="3">
        <f t="shared" si="181"/>
        <v>0</v>
      </c>
      <c r="EI398" s="3">
        <f t="shared" si="181"/>
        <v>0</v>
      </c>
      <c r="EJ398" s="3">
        <f t="shared" si="181"/>
        <v>0</v>
      </c>
      <c r="EK398" s="3">
        <f t="shared" si="181"/>
        <v>0</v>
      </c>
      <c r="EL398" s="3">
        <f t="shared" si="181"/>
        <v>0</v>
      </c>
      <c r="EM398" s="3">
        <f t="shared" ref="EM398:FR398" si="182">EM486</f>
        <v>0</v>
      </c>
      <c r="EN398" s="3">
        <f t="shared" si="182"/>
        <v>0</v>
      </c>
      <c r="EO398" s="3">
        <f t="shared" si="182"/>
        <v>0</v>
      </c>
      <c r="EP398" s="3">
        <f t="shared" si="182"/>
        <v>0</v>
      </c>
      <c r="EQ398" s="3">
        <f t="shared" si="182"/>
        <v>0</v>
      </c>
      <c r="ER398" s="3">
        <f t="shared" si="182"/>
        <v>0</v>
      </c>
      <c r="ES398" s="3">
        <f t="shared" si="182"/>
        <v>0</v>
      </c>
      <c r="ET398" s="3">
        <f t="shared" si="182"/>
        <v>0</v>
      </c>
      <c r="EU398" s="3">
        <f t="shared" si="182"/>
        <v>0</v>
      </c>
      <c r="EV398" s="3">
        <f t="shared" si="182"/>
        <v>0</v>
      </c>
      <c r="EW398" s="3">
        <f t="shared" si="182"/>
        <v>0</v>
      </c>
      <c r="EX398" s="3">
        <f t="shared" si="182"/>
        <v>0</v>
      </c>
      <c r="EY398" s="3">
        <f t="shared" si="182"/>
        <v>0</v>
      </c>
      <c r="EZ398" s="3">
        <f t="shared" si="182"/>
        <v>0</v>
      </c>
      <c r="FA398" s="3">
        <f t="shared" si="182"/>
        <v>0</v>
      </c>
      <c r="FB398" s="3">
        <f t="shared" si="182"/>
        <v>0</v>
      </c>
      <c r="FC398" s="3">
        <f t="shared" si="182"/>
        <v>0</v>
      </c>
      <c r="FD398" s="3">
        <f t="shared" si="182"/>
        <v>0</v>
      </c>
      <c r="FE398" s="3">
        <f t="shared" si="182"/>
        <v>0</v>
      </c>
      <c r="FF398" s="3">
        <f t="shared" si="182"/>
        <v>0</v>
      </c>
      <c r="FG398" s="3">
        <f t="shared" si="182"/>
        <v>0</v>
      </c>
      <c r="FH398" s="3">
        <f t="shared" si="182"/>
        <v>0</v>
      </c>
      <c r="FI398" s="3">
        <f t="shared" si="182"/>
        <v>0</v>
      </c>
      <c r="FJ398" s="3">
        <f t="shared" si="182"/>
        <v>0</v>
      </c>
      <c r="FK398" s="3">
        <f t="shared" si="182"/>
        <v>0</v>
      </c>
      <c r="FL398" s="3">
        <f t="shared" si="182"/>
        <v>0</v>
      </c>
      <c r="FM398" s="3">
        <f t="shared" si="182"/>
        <v>0</v>
      </c>
      <c r="FN398" s="3">
        <f t="shared" si="182"/>
        <v>0</v>
      </c>
      <c r="FO398" s="3">
        <f t="shared" si="182"/>
        <v>0</v>
      </c>
      <c r="FP398" s="3">
        <f t="shared" si="182"/>
        <v>0</v>
      </c>
      <c r="FQ398" s="3">
        <f t="shared" si="182"/>
        <v>0</v>
      </c>
      <c r="FR398" s="3">
        <f t="shared" si="182"/>
        <v>0</v>
      </c>
      <c r="FS398" s="3">
        <f t="shared" ref="FS398:GX398" si="183">FS486</f>
        <v>0</v>
      </c>
      <c r="FT398" s="3">
        <f t="shared" si="183"/>
        <v>0</v>
      </c>
      <c r="FU398" s="3">
        <f t="shared" si="183"/>
        <v>0</v>
      </c>
      <c r="FV398" s="3">
        <f t="shared" si="183"/>
        <v>0</v>
      </c>
      <c r="FW398" s="3">
        <f t="shared" si="183"/>
        <v>0</v>
      </c>
      <c r="FX398" s="3">
        <f t="shared" si="183"/>
        <v>0</v>
      </c>
      <c r="FY398" s="3">
        <f t="shared" si="183"/>
        <v>0</v>
      </c>
      <c r="FZ398" s="3">
        <f t="shared" si="183"/>
        <v>0</v>
      </c>
      <c r="GA398" s="3">
        <f t="shared" si="183"/>
        <v>0</v>
      </c>
      <c r="GB398" s="3">
        <f t="shared" si="183"/>
        <v>0</v>
      </c>
      <c r="GC398" s="3">
        <f t="shared" si="183"/>
        <v>0</v>
      </c>
      <c r="GD398" s="3">
        <f t="shared" si="183"/>
        <v>0</v>
      </c>
      <c r="GE398" s="3">
        <f t="shared" si="183"/>
        <v>0</v>
      </c>
      <c r="GF398" s="3">
        <f t="shared" si="183"/>
        <v>0</v>
      </c>
      <c r="GG398" s="3">
        <f t="shared" si="183"/>
        <v>0</v>
      </c>
      <c r="GH398" s="3">
        <f t="shared" si="183"/>
        <v>0</v>
      </c>
      <c r="GI398" s="3">
        <f t="shared" si="183"/>
        <v>0</v>
      </c>
      <c r="GJ398" s="3">
        <f t="shared" si="183"/>
        <v>0</v>
      </c>
      <c r="GK398" s="3">
        <f t="shared" si="183"/>
        <v>0</v>
      </c>
      <c r="GL398" s="3">
        <f t="shared" si="183"/>
        <v>0</v>
      </c>
      <c r="GM398" s="3">
        <f t="shared" si="183"/>
        <v>0</v>
      </c>
      <c r="GN398" s="3">
        <f t="shared" si="183"/>
        <v>0</v>
      </c>
      <c r="GO398" s="3">
        <f t="shared" si="183"/>
        <v>0</v>
      </c>
      <c r="GP398" s="3">
        <f t="shared" si="183"/>
        <v>0</v>
      </c>
      <c r="GQ398" s="3">
        <f t="shared" si="183"/>
        <v>0</v>
      </c>
      <c r="GR398" s="3">
        <f t="shared" si="183"/>
        <v>0</v>
      </c>
      <c r="GS398" s="3">
        <f t="shared" si="183"/>
        <v>0</v>
      </c>
      <c r="GT398" s="3">
        <f t="shared" si="183"/>
        <v>0</v>
      </c>
      <c r="GU398" s="3">
        <f t="shared" si="183"/>
        <v>0</v>
      </c>
      <c r="GV398" s="3">
        <f t="shared" si="183"/>
        <v>0</v>
      </c>
      <c r="GW398" s="3">
        <f t="shared" si="183"/>
        <v>0</v>
      </c>
      <c r="GX398" s="3">
        <f t="shared" si="183"/>
        <v>0</v>
      </c>
    </row>
    <row r="400" spans="1:206" x14ac:dyDescent="0.2">
      <c r="A400" s="1">
        <v>4</v>
      </c>
      <c r="B400" s="1">
        <v>1</v>
      </c>
      <c r="C400" s="1"/>
      <c r="D400" s="1">
        <f>ROW(A414)</f>
        <v>414</v>
      </c>
      <c r="E400" s="1"/>
      <c r="F400" s="1" t="s">
        <v>14</v>
      </c>
      <c r="G400" s="1" t="s">
        <v>175</v>
      </c>
      <c r="H400" s="1" t="s">
        <v>5</v>
      </c>
      <c r="I400" s="1">
        <v>0</v>
      </c>
      <c r="J400" s="1"/>
      <c r="K400" s="1">
        <v>-1</v>
      </c>
      <c r="L400" s="1"/>
      <c r="M400" s="1" t="s">
        <v>5</v>
      </c>
      <c r="N400" s="1"/>
      <c r="O400" s="1"/>
      <c r="P400" s="1"/>
      <c r="Q400" s="1"/>
      <c r="R400" s="1"/>
      <c r="S400" s="1">
        <v>0</v>
      </c>
      <c r="T400" s="1"/>
      <c r="U400" s="1" t="s">
        <v>5</v>
      </c>
      <c r="V400" s="1">
        <v>0</v>
      </c>
      <c r="W400" s="1"/>
      <c r="X400" s="1"/>
      <c r="Y400" s="1"/>
      <c r="Z400" s="1"/>
      <c r="AA400" s="1"/>
      <c r="AB400" s="1" t="s">
        <v>5</v>
      </c>
      <c r="AC400" s="1" t="s">
        <v>5</v>
      </c>
      <c r="AD400" s="1" t="s">
        <v>5</v>
      </c>
      <c r="AE400" s="1" t="s">
        <v>5</v>
      </c>
      <c r="AF400" s="1" t="s">
        <v>5</v>
      </c>
      <c r="AG400" s="1" t="s">
        <v>5</v>
      </c>
      <c r="AH400" s="1"/>
      <c r="AI400" s="1"/>
      <c r="AJ400" s="1"/>
      <c r="AK400" s="1"/>
      <c r="AL400" s="1"/>
      <c r="AM400" s="1"/>
      <c r="AN400" s="1"/>
      <c r="AO400" s="1"/>
      <c r="AP400" s="1" t="s">
        <v>5</v>
      </c>
      <c r="AQ400" s="1" t="s">
        <v>5</v>
      </c>
      <c r="AR400" s="1" t="s">
        <v>5</v>
      </c>
      <c r="AS400" s="1"/>
      <c r="AT400" s="1"/>
      <c r="AU400" s="1"/>
      <c r="AV400" s="1"/>
      <c r="AW400" s="1"/>
      <c r="AX400" s="1"/>
      <c r="AY400" s="1"/>
      <c r="AZ400" s="1" t="s">
        <v>5</v>
      </c>
      <c r="BA400" s="1"/>
      <c r="BB400" s="1" t="s">
        <v>5</v>
      </c>
      <c r="BC400" s="1" t="s">
        <v>5</v>
      </c>
      <c r="BD400" s="1" t="s">
        <v>5</v>
      </c>
      <c r="BE400" s="1" t="s">
        <v>5</v>
      </c>
      <c r="BF400" s="1" t="s">
        <v>5</v>
      </c>
      <c r="BG400" s="1" t="s">
        <v>5</v>
      </c>
      <c r="BH400" s="1" t="s">
        <v>5</v>
      </c>
      <c r="BI400" s="1" t="s">
        <v>5</v>
      </c>
      <c r="BJ400" s="1" t="s">
        <v>5</v>
      </c>
      <c r="BK400" s="1" t="s">
        <v>5</v>
      </c>
      <c r="BL400" s="1" t="s">
        <v>5</v>
      </c>
      <c r="BM400" s="1" t="s">
        <v>5</v>
      </c>
      <c r="BN400" s="1" t="s">
        <v>5</v>
      </c>
      <c r="BO400" s="1" t="s">
        <v>5</v>
      </c>
      <c r="BP400" s="1" t="s">
        <v>5</v>
      </c>
      <c r="BQ400" s="1"/>
      <c r="BR400" s="1"/>
      <c r="BS400" s="1"/>
      <c r="BT400" s="1"/>
      <c r="BU400" s="1"/>
      <c r="BV400" s="1"/>
      <c r="BW400" s="1"/>
      <c r="BX400" s="1">
        <v>0</v>
      </c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>
        <v>0</v>
      </c>
    </row>
    <row r="402" spans="1:245" x14ac:dyDescent="0.2">
      <c r="A402" s="2">
        <v>52</v>
      </c>
      <c r="B402" s="2">
        <f t="shared" ref="B402:G402" si="184">B414</f>
        <v>1</v>
      </c>
      <c r="C402" s="2">
        <f t="shared" si="184"/>
        <v>4</v>
      </c>
      <c r="D402" s="2">
        <f t="shared" si="184"/>
        <v>400</v>
      </c>
      <c r="E402" s="2">
        <f t="shared" si="184"/>
        <v>0</v>
      </c>
      <c r="F402" s="2" t="str">
        <f t="shared" si="184"/>
        <v>Новый раздел</v>
      </c>
      <c r="G402" s="2" t="str">
        <f t="shared" si="184"/>
        <v>Стоимость деревьев для посадки</v>
      </c>
      <c r="H402" s="2"/>
      <c r="I402" s="2"/>
      <c r="J402" s="2"/>
      <c r="K402" s="2"/>
      <c r="L402" s="2"/>
      <c r="M402" s="2"/>
      <c r="N402" s="2"/>
      <c r="O402" s="2">
        <f t="shared" ref="O402:AT402" si="185">O414</f>
        <v>289647810.39999998</v>
      </c>
      <c r="P402" s="2">
        <f t="shared" si="185"/>
        <v>289647810.39999998</v>
      </c>
      <c r="Q402" s="2">
        <f t="shared" si="185"/>
        <v>0</v>
      </c>
      <c r="R402" s="2">
        <f t="shared" si="185"/>
        <v>0</v>
      </c>
      <c r="S402" s="2">
        <f t="shared" si="185"/>
        <v>0</v>
      </c>
      <c r="T402" s="2">
        <f t="shared" si="185"/>
        <v>0</v>
      </c>
      <c r="U402" s="2">
        <f t="shared" si="185"/>
        <v>0</v>
      </c>
      <c r="V402" s="2">
        <f t="shared" si="185"/>
        <v>0</v>
      </c>
      <c r="W402" s="2">
        <f t="shared" si="185"/>
        <v>0</v>
      </c>
      <c r="X402" s="2">
        <f t="shared" si="185"/>
        <v>0</v>
      </c>
      <c r="Y402" s="2">
        <f t="shared" si="185"/>
        <v>0</v>
      </c>
      <c r="Z402" s="2">
        <f t="shared" si="185"/>
        <v>0</v>
      </c>
      <c r="AA402" s="2">
        <f t="shared" si="185"/>
        <v>0</v>
      </c>
      <c r="AB402" s="2">
        <f t="shared" si="185"/>
        <v>289647810.39999998</v>
      </c>
      <c r="AC402" s="2">
        <f t="shared" si="185"/>
        <v>289647810.39999998</v>
      </c>
      <c r="AD402" s="2">
        <f t="shared" si="185"/>
        <v>0</v>
      </c>
      <c r="AE402" s="2">
        <f t="shared" si="185"/>
        <v>0</v>
      </c>
      <c r="AF402" s="2">
        <f t="shared" si="185"/>
        <v>0</v>
      </c>
      <c r="AG402" s="2">
        <f t="shared" si="185"/>
        <v>0</v>
      </c>
      <c r="AH402" s="2">
        <f t="shared" si="185"/>
        <v>0</v>
      </c>
      <c r="AI402" s="2">
        <f t="shared" si="185"/>
        <v>0</v>
      </c>
      <c r="AJ402" s="2">
        <f t="shared" si="185"/>
        <v>0</v>
      </c>
      <c r="AK402" s="2">
        <f t="shared" si="185"/>
        <v>0</v>
      </c>
      <c r="AL402" s="2">
        <f t="shared" si="185"/>
        <v>0</v>
      </c>
      <c r="AM402" s="2">
        <f t="shared" si="185"/>
        <v>0</v>
      </c>
      <c r="AN402" s="2">
        <f t="shared" si="185"/>
        <v>0</v>
      </c>
      <c r="AO402" s="2">
        <f t="shared" si="185"/>
        <v>0</v>
      </c>
      <c r="AP402" s="2">
        <f t="shared" si="185"/>
        <v>0</v>
      </c>
      <c r="AQ402" s="2">
        <f t="shared" si="185"/>
        <v>0</v>
      </c>
      <c r="AR402" s="2">
        <f t="shared" si="185"/>
        <v>289647810.39999998</v>
      </c>
      <c r="AS402" s="2">
        <f t="shared" si="185"/>
        <v>289647810.39999998</v>
      </c>
      <c r="AT402" s="2">
        <f t="shared" si="185"/>
        <v>0</v>
      </c>
      <c r="AU402" s="2">
        <f t="shared" ref="AU402:BZ402" si="186">AU414</f>
        <v>0</v>
      </c>
      <c r="AV402" s="2">
        <f t="shared" si="186"/>
        <v>289647810.39999998</v>
      </c>
      <c r="AW402" s="2">
        <f t="shared" si="186"/>
        <v>289647810.39999998</v>
      </c>
      <c r="AX402" s="2">
        <f t="shared" si="186"/>
        <v>0</v>
      </c>
      <c r="AY402" s="2">
        <f t="shared" si="186"/>
        <v>289647810.39999998</v>
      </c>
      <c r="AZ402" s="2">
        <f t="shared" si="186"/>
        <v>0</v>
      </c>
      <c r="BA402" s="2">
        <f t="shared" si="186"/>
        <v>0</v>
      </c>
      <c r="BB402" s="2">
        <f t="shared" si="186"/>
        <v>0</v>
      </c>
      <c r="BC402" s="2">
        <f t="shared" si="186"/>
        <v>0</v>
      </c>
      <c r="BD402" s="2">
        <f t="shared" si="186"/>
        <v>0</v>
      </c>
      <c r="BE402" s="2">
        <f t="shared" si="186"/>
        <v>0</v>
      </c>
      <c r="BF402" s="2">
        <f t="shared" si="186"/>
        <v>0</v>
      </c>
      <c r="BG402" s="2">
        <f t="shared" si="186"/>
        <v>0</v>
      </c>
      <c r="BH402" s="2">
        <f t="shared" si="186"/>
        <v>0</v>
      </c>
      <c r="BI402" s="2">
        <f t="shared" si="186"/>
        <v>0</v>
      </c>
      <c r="BJ402" s="2">
        <f t="shared" si="186"/>
        <v>0</v>
      </c>
      <c r="BK402" s="2">
        <f t="shared" si="186"/>
        <v>0</v>
      </c>
      <c r="BL402" s="2">
        <f t="shared" si="186"/>
        <v>0</v>
      </c>
      <c r="BM402" s="2">
        <f t="shared" si="186"/>
        <v>0</v>
      </c>
      <c r="BN402" s="2">
        <f t="shared" si="186"/>
        <v>0</v>
      </c>
      <c r="BO402" s="2">
        <f t="shared" si="186"/>
        <v>0</v>
      </c>
      <c r="BP402" s="2">
        <f t="shared" si="186"/>
        <v>0</v>
      </c>
      <c r="BQ402" s="2">
        <f t="shared" si="186"/>
        <v>0</v>
      </c>
      <c r="BR402" s="2">
        <f t="shared" si="186"/>
        <v>0</v>
      </c>
      <c r="BS402" s="2">
        <f t="shared" si="186"/>
        <v>0</v>
      </c>
      <c r="BT402" s="2">
        <f t="shared" si="186"/>
        <v>0</v>
      </c>
      <c r="BU402" s="2">
        <f t="shared" si="186"/>
        <v>0</v>
      </c>
      <c r="BV402" s="2">
        <f t="shared" si="186"/>
        <v>0</v>
      </c>
      <c r="BW402" s="2">
        <f t="shared" si="186"/>
        <v>0</v>
      </c>
      <c r="BX402" s="2">
        <f t="shared" si="186"/>
        <v>0</v>
      </c>
      <c r="BY402" s="2">
        <f t="shared" si="186"/>
        <v>0</v>
      </c>
      <c r="BZ402" s="2">
        <f t="shared" si="186"/>
        <v>0</v>
      </c>
      <c r="CA402" s="2">
        <f t="shared" ref="CA402:DF402" si="187">CA414</f>
        <v>289647810.39999998</v>
      </c>
      <c r="CB402" s="2">
        <f t="shared" si="187"/>
        <v>289647810.39999998</v>
      </c>
      <c r="CC402" s="2">
        <f t="shared" si="187"/>
        <v>0</v>
      </c>
      <c r="CD402" s="2">
        <f t="shared" si="187"/>
        <v>0</v>
      </c>
      <c r="CE402" s="2">
        <f t="shared" si="187"/>
        <v>289647810.39999998</v>
      </c>
      <c r="CF402" s="2">
        <f t="shared" si="187"/>
        <v>289647810.39999998</v>
      </c>
      <c r="CG402" s="2">
        <f t="shared" si="187"/>
        <v>0</v>
      </c>
      <c r="CH402" s="2">
        <f t="shared" si="187"/>
        <v>289647810.39999998</v>
      </c>
      <c r="CI402" s="2">
        <f t="shared" si="187"/>
        <v>0</v>
      </c>
      <c r="CJ402" s="2">
        <f t="shared" si="187"/>
        <v>0</v>
      </c>
      <c r="CK402" s="2">
        <f t="shared" si="187"/>
        <v>0</v>
      </c>
      <c r="CL402" s="2">
        <f t="shared" si="187"/>
        <v>0</v>
      </c>
      <c r="CM402" s="2">
        <f t="shared" si="187"/>
        <v>0</v>
      </c>
      <c r="CN402" s="2">
        <f t="shared" si="187"/>
        <v>0</v>
      </c>
      <c r="CO402" s="2">
        <f t="shared" si="187"/>
        <v>0</v>
      </c>
      <c r="CP402" s="2">
        <f t="shared" si="187"/>
        <v>0</v>
      </c>
      <c r="CQ402" s="2">
        <f t="shared" si="187"/>
        <v>0</v>
      </c>
      <c r="CR402" s="2">
        <f t="shared" si="187"/>
        <v>0</v>
      </c>
      <c r="CS402" s="2">
        <f t="shared" si="187"/>
        <v>0</v>
      </c>
      <c r="CT402" s="2">
        <f t="shared" si="187"/>
        <v>0</v>
      </c>
      <c r="CU402" s="2">
        <f t="shared" si="187"/>
        <v>0</v>
      </c>
      <c r="CV402" s="2">
        <f t="shared" si="187"/>
        <v>0</v>
      </c>
      <c r="CW402" s="2">
        <f t="shared" si="187"/>
        <v>0</v>
      </c>
      <c r="CX402" s="2">
        <f t="shared" si="187"/>
        <v>0</v>
      </c>
      <c r="CY402" s="2">
        <f t="shared" si="187"/>
        <v>0</v>
      </c>
      <c r="CZ402" s="2">
        <f t="shared" si="187"/>
        <v>0</v>
      </c>
      <c r="DA402" s="2">
        <f t="shared" si="187"/>
        <v>0</v>
      </c>
      <c r="DB402" s="2">
        <f t="shared" si="187"/>
        <v>0</v>
      </c>
      <c r="DC402" s="2">
        <f t="shared" si="187"/>
        <v>0</v>
      </c>
      <c r="DD402" s="2">
        <f t="shared" si="187"/>
        <v>0</v>
      </c>
      <c r="DE402" s="2">
        <f t="shared" si="187"/>
        <v>0</v>
      </c>
      <c r="DF402" s="2">
        <f t="shared" si="187"/>
        <v>0</v>
      </c>
      <c r="DG402" s="3">
        <f t="shared" ref="DG402:EL402" si="188">DG414</f>
        <v>0</v>
      </c>
      <c r="DH402" s="3">
        <f t="shared" si="188"/>
        <v>0</v>
      </c>
      <c r="DI402" s="3">
        <f t="shared" si="188"/>
        <v>0</v>
      </c>
      <c r="DJ402" s="3">
        <f t="shared" si="188"/>
        <v>0</v>
      </c>
      <c r="DK402" s="3">
        <f t="shared" si="188"/>
        <v>0</v>
      </c>
      <c r="DL402" s="3">
        <f t="shared" si="188"/>
        <v>0</v>
      </c>
      <c r="DM402" s="3">
        <f t="shared" si="188"/>
        <v>0</v>
      </c>
      <c r="DN402" s="3">
        <f t="shared" si="188"/>
        <v>0</v>
      </c>
      <c r="DO402" s="3">
        <f t="shared" si="188"/>
        <v>0</v>
      </c>
      <c r="DP402" s="3">
        <f t="shared" si="188"/>
        <v>0</v>
      </c>
      <c r="DQ402" s="3">
        <f t="shared" si="188"/>
        <v>0</v>
      </c>
      <c r="DR402" s="3">
        <f t="shared" si="188"/>
        <v>0</v>
      </c>
      <c r="DS402" s="3">
        <f t="shared" si="188"/>
        <v>0</v>
      </c>
      <c r="DT402" s="3">
        <f t="shared" si="188"/>
        <v>0</v>
      </c>
      <c r="DU402" s="3">
        <f t="shared" si="188"/>
        <v>0</v>
      </c>
      <c r="DV402" s="3">
        <f t="shared" si="188"/>
        <v>0</v>
      </c>
      <c r="DW402" s="3">
        <f t="shared" si="188"/>
        <v>0</v>
      </c>
      <c r="DX402" s="3">
        <f t="shared" si="188"/>
        <v>0</v>
      </c>
      <c r="DY402" s="3">
        <f t="shared" si="188"/>
        <v>0</v>
      </c>
      <c r="DZ402" s="3">
        <f t="shared" si="188"/>
        <v>0</v>
      </c>
      <c r="EA402" s="3">
        <f t="shared" si="188"/>
        <v>0</v>
      </c>
      <c r="EB402" s="3">
        <f t="shared" si="188"/>
        <v>0</v>
      </c>
      <c r="EC402" s="3">
        <f t="shared" si="188"/>
        <v>0</v>
      </c>
      <c r="ED402" s="3">
        <f t="shared" si="188"/>
        <v>0</v>
      </c>
      <c r="EE402" s="3">
        <f t="shared" si="188"/>
        <v>0</v>
      </c>
      <c r="EF402" s="3">
        <f t="shared" si="188"/>
        <v>0</v>
      </c>
      <c r="EG402" s="3">
        <f t="shared" si="188"/>
        <v>0</v>
      </c>
      <c r="EH402" s="3">
        <f t="shared" si="188"/>
        <v>0</v>
      </c>
      <c r="EI402" s="3">
        <f t="shared" si="188"/>
        <v>0</v>
      </c>
      <c r="EJ402" s="3">
        <f t="shared" si="188"/>
        <v>0</v>
      </c>
      <c r="EK402" s="3">
        <f t="shared" si="188"/>
        <v>0</v>
      </c>
      <c r="EL402" s="3">
        <f t="shared" si="188"/>
        <v>0</v>
      </c>
      <c r="EM402" s="3">
        <f t="shared" ref="EM402:FR402" si="189">EM414</f>
        <v>0</v>
      </c>
      <c r="EN402" s="3">
        <f t="shared" si="189"/>
        <v>0</v>
      </c>
      <c r="EO402" s="3">
        <f t="shared" si="189"/>
        <v>0</v>
      </c>
      <c r="EP402" s="3">
        <f t="shared" si="189"/>
        <v>0</v>
      </c>
      <c r="EQ402" s="3">
        <f t="shared" si="189"/>
        <v>0</v>
      </c>
      <c r="ER402" s="3">
        <f t="shared" si="189"/>
        <v>0</v>
      </c>
      <c r="ES402" s="3">
        <f t="shared" si="189"/>
        <v>0</v>
      </c>
      <c r="ET402" s="3">
        <f t="shared" si="189"/>
        <v>0</v>
      </c>
      <c r="EU402" s="3">
        <f t="shared" si="189"/>
        <v>0</v>
      </c>
      <c r="EV402" s="3">
        <f t="shared" si="189"/>
        <v>0</v>
      </c>
      <c r="EW402" s="3">
        <f t="shared" si="189"/>
        <v>0</v>
      </c>
      <c r="EX402" s="3">
        <f t="shared" si="189"/>
        <v>0</v>
      </c>
      <c r="EY402" s="3">
        <f t="shared" si="189"/>
        <v>0</v>
      </c>
      <c r="EZ402" s="3">
        <f t="shared" si="189"/>
        <v>0</v>
      </c>
      <c r="FA402" s="3">
        <f t="shared" si="189"/>
        <v>0</v>
      </c>
      <c r="FB402" s="3">
        <f t="shared" si="189"/>
        <v>0</v>
      </c>
      <c r="FC402" s="3">
        <f t="shared" si="189"/>
        <v>0</v>
      </c>
      <c r="FD402" s="3">
        <f t="shared" si="189"/>
        <v>0</v>
      </c>
      <c r="FE402" s="3">
        <f t="shared" si="189"/>
        <v>0</v>
      </c>
      <c r="FF402" s="3">
        <f t="shared" si="189"/>
        <v>0</v>
      </c>
      <c r="FG402" s="3">
        <f t="shared" si="189"/>
        <v>0</v>
      </c>
      <c r="FH402" s="3">
        <f t="shared" si="189"/>
        <v>0</v>
      </c>
      <c r="FI402" s="3">
        <f t="shared" si="189"/>
        <v>0</v>
      </c>
      <c r="FJ402" s="3">
        <f t="shared" si="189"/>
        <v>0</v>
      </c>
      <c r="FK402" s="3">
        <f t="shared" si="189"/>
        <v>0</v>
      </c>
      <c r="FL402" s="3">
        <f t="shared" si="189"/>
        <v>0</v>
      </c>
      <c r="FM402" s="3">
        <f t="shared" si="189"/>
        <v>0</v>
      </c>
      <c r="FN402" s="3">
        <f t="shared" si="189"/>
        <v>0</v>
      </c>
      <c r="FO402" s="3">
        <f t="shared" si="189"/>
        <v>0</v>
      </c>
      <c r="FP402" s="3">
        <f t="shared" si="189"/>
        <v>0</v>
      </c>
      <c r="FQ402" s="3">
        <f t="shared" si="189"/>
        <v>0</v>
      </c>
      <c r="FR402" s="3">
        <f t="shared" si="189"/>
        <v>0</v>
      </c>
      <c r="FS402" s="3">
        <f t="shared" ref="FS402:GX402" si="190">FS414</f>
        <v>0</v>
      </c>
      <c r="FT402" s="3">
        <f t="shared" si="190"/>
        <v>0</v>
      </c>
      <c r="FU402" s="3">
        <f t="shared" si="190"/>
        <v>0</v>
      </c>
      <c r="FV402" s="3">
        <f t="shared" si="190"/>
        <v>0</v>
      </c>
      <c r="FW402" s="3">
        <f t="shared" si="190"/>
        <v>0</v>
      </c>
      <c r="FX402" s="3">
        <f t="shared" si="190"/>
        <v>0</v>
      </c>
      <c r="FY402" s="3">
        <f t="shared" si="190"/>
        <v>0</v>
      </c>
      <c r="FZ402" s="3">
        <f t="shared" si="190"/>
        <v>0</v>
      </c>
      <c r="GA402" s="3">
        <f t="shared" si="190"/>
        <v>0</v>
      </c>
      <c r="GB402" s="3">
        <f t="shared" si="190"/>
        <v>0</v>
      </c>
      <c r="GC402" s="3">
        <f t="shared" si="190"/>
        <v>0</v>
      </c>
      <c r="GD402" s="3">
        <f t="shared" si="190"/>
        <v>0</v>
      </c>
      <c r="GE402" s="3">
        <f t="shared" si="190"/>
        <v>0</v>
      </c>
      <c r="GF402" s="3">
        <f t="shared" si="190"/>
        <v>0</v>
      </c>
      <c r="GG402" s="3">
        <f t="shared" si="190"/>
        <v>0</v>
      </c>
      <c r="GH402" s="3">
        <f t="shared" si="190"/>
        <v>0</v>
      </c>
      <c r="GI402" s="3">
        <f t="shared" si="190"/>
        <v>0</v>
      </c>
      <c r="GJ402" s="3">
        <f t="shared" si="190"/>
        <v>0</v>
      </c>
      <c r="GK402" s="3">
        <f t="shared" si="190"/>
        <v>0</v>
      </c>
      <c r="GL402" s="3">
        <f t="shared" si="190"/>
        <v>0</v>
      </c>
      <c r="GM402" s="3">
        <f t="shared" si="190"/>
        <v>0</v>
      </c>
      <c r="GN402" s="3">
        <f t="shared" si="190"/>
        <v>0</v>
      </c>
      <c r="GO402" s="3">
        <f t="shared" si="190"/>
        <v>0</v>
      </c>
      <c r="GP402" s="3">
        <f t="shared" si="190"/>
        <v>0</v>
      </c>
      <c r="GQ402" s="3">
        <f t="shared" si="190"/>
        <v>0</v>
      </c>
      <c r="GR402" s="3">
        <f t="shared" si="190"/>
        <v>0</v>
      </c>
      <c r="GS402" s="3">
        <f t="shared" si="190"/>
        <v>0</v>
      </c>
      <c r="GT402" s="3">
        <f t="shared" si="190"/>
        <v>0</v>
      </c>
      <c r="GU402" s="3">
        <f t="shared" si="190"/>
        <v>0</v>
      </c>
      <c r="GV402" s="3">
        <f t="shared" si="190"/>
        <v>0</v>
      </c>
      <c r="GW402" s="3">
        <f t="shared" si="190"/>
        <v>0</v>
      </c>
      <c r="GX402" s="3">
        <f t="shared" si="190"/>
        <v>0</v>
      </c>
    </row>
    <row r="404" spans="1:245" x14ac:dyDescent="0.2">
      <c r="A404">
        <v>17</v>
      </c>
      <c r="B404">
        <v>1</v>
      </c>
      <c r="E404" t="s">
        <v>176</v>
      </c>
      <c r="F404" t="s">
        <v>177</v>
      </c>
      <c r="G404" t="s">
        <v>178</v>
      </c>
      <c r="H404" t="s">
        <v>179</v>
      </c>
      <c r="I404">
        <v>47</v>
      </c>
      <c r="J404">
        <v>0</v>
      </c>
      <c r="O404">
        <f t="shared" ref="O404:O412" si="191">ROUND(CP404,2)</f>
        <v>1151500</v>
      </c>
      <c r="P404">
        <f t="shared" ref="P404:P412" si="192">ROUND((ROUND((AC404*AW404*I404),2)*BC404),2)</f>
        <v>1151500</v>
      </c>
      <c r="Q404">
        <f t="shared" ref="Q404:Q412" si="193">(ROUND((ROUND(((ET404)*AV404*I404),2)*BB404),2)+ROUND((ROUND(((AE404-(EU404))*AV404*I404),2)*BS404),2))</f>
        <v>0</v>
      </c>
      <c r="R404">
        <f t="shared" ref="R404:R412" si="194">ROUND((ROUND((AE404*AV404*I404),2)*BS404),2)</f>
        <v>0</v>
      </c>
      <c r="S404">
        <f t="shared" ref="S404:S412" si="195">ROUND((ROUND((AF404*AV404*I404),2)*BA404),2)</f>
        <v>0</v>
      </c>
      <c r="T404">
        <f t="shared" ref="T404:T412" si="196">ROUND(CU404*I404,2)</f>
        <v>0</v>
      </c>
      <c r="U404">
        <f t="shared" ref="U404:U412" si="197">CV404*I404</f>
        <v>0</v>
      </c>
      <c r="V404">
        <f t="shared" ref="V404:V412" si="198">CW404*I404</f>
        <v>0</v>
      </c>
      <c r="W404">
        <f t="shared" ref="W404:W412" si="199">ROUND(CX404*I404,2)</f>
        <v>0</v>
      </c>
      <c r="X404">
        <f t="shared" ref="X404:X412" si="200">ROUND(CY404,2)</f>
        <v>0</v>
      </c>
      <c r="Y404">
        <f t="shared" ref="Y404:Y412" si="201">ROUND(CZ404,2)</f>
        <v>0</v>
      </c>
      <c r="AA404">
        <v>49688178</v>
      </c>
      <c r="AB404">
        <f t="shared" ref="AB404:AB412" si="202">ROUND((AC404+AD404+AF404),6)</f>
        <v>24500</v>
      </c>
      <c r="AC404">
        <f t="shared" ref="AC404:AC412" si="203">ROUND((ES404),6)</f>
        <v>24500</v>
      </c>
      <c r="AD404">
        <f t="shared" ref="AD404:AD412" si="204">ROUND((((ET404)-(EU404))+AE404),6)</f>
        <v>0</v>
      </c>
      <c r="AE404">
        <f t="shared" ref="AE404:AE412" si="205">ROUND((EU404),6)</f>
        <v>0</v>
      </c>
      <c r="AF404">
        <f t="shared" ref="AF404:AF412" si="206">ROUND((EV404),6)</f>
        <v>0</v>
      </c>
      <c r="AG404">
        <f t="shared" ref="AG404:AG412" si="207">ROUND((AP404),6)</f>
        <v>0</v>
      </c>
      <c r="AH404">
        <f t="shared" ref="AH404:AH412" si="208">(EW404)</f>
        <v>0</v>
      </c>
      <c r="AI404">
        <f t="shared" ref="AI404:AI412" si="209">(EX404)</f>
        <v>0</v>
      </c>
      <c r="AJ404">
        <f t="shared" ref="AJ404:AJ412" si="210">(AS404)</f>
        <v>0</v>
      </c>
      <c r="AK404">
        <v>24500</v>
      </c>
      <c r="AL404">
        <v>24500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1</v>
      </c>
      <c r="AZ404">
        <v>1</v>
      </c>
      <c r="BA404">
        <v>1</v>
      </c>
      <c r="BB404">
        <v>1</v>
      </c>
      <c r="BC404">
        <v>1</v>
      </c>
      <c r="BD404" t="s">
        <v>5</v>
      </c>
      <c r="BE404" t="s">
        <v>5</v>
      </c>
      <c r="BF404" t="s">
        <v>5</v>
      </c>
      <c r="BG404" t="s">
        <v>5</v>
      </c>
      <c r="BH404">
        <v>3</v>
      </c>
      <c r="BI404">
        <v>1</v>
      </c>
      <c r="BJ404" t="s">
        <v>5</v>
      </c>
      <c r="BM404">
        <v>400002</v>
      </c>
      <c r="BN404">
        <v>0</v>
      </c>
      <c r="BO404" t="s">
        <v>5</v>
      </c>
      <c r="BP404">
        <v>0</v>
      </c>
      <c r="BQ404">
        <v>202</v>
      </c>
      <c r="BR404">
        <v>0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 t="s">
        <v>5</v>
      </c>
      <c r="BZ404">
        <v>0</v>
      </c>
      <c r="CA404">
        <v>0</v>
      </c>
      <c r="CE404">
        <v>30</v>
      </c>
      <c r="CF404">
        <v>0</v>
      </c>
      <c r="CG404">
        <v>0</v>
      </c>
      <c r="CM404">
        <v>0</v>
      </c>
      <c r="CN404" t="s">
        <v>5</v>
      </c>
      <c r="CO404">
        <v>0</v>
      </c>
      <c r="CP404">
        <f t="shared" ref="CP404:CP412" si="211">(P404+Q404+S404)</f>
        <v>1151500</v>
      </c>
      <c r="CQ404">
        <f t="shared" ref="CQ404:CQ412" si="212">ROUND((ROUND((AC404*AW404*1),2)*BC404),2)</f>
        <v>24500</v>
      </c>
      <c r="CR404">
        <f t="shared" ref="CR404:CR412" si="213">(ROUND((ROUND(((ET404)*AV404*1),2)*BB404),2)+ROUND((ROUND(((AE404-(EU404))*AV404*1),2)*BS404),2))</f>
        <v>0</v>
      </c>
      <c r="CS404">
        <f t="shared" ref="CS404:CS412" si="214">ROUND((ROUND((AE404*AV404*1),2)*BS404),2)</f>
        <v>0</v>
      </c>
      <c r="CT404">
        <f t="shared" ref="CT404:CT412" si="215">ROUND((ROUND((AF404*AV404*1),2)*BA404),2)</f>
        <v>0</v>
      </c>
      <c r="CU404">
        <f t="shared" ref="CU404:CU412" si="216">AG404</f>
        <v>0</v>
      </c>
      <c r="CV404">
        <f t="shared" ref="CV404:CV412" si="217">(AH404*AV404)</f>
        <v>0</v>
      </c>
      <c r="CW404">
        <f t="shared" ref="CW404:CW412" si="218">AI404</f>
        <v>0</v>
      </c>
      <c r="CX404">
        <f t="shared" ref="CX404:CX412" si="219">AJ404</f>
        <v>0</v>
      </c>
      <c r="CY404">
        <f t="shared" ref="CY404:CY412" si="220">S404*(BZ404/100)</f>
        <v>0</v>
      </c>
      <c r="CZ404">
        <f t="shared" ref="CZ404:CZ412" si="221">S404*(CA404/100)</f>
        <v>0</v>
      </c>
      <c r="DC404" t="s">
        <v>5</v>
      </c>
      <c r="DD404" t="s">
        <v>5</v>
      </c>
      <c r="DE404" t="s">
        <v>5</v>
      </c>
      <c r="DF404" t="s">
        <v>5</v>
      </c>
      <c r="DG404" t="s">
        <v>5</v>
      </c>
      <c r="DH404" t="s">
        <v>5</v>
      </c>
      <c r="DI404" t="s">
        <v>5</v>
      </c>
      <c r="DJ404" t="s">
        <v>5</v>
      </c>
      <c r="DK404" t="s">
        <v>5</v>
      </c>
      <c r="DL404" t="s">
        <v>5</v>
      </c>
      <c r="DM404" t="s">
        <v>5</v>
      </c>
      <c r="DN404">
        <v>0</v>
      </c>
      <c r="DO404">
        <v>0</v>
      </c>
      <c r="DP404">
        <v>1</v>
      </c>
      <c r="DQ404">
        <v>1</v>
      </c>
      <c r="DU404">
        <v>1010</v>
      </c>
      <c r="DV404" t="s">
        <v>179</v>
      </c>
      <c r="DW404" t="s">
        <v>179</v>
      </c>
      <c r="DX404">
        <v>1</v>
      </c>
      <c r="DZ404" t="s">
        <v>5</v>
      </c>
      <c r="EA404" t="s">
        <v>5</v>
      </c>
      <c r="EB404" t="s">
        <v>5</v>
      </c>
      <c r="EC404" t="s">
        <v>5</v>
      </c>
      <c r="EE404">
        <v>49389663</v>
      </c>
      <c r="EF404">
        <v>202</v>
      </c>
      <c r="EG404" t="s">
        <v>180</v>
      </c>
      <c r="EH404">
        <v>0</v>
      </c>
      <c r="EI404" t="s">
        <v>5</v>
      </c>
      <c r="EJ404">
        <v>1</v>
      </c>
      <c r="EK404">
        <v>400002</v>
      </c>
      <c r="EL404" t="s">
        <v>181</v>
      </c>
      <c r="EM404" t="s">
        <v>180</v>
      </c>
      <c r="EO404" t="s">
        <v>5</v>
      </c>
      <c r="EQ404">
        <v>0</v>
      </c>
      <c r="ER404">
        <v>24500</v>
      </c>
      <c r="ES404">
        <v>24500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5</v>
      </c>
      <c r="FC404">
        <v>0</v>
      </c>
      <c r="FD404">
        <v>18</v>
      </c>
      <c r="FF404">
        <v>24500</v>
      </c>
      <c r="FQ404">
        <v>0</v>
      </c>
      <c r="FR404">
        <f t="shared" ref="FR404:FR412" si="222">ROUND(IF(AND(BH404=3,BI404=3),P404,0),2)</f>
        <v>0</v>
      </c>
      <c r="FS404">
        <v>0</v>
      </c>
      <c r="FX404">
        <v>0</v>
      </c>
      <c r="FY404">
        <v>0</v>
      </c>
      <c r="GA404" t="s">
        <v>5</v>
      </c>
      <c r="GD404">
        <v>0</v>
      </c>
      <c r="GF404">
        <v>1278459601</v>
      </c>
      <c r="GG404">
        <v>2</v>
      </c>
      <c r="GH404">
        <v>3</v>
      </c>
      <c r="GI404">
        <v>3</v>
      </c>
      <c r="GJ404">
        <v>0</v>
      </c>
      <c r="GK404">
        <f>ROUND(R404*(R12)/100,2)</f>
        <v>0</v>
      </c>
      <c r="GL404">
        <f t="shared" ref="GL404:GL412" si="223">ROUND(IF(AND(BH404=3,BI404=3,FS404&lt;&gt;0),P404,0),2)</f>
        <v>0</v>
      </c>
      <c r="GM404">
        <f t="shared" ref="GM404:GM412" si="224">ROUND(O404+X404+Y404+GK404,2)+GX404</f>
        <v>1151500</v>
      </c>
      <c r="GN404">
        <f t="shared" ref="GN404:GN412" si="225">IF(OR(BI404=0,BI404=1),ROUND(O404+X404+Y404+GK404,2),0)</f>
        <v>1151500</v>
      </c>
      <c r="GO404">
        <f t="shared" ref="GO404:GO412" si="226">IF(BI404=2,ROUND(O404+X404+Y404+GK404,2),0)</f>
        <v>0</v>
      </c>
      <c r="GP404">
        <f t="shared" ref="GP404:GP412" si="227">IF(BI404=4,ROUND(O404+X404+Y404+GK404,2)+GX404,0)</f>
        <v>0</v>
      </c>
      <c r="GR404">
        <v>1</v>
      </c>
      <c r="GS404">
        <v>1</v>
      </c>
      <c r="GT404">
        <v>0</v>
      </c>
      <c r="GU404" t="s">
        <v>5</v>
      </c>
      <c r="GV404">
        <f t="shared" ref="GV404:GV412" si="228">ROUND((GT404),6)</f>
        <v>0</v>
      </c>
      <c r="GW404">
        <v>1</v>
      </c>
      <c r="GX404">
        <f t="shared" ref="GX404:GX412" si="229">ROUND(HC404*I404,2)</f>
        <v>0</v>
      </c>
      <c r="HA404">
        <v>0</v>
      </c>
      <c r="HB404">
        <v>0</v>
      </c>
      <c r="HC404">
        <f t="shared" ref="HC404:HC412" si="230">GV404*GW404</f>
        <v>0</v>
      </c>
      <c r="HE404" t="s">
        <v>5</v>
      </c>
      <c r="HF404" t="s">
        <v>5</v>
      </c>
      <c r="IK404">
        <v>0</v>
      </c>
    </row>
    <row r="405" spans="1:245" x14ac:dyDescent="0.2">
      <c r="A405">
        <v>17</v>
      </c>
      <c r="B405">
        <v>1</v>
      </c>
      <c r="E405" t="s">
        <v>5</v>
      </c>
      <c r="F405" t="s">
        <v>177</v>
      </c>
      <c r="G405" t="s">
        <v>178</v>
      </c>
      <c r="H405" t="s">
        <v>179</v>
      </c>
      <c r="I405">
        <v>17</v>
      </c>
      <c r="J405">
        <v>0</v>
      </c>
      <c r="O405">
        <f t="shared" si="191"/>
        <v>0</v>
      </c>
      <c r="P405">
        <f t="shared" si="192"/>
        <v>0</v>
      </c>
      <c r="Q405">
        <f t="shared" si="193"/>
        <v>0</v>
      </c>
      <c r="R405">
        <f t="shared" si="194"/>
        <v>0</v>
      </c>
      <c r="S405">
        <f t="shared" si="195"/>
        <v>0</v>
      </c>
      <c r="T405">
        <f t="shared" si="196"/>
        <v>0</v>
      </c>
      <c r="U405">
        <f t="shared" si="197"/>
        <v>0</v>
      </c>
      <c r="V405">
        <f t="shared" si="198"/>
        <v>0</v>
      </c>
      <c r="W405">
        <f t="shared" si="199"/>
        <v>0</v>
      </c>
      <c r="X405">
        <f t="shared" si="200"/>
        <v>0</v>
      </c>
      <c r="Y405">
        <f t="shared" si="201"/>
        <v>0</v>
      </c>
      <c r="AA405">
        <v>-1</v>
      </c>
      <c r="AB405">
        <f t="shared" si="202"/>
        <v>0</v>
      </c>
      <c r="AC405">
        <f t="shared" si="203"/>
        <v>0</v>
      </c>
      <c r="AD405">
        <f t="shared" si="204"/>
        <v>0</v>
      </c>
      <c r="AE405">
        <f t="shared" si="205"/>
        <v>0</v>
      </c>
      <c r="AF405">
        <f t="shared" si="206"/>
        <v>0</v>
      </c>
      <c r="AG405">
        <f t="shared" si="207"/>
        <v>0</v>
      </c>
      <c r="AH405">
        <f t="shared" si="208"/>
        <v>0</v>
      </c>
      <c r="AI405">
        <f t="shared" si="209"/>
        <v>0</v>
      </c>
      <c r="AJ405">
        <f t="shared" si="210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Z405">
        <v>1</v>
      </c>
      <c r="BA405">
        <v>1</v>
      </c>
      <c r="BB405">
        <v>1</v>
      </c>
      <c r="BC405">
        <v>1</v>
      </c>
      <c r="BD405" t="s">
        <v>5</v>
      </c>
      <c r="BE405" t="s">
        <v>5</v>
      </c>
      <c r="BF405" t="s">
        <v>5</v>
      </c>
      <c r="BG405" t="s">
        <v>5</v>
      </c>
      <c r="BH405">
        <v>3</v>
      </c>
      <c r="BI405">
        <v>1</v>
      </c>
      <c r="BJ405" t="s">
        <v>5</v>
      </c>
      <c r="BM405">
        <v>400002</v>
      </c>
      <c r="BN405">
        <v>0</v>
      </c>
      <c r="BO405" t="s">
        <v>5</v>
      </c>
      <c r="BP405">
        <v>0</v>
      </c>
      <c r="BQ405">
        <v>202</v>
      </c>
      <c r="BR405">
        <v>0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 t="s">
        <v>5</v>
      </c>
      <c r="BZ405">
        <v>0</v>
      </c>
      <c r="CA405">
        <v>0</v>
      </c>
      <c r="CE405">
        <v>30</v>
      </c>
      <c r="CF405">
        <v>0</v>
      </c>
      <c r="CG405">
        <v>0</v>
      </c>
      <c r="CM405">
        <v>0</v>
      </c>
      <c r="CN405" t="s">
        <v>5</v>
      </c>
      <c r="CO405">
        <v>0</v>
      </c>
      <c r="CP405">
        <f t="shared" si="211"/>
        <v>0</v>
      </c>
      <c r="CQ405">
        <f t="shared" si="212"/>
        <v>0</v>
      </c>
      <c r="CR405">
        <f t="shared" si="213"/>
        <v>0</v>
      </c>
      <c r="CS405">
        <f t="shared" si="214"/>
        <v>0</v>
      </c>
      <c r="CT405">
        <f t="shared" si="215"/>
        <v>0</v>
      </c>
      <c r="CU405">
        <f t="shared" si="216"/>
        <v>0</v>
      </c>
      <c r="CV405">
        <f t="shared" si="217"/>
        <v>0</v>
      </c>
      <c r="CW405">
        <f t="shared" si="218"/>
        <v>0</v>
      </c>
      <c r="CX405">
        <f t="shared" si="219"/>
        <v>0</v>
      </c>
      <c r="CY405">
        <f t="shared" si="220"/>
        <v>0</v>
      </c>
      <c r="CZ405">
        <f t="shared" si="221"/>
        <v>0</v>
      </c>
      <c r="DC405" t="s">
        <v>5</v>
      </c>
      <c r="DD405" t="s">
        <v>5</v>
      </c>
      <c r="DE405" t="s">
        <v>5</v>
      </c>
      <c r="DF405" t="s">
        <v>5</v>
      </c>
      <c r="DG405" t="s">
        <v>5</v>
      </c>
      <c r="DH405" t="s">
        <v>5</v>
      </c>
      <c r="DI405" t="s">
        <v>5</v>
      </c>
      <c r="DJ405" t="s">
        <v>5</v>
      </c>
      <c r="DK405" t="s">
        <v>5</v>
      </c>
      <c r="DL405" t="s">
        <v>5</v>
      </c>
      <c r="DM405" t="s">
        <v>5</v>
      </c>
      <c r="DN405">
        <v>0</v>
      </c>
      <c r="DO405">
        <v>0</v>
      </c>
      <c r="DP405">
        <v>1</v>
      </c>
      <c r="DQ405">
        <v>1</v>
      </c>
      <c r="DU405">
        <v>1010</v>
      </c>
      <c r="DV405" t="s">
        <v>179</v>
      </c>
      <c r="DW405" t="s">
        <v>179</v>
      </c>
      <c r="DX405">
        <v>1</v>
      </c>
      <c r="DZ405" t="s">
        <v>5</v>
      </c>
      <c r="EA405" t="s">
        <v>5</v>
      </c>
      <c r="EB405" t="s">
        <v>5</v>
      </c>
      <c r="EC405" t="s">
        <v>5</v>
      </c>
      <c r="EE405">
        <v>49389663</v>
      </c>
      <c r="EF405">
        <v>202</v>
      </c>
      <c r="EG405" t="s">
        <v>180</v>
      </c>
      <c r="EH405">
        <v>0</v>
      </c>
      <c r="EI405" t="s">
        <v>5</v>
      </c>
      <c r="EJ405">
        <v>1</v>
      </c>
      <c r="EK405">
        <v>400002</v>
      </c>
      <c r="EL405" t="s">
        <v>181</v>
      </c>
      <c r="EM405" t="s">
        <v>180</v>
      </c>
      <c r="EO405" t="s">
        <v>5</v>
      </c>
      <c r="EQ405">
        <v>1024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FQ405">
        <v>0</v>
      </c>
      <c r="FR405">
        <f t="shared" si="222"/>
        <v>0</v>
      </c>
      <c r="FS405">
        <v>0</v>
      </c>
      <c r="FX405">
        <v>0</v>
      </c>
      <c r="FY405">
        <v>0</v>
      </c>
      <c r="GA405" t="s">
        <v>182</v>
      </c>
      <c r="GD405">
        <v>0</v>
      </c>
      <c r="GF405">
        <v>1278459601</v>
      </c>
      <c r="GG405">
        <v>2</v>
      </c>
      <c r="GH405">
        <v>0</v>
      </c>
      <c r="GI405">
        <v>3</v>
      </c>
      <c r="GJ405">
        <v>0</v>
      </c>
      <c r="GK405">
        <f>ROUND(R405*(R12)/100,2)</f>
        <v>0</v>
      </c>
      <c r="GL405">
        <f t="shared" si="223"/>
        <v>0</v>
      </c>
      <c r="GM405">
        <f t="shared" si="224"/>
        <v>0</v>
      </c>
      <c r="GN405">
        <f t="shared" si="225"/>
        <v>0</v>
      </c>
      <c r="GO405">
        <f t="shared" si="226"/>
        <v>0</v>
      </c>
      <c r="GP405">
        <f t="shared" si="227"/>
        <v>0</v>
      </c>
      <c r="GR405">
        <v>1</v>
      </c>
      <c r="GS405">
        <v>4</v>
      </c>
      <c r="GT405">
        <v>0</v>
      </c>
      <c r="GU405" t="s">
        <v>5</v>
      </c>
      <c r="GV405">
        <f t="shared" si="228"/>
        <v>0</v>
      </c>
      <c r="GW405">
        <v>1</v>
      </c>
      <c r="GX405">
        <f t="shared" si="229"/>
        <v>0</v>
      </c>
      <c r="HA405">
        <v>0</v>
      </c>
      <c r="HB405">
        <v>0</v>
      </c>
      <c r="HC405">
        <f t="shared" si="230"/>
        <v>0</v>
      </c>
      <c r="HE405" t="s">
        <v>5</v>
      </c>
      <c r="HF405" t="s">
        <v>5</v>
      </c>
      <c r="IK405">
        <v>0</v>
      </c>
    </row>
    <row r="406" spans="1:245" x14ac:dyDescent="0.2">
      <c r="A406">
        <v>17</v>
      </c>
      <c r="B406">
        <v>1</v>
      </c>
      <c r="E406" t="s">
        <v>183</v>
      </c>
      <c r="F406" t="s">
        <v>177</v>
      </c>
      <c r="G406" t="s">
        <v>184</v>
      </c>
      <c r="H406" t="s">
        <v>179</v>
      </c>
      <c r="I406">
        <v>656</v>
      </c>
      <c r="J406">
        <v>0</v>
      </c>
      <c r="O406">
        <f t="shared" si="191"/>
        <v>35424000</v>
      </c>
      <c r="P406">
        <f t="shared" si="192"/>
        <v>35424000</v>
      </c>
      <c r="Q406">
        <f t="shared" si="193"/>
        <v>0</v>
      </c>
      <c r="R406">
        <f t="shared" si="194"/>
        <v>0</v>
      </c>
      <c r="S406">
        <f t="shared" si="195"/>
        <v>0</v>
      </c>
      <c r="T406">
        <f t="shared" si="196"/>
        <v>0</v>
      </c>
      <c r="U406">
        <f t="shared" si="197"/>
        <v>0</v>
      </c>
      <c r="V406">
        <f t="shared" si="198"/>
        <v>0</v>
      </c>
      <c r="W406">
        <f t="shared" si="199"/>
        <v>0</v>
      </c>
      <c r="X406">
        <f t="shared" si="200"/>
        <v>0</v>
      </c>
      <c r="Y406">
        <f t="shared" si="201"/>
        <v>0</v>
      </c>
      <c r="AA406">
        <v>49688178</v>
      </c>
      <c r="AB406">
        <f t="shared" si="202"/>
        <v>54000</v>
      </c>
      <c r="AC406">
        <f t="shared" si="203"/>
        <v>54000</v>
      </c>
      <c r="AD406">
        <f t="shared" si="204"/>
        <v>0</v>
      </c>
      <c r="AE406">
        <f t="shared" si="205"/>
        <v>0</v>
      </c>
      <c r="AF406">
        <f t="shared" si="206"/>
        <v>0</v>
      </c>
      <c r="AG406">
        <f t="shared" si="207"/>
        <v>0</v>
      </c>
      <c r="AH406">
        <f t="shared" si="208"/>
        <v>0</v>
      </c>
      <c r="AI406">
        <f t="shared" si="209"/>
        <v>0</v>
      </c>
      <c r="AJ406">
        <f t="shared" si="210"/>
        <v>0</v>
      </c>
      <c r="AK406">
        <v>54000</v>
      </c>
      <c r="AL406">
        <v>54000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1</v>
      </c>
      <c r="AZ406">
        <v>1</v>
      </c>
      <c r="BA406">
        <v>1</v>
      </c>
      <c r="BB406">
        <v>1</v>
      </c>
      <c r="BC406">
        <v>1</v>
      </c>
      <c r="BD406" t="s">
        <v>5</v>
      </c>
      <c r="BE406" t="s">
        <v>5</v>
      </c>
      <c r="BF406" t="s">
        <v>5</v>
      </c>
      <c r="BG406" t="s">
        <v>5</v>
      </c>
      <c r="BH406">
        <v>3</v>
      </c>
      <c r="BI406">
        <v>1</v>
      </c>
      <c r="BJ406" t="s">
        <v>5</v>
      </c>
      <c r="BM406">
        <v>400002</v>
      </c>
      <c r="BN406">
        <v>0</v>
      </c>
      <c r="BO406" t="s">
        <v>5</v>
      </c>
      <c r="BP406">
        <v>0</v>
      </c>
      <c r="BQ406">
        <v>202</v>
      </c>
      <c r="BR406">
        <v>0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 t="s">
        <v>5</v>
      </c>
      <c r="BZ406">
        <v>0</v>
      </c>
      <c r="CA406">
        <v>0</v>
      </c>
      <c r="CE406">
        <v>30</v>
      </c>
      <c r="CF406">
        <v>0</v>
      </c>
      <c r="CG406">
        <v>0</v>
      </c>
      <c r="CM406">
        <v>0</v>
      </c>
      <c r="CN406" t="s">
        <v>5</v>
      </c>
      <c r="CO406">
        <v>0</v>
      </c>
      <c r="CP406">
        <f t="shared" si="211"/>
        <v>35424000</v>
      </c>
      <c r="CQ406">
        <f t="shared" si="212"/>
        <v>54000</v>
      </c>
      <c r="CR406">
        <f t="shared" si="213"/>
        <v>0</v>
      </c>
      <c r="CS406">
        <f t="shared" si="214"/>
        <v>0</v>
      </c>
      <c r="CT406">
        <f t="shared" si="215"/>
        <v>0</v>
      </c>
      <c r="CU406">
        <f t="shared" si="216"/>
        <v>0</v>
      </c>
      <c r="CV406">
        <f t="shared" si="217"/>
        <v>0</v>
      </c>
      <c r="CW406">
        <f t="shared" si="218"/>
        <v>0</v>
      </c>
      <c r="CX406">
        <f t="shared" si="219"/>
        <v>0</v>
      </c>
      <c r="CY406">
        <f t="shared" si="220"/>
        <v>0</v>
      </c>
      <c r="CZ406">
        <f t="shared" si="221"/>
        <v>0</v>
      </c>
      <c r="DC406" t="s">
        <v>5</v>
      </c>
      <c r="DD406" t="s">
        <v>5</v>
      </c>
      <c r="DE406" t="s">
        <v>5</v>
      </c>
      <c r="DF406" t="s">
        <v>5</v>
      </c>
      <c r="DG406" t="s">
        <v>5</v>
      </c>
      <c r="DH406" t="s">
        <v>5</v>
      </c>
      <c r="DI406" t="s">
        <v>5</v>
      </c>
      <c r="DJ406" t="s">
        <v>5</v>
      </c>
      <c r="DK406" t="s">
        <v>5</v>
      </c>
      <c r="DL406" t="s">
        <v>5</v>
      </c>
      <c r="DM406" t="s">
        <v>5</v>
      </c>
      <c r="DN406">
        <v>0</v>
      </c>
      <c r="DO406">
        <v>0</v>
      </c>
      <c r="DP406">
        <v>1</v>
      </c>
      <c r="DQ406">
        <v>1</v>
      </c>
      <c r="DU406">
        <v>1010</v>
      </c>
      <c r="DV406" t="s">
        <v>179</v>
      </c>
      <c r="DW406" t="s">
        <v>179</v>
      </c>
      <c r="DX406">
        <v>1</v>
      </c>
      <c r="DZ406" t="s">
        <v>5</v>
      </c>
      <c r="EA406" t="s">
        <v>5</v>
      </c>
      <c r="EB406" t="s">
        <v>5</v>
      </c>
      <c r="EC406" t="s">
        <v>5</v>
      </c>
      <c r="EE406">
        <v>49389663</v>
      </c>
      <c r="EF406">
        <v>202</v>
      </c>
      <c r="EG406" t="s">
        <v>180</v>
      </c>
      <c r="EH406">
        <v>0</v>
      </c>
      <c r="EI406" t="s">
        <v>5</v>
      </c>
      <c r="EJ406">
        <v>1</v>
      </c>
      <c r="EK406">
        <v>400002</v>
      </c>
      <c r="EL406" t="s">
        <v>181</v>
      </c>
      <c r="EM406" t="s">
        <v>180</v>
      </c>
      <c r="EO406" t="s">
        <v>5</v>
      </c>
      <c r="EQ406">
        <v>0</v>
      </c>
      <c r="ER406">
        <v>54000</v>
      </c>
      <c r="ES406">
        <v>54000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5</v>
      </c>
      <c r="FC406">
        <v>0</v>
      </c>
      <c r="FD406">
        <v>18</v>
      </c>
      <c r="FF406">
        <v>54000</v>
      </c>
      <c r="FQ406">
        <v>0</v>
      </c>
      <c r="FR406">
        <f t="shared" si="222"/>
        <v>0</v>
      </c>
      <c r="FS406">
        <v>0</v>
      </c>
      <c r="FX406">
        <v>0</v>
      </c>
      <c r="FY406">
        <v>0</v>
      </c>
      <c r="GA406" t="s">
        <v>5</v>
      </c>
      <c r="GD406">
        <v>0</v>
      </c>
      <c r="GF406">
        <v>-776453317</v>
      </c>
      <c r="GG406">
        <v>2</v>
      </c>
      <c r="GH406">
        <v>3</v>
      </c>
      <c r="GI406">
        <v>3</v>
      </c>
      <c r="GJ406">
        <v>0</v>
      </c>
      <c r="GK406">
        <f>ROUND(R406*(R12)/100,2)</f>
        <v>0</v>
      </c>
      <c r="GL406">
        <f t="shared" si="223"/>
        <v>0</v>
      </c>
      <c r="GM406">
        <f t="shared" si="224"/>
        <v>35424000</v>
      </c>
      <c r="GN406">
        <f t="shared" si="225"/>
        <v>35424000</v>
      </c>
      <c r="GO406">
        <f t="shared" si="226"/>
        <v>0</v>
      </c>
      <c r="GP406">
        <f t="shared" si="227"/>
        <v>0</v>
      </c>
      <c r="GR406">
        <v>1</v>
      </c>
      <c r="GS406">
        <v>1</v>
      </c>
      <c r="GT406">
        <v>0</v>
      </c>
      <c r="GU406" t="s">
        <v>5</v>
      </c>
      <c r="GV406">
        <f t="shared" si="228"/>
        <v>0</v>
      </c>
      <c r="GW406">
        <v>1</v>
      </c>
      <c r="GX406">
        <f t="shared" si="229"/>
        <v>0</v>
      </c>
      <c r="HA406">
        <v>0</v>
      </c>
      <c r="HB406">
        <v>0</v>
      </c>
      <c r="HC406">
        <f t="shared" si="230"/>
        <v>0</v>
      </c>
      <c r="HE406" t="s">
        <v>5</v>
      </c>
      <c r="HF406" t="s">
        <v>5</v>
      </c>
      <c r="IK406">
        <v>0</v>
      </c>
    </row>
    <row r="407" spans="1:245" x14ac:dyDescent="0.2">
      <c r="A407">
        <v>17</v>
      </c>
      <c r="B407">
        <v>1</v>
      </c>
      <c r="E407" t="s">
        <v>185</v>
      </c>
      <c r="F407" t="s">
        <v>177</v>
      </c>
      <c r="G407" t="s">
        <v>186</v>
      </c>
      <c r="H407" t="s">
        <v>179</v>
      </c>
      <c r="I407">
        <v>590</v>
      </c>
      <c r="J407">
        <v>0</v>
      </c>
      <c r="O407">
        <f t="shared" si="191"/>
        <v>49064400</v>
      </c>
      <c r="P407">
        <f t="shared" si="192"/>
        <v>49064400</v>
      </c>
      <c r="Q407">
        <f t="shared" si="193"/>
        <v>0</v>
      </c>
      <c r="R407">
        <f t="shared" si="194"/>
        <v>0</v>
      </c>
      <c r="S407">
        <f t="shared" si="195"/>
        <v>0</v>
      </c>
      <c r="T407">
        <f t="shared" si="196"/>
        <v>0</v>
      </c>
      <c r="U407">
        <f t="shared" si="197"/>
        <v>0</v>
      </c>
      <c r="V407">
        <f t="shared" si="198"/>
        <v>0</v>
      </c>
      <c r="W407">
        <f t="shared" si="199"/>
        <v>0</v>
      </c>
      <c r="X407">
        <f t="shared" si="200"/>
        <v>0</v>
      </c>
      <c r="Y407">
        <f t="shared" si="201"/>
        <v>0</v>
      </c>
      <c r="AA407">
        <v>49688178</v>
      </c>
      <c r="AB407">
        <f t="shared" si="202"/>
        <v>83160</v>
      </c>
      <c r="AC407">
        <f t="shared" si="203"/>
        <v>83160</v>
      </c>
      <c r="AD407">
        <f t="shared" si="204"/>
        <v>0</v>
      </c>
      <c r="AE407">
        <f t="shared" si="205"/>
        <v>0</v>
      </c>
      <c r="AF407">
        <f t="shared" si="206"/>
        <v>0</v>
      </c>
      <c r="AG407">
        <f t="shared" si="207"/>
        <v>0</v>
      </c>
      <c r="AH407">
        <f t="shared" si="208"/>
        <v>0</v>
      </c>
      <c r="AI407">
        <f t="shared" si="209"/>
        <v>0</v>
      </c>
      <c r="AJ407">
        <f t="shared" si="210"/>
        <v>0</v>
      </c>
      <c r="AK407">
        <v>83160</v>
      </c>
      <c r="AL407">
        <v>83160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Z407">
        <v>1</v>
      </c>
      <c r="BA407">
        <v>1</v>
      </c>
      <c r="BB407">
        <v>1</v>
      </c>
      <c r="BC407">
        <v>1</v>
      </c>
      <c r="BD407" t="s">
        <v>5</v>
      </c>
      <c r="BE407" t="s">
        <v>5</v>
      </c>
      <c r="BF407" t="s">
        <v>5</v>
      </c>
      <c r="BG407" t="s">
        <v>5</v>
      </c>
      <c r="BH407">
        <v>3</v>
      </c>
      <c r="BI407">
        <v>1</v>
      </c>
      <c r="BJ407" t="s">
        <v>5</v>
      </c>
      <c r="BM407">
        <v>400002</v>
      </c>
      <c r="BN407">
        <v>0</v>
      </c>
      <c r="BO407" t="s">
        <v>5</v>
      </c>
      <c r="BP407">
        <v>0</v>
      </c>
      <c r="BQ407">
        <v>202</v>
      </c>
      <c r="BR407">
        <v>0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 t="s">
        <v>5</v>
      </c>
      <c r="BZ407">
        <v>0</v>
      </c>
      <c r="CA407">
        <v>0</v>
      </c>
      <c r="CE407">
        <v>30</v>
      </c>
      <c r="CF407">
        <v>0</v>
      </c>
      <c r="CG407">
        <v>0</v>
      </c>
      <c r="CM407">
        <v>0</v>
      </c>
      <c r="CN407" t="s">
        <v>5</v>
      </c>
      <c r="CO407">
        <v>0</v>
      </c>
      <c r="CP407">
        <f t="shared" si="211"/>
        <v>49064400</v>
      </c>
      <c r="CQ407">
        <f t="shared" si="212"/>
        <v>83160</v>
      </c>
      <c r="CR407">
        <f t="shared" si="213"/>
        <v>0</v>
      </c>
      <c r="CS407">
        <f t="shared" si="214"/>
        <v>0</v>
      </c>
      <c r="CT407">
        <f t="shared" si="215"/>
        <v>0</v>
      </c>
      <c r="CU407">
        <f t="shared" si="216"/>
        <v>0</v>
      </c>
      <c r="CV407">
        <f t="shared" si="217"/>
        <v>0</v>
      </c>
      <c r="CW407">
        <f t="shared" si="218"/>
        <v>0</v>
      </c>
      <c r="CX407">
        <f t="shared" si="219"/>
        <v>0</v>
      </c>
      <c r="CY407">
        <f t="shared" si="220"/>
        <v>0</v>
      </c>
      <c r="CZ407">
        <f t="shared" si="221"/>
        <v>0</v>
      </c>
      <c r="DC407" t="s">
        <v>5</v>
      </c>
      <c r="DD407" t="s">
        <v>5</v>
      </c>
      <c r="DE407" t="s">
        <v>5</v>
      </c>
      <c r="DF407" t="s">
        <v>5</v>
      </c>
      <c r="DG407" t="s">
        <v>5</v>
      </c>
      <c r="DH407" t="s">
        <v>5</v>
      </c>
      <c r="DI407" t="s">
        <v>5</v>
      </c>
      <c r="DJ407" t="s">
        <v>5</v>
      </c>
      <c r="DK407" t="s">
        <v>5</v>
      </c>
      <c r="DL407" t="s">
        <v>5</v>
      </c>
      <c r="DM407" t="s">
        <v>5</v>
      </c>
      <c r="DN407">
        <v>0</v>
      </c>
      <c r="DO407">
        <v>0</v>
      </c>
      <c r="DP407">
        <v>1</v>
      </c>
      <c r="DQ407">
        <v>1</v>
      </c>
      <c r="DU407">
        <v>1010</v>
      </c>
      <c r="DV407" t="s">
        <v>179</v>
      </c>
      <c r="DW407" t="s">
        <v>179</v>
      </c>
      <c r="DX407">
        <v>1</v>
      </c>
      <c r="DZ407" t="s">
        <v>5</v>
      </c>
      <c r="EA407" t="s">
        <v>5</v>
      </c>
      <c r="EB407" t="s">
        <v>5</v>
      </c>
      <c r="EC407" t="s">
        <v>5</v>
      </c>
      <c r="EE407">
        <v>49389663</v>
      </c>
      <c r="EF407">
        <v>202</v>
      </c>
      <c r="EG407" t="s">
        <v>180</v>
      </c>
      <c r="EH407">
        <v>0</v>
      </c>
      <c r="EI407" t="s">
        <v>5</v>
      </c>
      <c r="EJ407">
        <v>1</v>
      </c>
      <c r="EK407">
        <v>400002</v>
      </c>
      <c r="EL407" t="s">
        <v>181</v>
      </c>
      <c r="EM407" t="s">
        <v>180</v>
      </c>
      <c r="EO407" t="s">
        <v>5</v>
      </c>
      <c r="EQ407">
        <v>0</v>
      </c>
      <c r="ER407">
        <v>83160</v>
      </c>
      <c r="ES407">
        <v>83160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5</v>
      </c>
      <c r="FC407">
        <v>0</v>
      </c>
      <c r="FD407">
        <v>18</v>
      </c>
      <c r="FF407">
        <v>83160</v>
      </c>
      <c r="FQ407">
        <v>0</v>
      </c>
      <c r="FR407">
        <f t="shared" si="222"/>
        <v>0</v>
      </c>
      <c r="FS407">
        <v>0</v>
      </c>
      <c r="FX407">
        <v>0</v>
      </c>
      <c r="FY407">
        <v>0</v>
      </c>
      <c r="GA407" t="s">
        <v>5</v>
      </c>
      <c r="GD407">
        <v>0</v>
      </c>
      <c r="GF407">
        <v>88821069</v>
      </c>
      <c r="GG407">
        <v>2</v>
      </c>
      <c r="GH407">
        <v>3</v>
      </c>
      <c r="GI407">
        <v>3</v>
      </c>
      <c r="GJ407">
        <v>0</v>
      </c>
      <c r="GK407">
        <f>ROUND(R407*(R12)/100,2)</f>
        <v>0</v>
      </c>
      <c r="GL407">
        <f t="shared" si="223"/>
        <v>0</v>
      </c>
      <c r="GM407">
        <f t="shared" si="224"/>
        <v>49064400</v>
      </c>
      <c r="GN407">
        <f t="shared" si="225"/>
        <v>49064400</v>
      </c>
      <c r="GO407">
        <f t="shared" si="226"/>
        <v>0</v>
      </c>
      <c r="GP407">
        <f t="shared" si="227"/>
        <v>0</v>
      </c>
      <c r="GR407">
        <v>1</v>
      </c>
      <c r="GS407">
        <v>1</v>
      </c>
      <c r="GT407">
        <v>0</v>
      </c>
      <c r="GU407" t="s">
        <v>5</v>
      </c>
      <c r="GV407">
        <f t="shared" si="228"/>
        <v>0</v>
      </c>
      <c r="GW407">
        <v>1</v>
      </c>
      <c r="GX407">
        <f t="shared" si="229"/>
        <v>0</v>
      </c>
      <c r="HA407">
        <v>0</v>
      </c>
      <c r="HB407">
        <v>0</v>
      </c>
      <c r="HC407">
        <f t="shared" si="230"/>
        <v>0</v>
      </c>
      <c r="HE407" t="s">
        <v>5</v>
      </c>
      <c r="HF407" t="s">
        <v>5</v>
      </c>
      <c r="IK407">
        <v>0</v>
      </c>
    </row>
    <row r="408" spans="1:245" x14ac:dyDescent="0.2">
      <c r="A408">
        <v>17</v>
      </c>
      <c r="B408">
        <v>1</v>
      </c>
      <c r="E408" t="s">
        <v>187</v>
      </c>
      <c r="F408" t="s">
        <v>177</v>
      </c>
      <c r="G408" t="s">
        <v>188</v>
      </c>
      <c r="H408" t="s">
        <v>179</v>
      </c>
      <c r="I408">
        <v>2646</v>
      </c>
      <c r="J408">
        <v>0</v>
      </c>
      <c r="O408">
        <f t="shared" si="191"/>
        <v>174032712</v>
      </c>
      <c r="P408">
        <f t="shared" si="192"/>
        <v>174032712</v>
      </c>
      <c r="Q408">
        <f t="shared" si="193"/>
        <v>0</v>
      </c>
      <c r="R408">
        <f t="shared" si="194"/>
        <v>0</v>
      </c>
      <c r="S408">
        <f t="shared" si="195"/>
        <v>0</v>
      </c>
      <c r="T408">
        <f t="shared" si="196"/>
        <v>0</v>
      </c>
      <c r="U408">
        <f t="shared" si="197"/>
        <v>0</v>
      </c>
      <c r="V408">
        <f t="shared" si="198"/>
        <v>0</v>
      </c>
      <c r="W408">
        <f t="shared" si="199"/>
        <v>0</v>
      </c>
      <c r="X408">
        <f t="shared" si="200"/>
        <v>0</v>
      </c>
      <c r="Y408">
        <f t="shared" si="201"/>
        <v>0</v>
      </c>
      <c r="AA408">
        <v>49688178</v>
      </c>
      <c r="AB408">
        <f t="shared" si="202"/>
        <v>65772</v>
      </c>
      <c r="AC408">
        <f t="shared" si="203"/>
        <v>65772</v>
      </c>
      <c r="AD408">
        <f t="shared" si="204"/>
        <v>0</v>
      </c>
      <c r="AE408">
        <f t="shared" si="205"/>
        <v>0</v>
      </c>
      <c r="AF408">
        <f t="shared" si="206"/>
        <v>0</v>
      </c>
      <c r="AG408">
        <f t="shared" si="207"/>
        <v>0</v>
      </c>
      <c r="AH408">
        <f t="shared" si="208"/>
        <v>0</v>
      </c>
      <c r="AI408">
        <f t="shared" si="209"/>
        <v>0</v>
      </c>
      <c r="AJ408">
        <f t="shared" si="210"/>
        <v>0</v>
      </c>
      <c r="AK408">
        <v>65772</v>
      </c>
      <c r="AL408">
        <v>65772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1</v>
      </c>
      <c r="AZ408">
        <v>1</v>
      </c>
      <c r="BA408">
        <v>1</v>
      </c>
      <c r="BB408">
        <v>1</v>
      </c>
      <c r="BC408">
        <v>1</v>
      </c>
      <c r="BD408" t="s">
        <v>5</v>
      </c>
      <c r="BE408" t="s">
        <v>5</v>
      </c>
      <c r="BF408" t="s">
        <v>5</v>
      </c>
      <c r="BG408" t="s">
        <v>5</v>
      </c>
      <c r="BH408">
        <v>3</v>
      </c>
      <c r="BI408">
        <v>1</v>
      </c>
      <c r="BJ408" t="s">
        <v>5</v>
      </c>
      <c r="BM408">
        <v>400002</v>
      </c>
      <c r="BN408">
        <v>0</v>
      </c>
      <c r="BO408" t="s">
        <v>5</v>
      </c>
      <c r="BP408">
        <v>0</v>
      </c>
      <c r="BQ408">
        <v>202</v>
      </c>
      <c r="BR408">
        <v>0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 t="s">
        <v>5</v>
      </c>
      <c r="BZ408">
        <v>0</v>
      </c>
      <c r="CA408">
        <v>0</v>
      </c>
      <c r="CE408">
        <v>30</v>
      </c>
      <c r="CF408">
        <v>0</v>
      </c>
      <c r="CG408">
        <v>0</v>
      </c>
      <c r="CM408">
        <v>0</v>
      </c>
      <c r="CN408" t="s">
        <v>5</v>
      </c>
      <c r="CO408">
        <v>0</v>
      </c>
      <c r="CP408">
        <f t="shared" si="211"/>
        <v>174032712</v>
      </c>
      <c r="CQ408">
        <f t="shared" si="212"/>
        <v>65772</v>
      </c>
      <c r="CR408">
        <f t="shared" si="213"/>
        <v>0</v>
      </c>
      <c r="CS408">
        <f t="shared" si="214"/>
        <v>0</v>
      </c>
      <c r="CT408">
        <f t="shared" si="215"/>
        <v>0</v>
      </c>
      <c r="CU408">
        <f t="shared" si="216"/>
        <v>0</v>
      </c>
      <c r="CV408">
        <f t="shared" si="217"/>
        <v>0</v>
      </c>
      <c r="CW408">
        <f t="shared" si="218"/>
        <v>0</v>
      </c>
      <c r="CX408">
        <f t="shared" si="219"/>
        <v>0</v>
      </c>
      <c r="CY408">
        <f t="shared" si="220"/>
        <v>0</v>
      </c>
      <c r="CZ408">
        <f t="shared" si="221"/>
        <v>0</v>
      </c>
      <c r="DC408" t="s">
        <v>5</v>
      </c>
      <c r="DD408" t="s">
        <v>5</v>
      </c>
      <c r="DE408" t="s">
        <v>5</v>
      </c>
      <c r="DF408" t="s">
        <v>5</v>
      </c>
      <c r="DG408" t="s">
        <v>5</v>
      </c>
      <c r="DH408" t="s">
        <v>5</v>
      </c>
      <c r="DI408" t="s">
        <v>5</v>
      </c>
      <c r="DJ408" t="s">
        <v>5</v>
      </c>
      <c r="DK408" t="s">
        <v>5</v>
      </c>
      <c r="DL408" t="s">
        <v>5</v>
      </c>
      <c r="DM408" t="s">
        <v>5</v>
      </c>
      <c r="DN408">
        <v>0</v>
      </c>
      <c r="DO408">
        <v>0</v>
      </c>
      <c r="DP408">
        <v>1</v>
      </c>
      <c r="DQ408">
        <v>1</v>
      </c>
      <c r="DU408">
        <v>1010</v>
      </c>
      <c r="DV408" t="s">
        <v>179</v>
      </c>
      <c r="DW408" t="s">
        <v>179</v>
      </c>
      <c r="DX408">
        <v>1</v>
      </c>
      <c r="DZ408" t="s">
        <v>5</v>
      </c>
      <c r="EA408" t="s">
        <v>5</v>
      </c>
      <c r="EB408" t="s">
        <v>5</v>
      </c>
      <c r="EC408" t="s">
        <v>5</v>
      </c>
      <c r="EE408">
        <v>49389663</v>
      </c>
      <c r="EF408">
        <v>202</v>
      </c>
      <c r="EG408" t="s">
        <v>180</v>
      </c>
      <c r="EH408">
        <v>0</v>
      </c>
      <c r="EI408" t="s">
        <v>5</v>
      </c>
      <c r="EJ408">
        <v>1</v>
      </c>
      <c r="EK408">
        <v>400002</v>
      </c>
      <c r="EL408" t="s">
        <v>181</v>
      </c>
      <c r="EM408" t="s">
        <v>180</v>
      </c>
      <c r="EO408" t="s">
        <v>5</v>
      </c>
      <c r="EQ408">
        <v>0</v>
      </c>
      <c r="ER408">
        <v>65772</v>
      </c>
      <c r="ES408">
        <v>65772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5</v>
      </c>
      <c r="FC408">
        <v>0</v>
      </c>
      <c r="FD408">
        <v>18</v>
      </c>
      <c r="FF408">
        <v>65772</v>
      </c>
      <c r="FQ408">
        <v>0</v>
      </c>
      <c r="FR408">
        <f t="shared" si="222"/>
        <v>0</v>
      </c>
      <c r="FS408">
        <v>0</v>
      </c>
      <c r="FX408">
        <v>0</v>
      </c>
      <c r="FY408">
        <v>0</v>
      </c>
      <c r="GA408" t="s">
        <v>5</v>
      </c>
      <c r="GD408">
        <v>0</v>
      </c>
      <c r="GF408">
        <v>199199258</v>
      </c>
      <c r="GG408">
        <v>2</v>
      </c>
      <c r="GH408">
        <v>3</v>
      </c>
      <c r="GI408">
        <v>3</v>
      </c>
      <c r="GJ408">
        <v>0</v>
      </c>
      <c r="GK408">
        <f>ROUND(R408*(R12)/100,2)</f>
        <v>0</v>
      </c>
      <c r="GL408">
        <f t="shared" si="223"/>
        <v>0</v>
      </c>
      <c r="GM408">
        <f t="shared" si="224"/>
        <v>174032712</v>
      </c>
      <c r="GN408">
        <f t="shared" si="225"/>
        <v>174032712</v>
      </c>
      <c r="GO408">
        <f t="shared" si="226"/>
        <v>0</v>
      </c>
      <c r="GP408">
        <f t="shared" si="227"/>
        <v>0</v>
      </c>
      <c r="GR408">
        <v>1</v>
      </c>
      <c r="GS408">
        <v>1</v>
      </c>
      <c r="GT408">
        <v>0</v>
      </c>
      <c r="GU408" t="s">
        <v>5</v>
      </c>
      <c r="GV408">
        <f t="shared" si="228"/>
        <v>0</v>
      </c>
      <c r="GW408">
        <v>1</v>
      </c>
      <c r="GX408">
        <f t="shared" si="229"/>
        <v>0</v>
      </c>
      <c r="HA408">
        <v>0</v>
      </c>
      <c r="HB408">
        <v>0</v>
      </c>
      <c r="HC408">
        <f t="shared" si="230"/>
        <v>0</v>
      </c>
      <c r="HE408" t="s">
        <v>5</v>
      </c>
      <c r="HF408" t="s">
        <v>5</v>
      </c>
      <c r="IK408">
        <v>0</v>
      </c>
    </row>
    <row r="409" spans="1:245" x14ac:dyDescent="0.2">
      <c r="A409">
        <v>17</v>
      </c>
      <c r="B409">
        <v>1</v>
      </c>
      <c r="E409" t="s">
        <v>189</v>
      </c>
      <c r="F409" t="s">
        <v>177</v>
      </c>
      <c r="G409" t="s">
        <v>190</v>
      </c>
      <c r="H409" t="s">
        <v>179</v>
      </c>
      <c r="I409">
        <v>362</v>
      </c>
      <c r="J409">
        <v>0</v>
      </c>
      <c r="O409">
        <f t="shared" si="191"/>
        <v>19074938.399999999</v>
      </c>
      <c r="P409">
        <f t="shared" si="192"/>
        <v>19074938.399999999</v>
      </c>
      <c r="Q409">
        <f t="shared" si="193"/>
        <v>0</v>
      </c>
      <c r="R409">
        <f t="shared" si="194"/>
        <v>0</v>
      </c>
      <c r="S409">
        <f t="shared" si="195"/>
        <v>0</v>
      </c>
      <c r="T409">
        <f t="shared" si="196"/>
        <v>0</v>
      </c>
      <c r="U409">
        <f t="shared" si="197"/>
        <v>0</v>
      </c>
      <c r="V409">
        <f t="shared" si="198"/>
        <v>0</v>
      </c>
      <c r="W409">
        <f t="shared" si="199"/>
        <v>0</v>
      </c>
      <c r="X409">
        <f t="shared" si="200"/>
        <v>0</v>
      </c>
      <c r="Y409">
        <f t="shared" si="201"/>
        <v>0</v>
      </c>
      <c r="AA409">
        <v>49688178</v>
      </c>
      <c r="AB409">
        <f t="shared" si="202"/>
        <v>52693.2</v>
      </c>
      <c r="AC409">
        <f t="shared" si="203"/>
        <v>52693.2</v>
      </c>
      <c r="AD409">
        <f t="shared" si="204"/>
        <v>0</v>
      </c>
      <c r="AE409">
        <f t="shared" si="205"/>
        <v>0</v>
      </c>
      <c r="AF409">
        <f t="shared" si="206"/>
        <v>0</v>
      </c>
      <c r="AG409">
        <f t="shared" si="207"/>
        <v>0</v>
      </c>
      <c r="AH409">
        <f t="shared" si="208"/>
        <v>0</v>
      </c>
      <c r="AI409">
        <f t="shared" si="209"/>
        <v>0</v>
      </c>
      <c r="AJ409">
        <f t="shared" si="210"/>
        <v>0</v>
      </c>
      <c r="AK409">
        <v>52693.2</v>
      </c>
      <c r="AL409">
        <v>52693.2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Z409">
        <v>1</v>
      </c>
      <c r="BA409">
        <v>1</v>
      </c>
      <c r="BB409">
        <v>1</v>
      </c>
      <c r="BC409">
        <v>1</v>
      </c>
      <c r="BD409" t="s">
        <v>5</v>
      </c>
      <c r="BE409" t="s">
        <v>5</v>
      </c>
      <c r="BF409" t="s">
        <v>5</v>
      </c>
      <c r="BG409" t="s">
        <v>5</v>
      </c>
      <c r="BH409">
        <v>3</v>
      </c>
      <c r="BI409">
        <v>1</v>
      </c>
      <c r="BJ409" t="s">
        <v>5</v>
      </c>
      <c r="BM409">
        <v>400002</v>
      </c>
      <c r="BN409">
        <v>0</v>
      </c>
      <c r="BO409" t="s">
        <v>5</v>
      </c>
      <c r="BP409">
        <v>0</v>
      </c>
      <c r="BQ409">
        <v>202</v>
      </c>
      <c r="BR409">
        <v>0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 t="s">
        <v>5</v>
      </c>
      <c r="BZ409">
        <v>0</v>
      </c>
      <c r="CA409">
        <v>0</v>
      </c>
      <c r="CE409">
        <v>30</v>
      </c>
      <c r="CF409">
        <v>0</v>
      </c>
      <c r="CG409">
        <v>0</v>
      </c>
      <c r="CM409">
        <v>0</v>
      </c>
      <c r="CN409" t="s">
        <v>5</v>
      </c>
      <c r="CO409">
        <v>0</v>
      </c>
      <c r="CP409">
        <f t="shared" si="211"/>
        <v>19074938.399999999</v>
      </c>
      <c r="CQ409">
        <f t="shared" si="212"/>
        <v>52693.2</v>
      </c>
      <c r="CR409">
        <f t="shared" si="213"/>
        <v>0</v>
      </c>
      <c r="CS409">
        <f t="shared" si="214"/>
        <v>0</v>
      </c>
      <c r="CT409">
        <f t="shared" si="215"/>
        <v>0</v>
      </c>
      <c r="CU409">
        <f t="shared" si="216"/>
        <v>0</v>
      </c>
      <c r="CV409">
        <f t="shared" si="217"/>
        <v>0</v>
      </c>
      <c r="CW409">
        <f t="shared" si="218"/>
        <v>0</v>
      </c>
      <c r="CX409">
        <f t="shared" si="219"/>
        <v>0</v>
      </c>
      <c r="CY409">
        <f t="shared" si="220"/>
        <v>0</v>
      </c>
      <c r="CZ409">
        <f t="shared" si="221"/>
        <v>0</v>
      </c>
      <c r="DC409" t="s">
        <v>5</v>
      </c>
      <c r="DD409" t="s">
        <v>5</v>
      </c>
      <c r="DE409" t="s">
        <v>5</v>
      </c>
      <c r="DF409" t="s">
        <v>5</v>
      </c>
      <c r="DG409" t="s">
        <v>5</v>
      </c>
      <c r="DH409" t="s">
        <v>5</v>
      </c>
      <c r="DI409" t="s">
        <v>5</v>
      </c>
      <c r="DJ409" t="s">
        <v>5</v>
      </c>
      <c r="DK409" t="s">
        <v>5</v>
      </c>
      <c r="DL409" t="s">
        <v>5</v>
      </c>
      <c r="DM409" t="s">
        <v>5</v>
      </c>
      <c r="DN409">
        <v>0</v>
      </c>
      <c r="DO409">
        <v>0</v>
      </c>
      <c r="DP409">
        <v>1</v>
      </c>
      <c r="DQ409">
        <v>1</v>
      </c>
      <c r="DU409">
        <v>1010</v>
      </c>
      <c r="DV409" t="s">
        <v>179</v>
      </c>
      <c r="DW409" t="s">
        <v>179</v>
      </c>
      <c r="DX409">
        <v>1</v>
      </c>
      <c r="DZ409" t="s">
        <v>5</v>
      </c>
      <c r="EA409" t="s">
        <v>5</v>
      </c>
      <c r="EB409" t="s">
        <v>5</v>
      </c>
      <c r="EC409" t="s">
        <v>5</v>
      </c>
      <c r="EE409">
        <v>49389663</v>
      </c>
      <c r="EF409">
        <v>202</v>
      </c>
      <c r="EG409" t="s">
        <v>180</v>
      </c>
      <c r="EH409">
        <v>0</v>
      </c>
      <c r="EI409" t="s">
        <v>5</v>
      </c>
      <c r="EJ409">
        <v>1</v>
      </c>
      <c r="EK409">
        <v>400002</v>
      </c>
      <c r="EL409" t="s">
        <v>181</v>
      </c>
      <c r="EM409" t="s">
        <v>180</v>
      </c>
      <c r="EO409" t="s">
        <v>5</v>
      </c>
      <c r="EQ409">
        <v>0</v>
      </c>
      <c r="ER409">
        <v>52693.2</v>
      </c>
      <c r="ES409">
        <v>52693.2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5</v>
      </c>
      <c r="FC409">
        <v>0</v>
      </c>
      <c r="FD409">
        <v>18</v>
      </c>
      <c r="FF409">
        <v>52693.2</v>
      </c>
      <c r="FQ409">
        <v>0</v>
      </c>
      <c r="FR409">
        <f t="shared" si="222"/>
        <v>0</v>
      </c>
      <c r="FS409">
        <v>0</v>
      </c>
      <c r="FX409">
        <v>0</v>
      </c>
      <c r="FY409">
        <v>0</v>
      </c>
      <c r="GA409" t="s">
        <v>5</v>
      </c>
      <c r="GD409">
        <v>0</v>
      </c>
      <c r="GF409">
        <v>-1308845191</v>
      </c>
      <c r="GG409">
        <v>2</v>
      </c>
      <c r="GH409">
        <v>3</v>
      </c>
      <c r="GI409">
        <v>3</v>
      </c>
      <c r="GJ409">
        <v>0</v>
      </c>
      <c r="GK409">
        <f>ROUND(R409*(R12)/100,2)</f>
        <v>0</v>
      </c>
      <c r="GL409">
        <f t="shared" si="223"/>
        <v>0</v>
      </c>
      <c r="GM409">
        <f t="shared" si="224"/>
        <v>19074938.399999999</v>
      </c>
      <c r="GN409">
        <f t="shared" si="225"/>
        <v>19074938.399999999</v>
      </c>
      <c r="GO409">
        <f t="shared" si="226"/>
        <v>0</v>
      </c>
      <c r="GP409">
        <f t="shared" si="227"/>
        <v>0</v>
      </c>
      <c r="GR409">
        <v>1</v>
      </c>
      <c r="GS409">
        <v>1</v>
      </c>
      <c r="GT409">
        <v>0</v>
      </c>
      <c r="GU409" t="s">
        <v>5</v>
      </c>
      <c r="GV409">
        <f t="shared" si="228"/>
        <v>0</v>
      </c>
      <c r="GW409">
        <v>1</v>
      </c>
      <c r="GX409">
        <f t="shared" si="229"/>
        <v>0</v>
      </c>
      <c r="HA409">
        <v>0</v>
      </c>
      <c r="HB409">
        <v>0</v>
      </c>
      <c r="HC409">
        <f t="shared" si="230"/>
        <v>0</v>
      </c>
      <c r="HE409" t="s">
        <v>5</v>
      </c>
      <c r="HF409" t="s">
        <v>5</v>
      </c>
      <c r="IK409">
        <v>0</v>
      </c>
    </row>
    <row r="410" spans="1:245" x14ac:dyDescent="0.2">
      <c r="A410">
        <v>17</v>
      </c>
      <c r="B410">
        <v>1</v>
      </c>
      <c r="E410" t="s">
        <v>191</v>
      </c>
      <c r="F410" t="s">
        <v>177</v>
      </c>
      <c r="G410" t="s">
        <v>192</v>
      </c>
      <c r="H410" t="s">
        <v>179</v>
      </c>
      <c r="I410">
        <v>307</v>
      </c>
      <c r="J410">
        <v>0</v>
      </c>
      <c r="O410">
        <f t="shared" si="191"/>
        <v>9283680</v>
      </c>
      <c r="P410">
        <f t="shared" si="192"/>
        <v>9283680</v>
      </c>
      <c r="Q410">
        <f t="shared" si="193"/>
        <v>0</v>
      </c>
      <c r="R410">
        <f t="shared" si="194"/>
        <v>0</v>
      </c>
      <c r="S410">
        <f t="shared" si="195"/>
        <v>0</v>
      </c>
      <c r="T410">
        <f t="shared" si="196"/>
        <v>0</v>
      </c>
      <c r="U410">
        <f t="shared" si="197"/>
        <v>0</v>
      </c>
      <c r="V410">
        <f t="shared" si="198"/>
        <v>0</v>
      </c>
      <c r="W410">
        <f t="shared" si="199"/>
        <v>0</v>
      </c>
      <c r="X410">
        <f t="shared" si="200"/>
        <v>0</v>
      </c>
      <c r="Y410">
        <f t="shared" si="201"/>
        <v>0</v>
      </c>
      <c r="AA410">
        <v>49688178</v>
      </c>
      <c r="AB410">
        <f t="shared" si="202"/>
        <v>30240</v>
      </c>
      <c r="AC410">
        <f t="shared" si="203"/>
        <v>30240</v>
      </c>
      <c r="AD410">
        <f t="shared" si="204"/>
        <v>0</v>
      </c>
      <c r="AE410">
        <f t="shared" si="205"/>
        <v>0</v>
      </c>
      <c r="AF410">
        <f t="shared" si="206"/>
        <v>0</v>
      </c>
      <c r="AG410">
        <f t="shared" si="207"/>
        <v>0</v>
      </c>
      <c r="AH410">
        <f t="shared" si="208"/>
        <v>0</v>
      </c>
      <c r="AI410">
        <f t="shared" si="209"/>
        <v>0</v>
      </c>
      <c r="AJ410">
        <f t="shared" si="210"/>
        <v>0</v>
      </c>
      <c r="AK410">
        <v>30240</v>
      </c>
      <c r="AL410">
        <v>30240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1</v>
      </c>
      <c r="AZ410">
        <v>1</v>
      </c>
      <c r="BA410">
        <v>1</v>
      </c>
      <c r="BB410">
        <v>1</v>
      </c>
      <c r="BC410">
        <v>1</v>
      </c>
      <c r="BD410" t="s">
        <v>5</v>
      </c>
      <c r="BE410" t="s">
        <v>5</v>
      </c>
      <c r="BF410" t="s">
        <v>5</v>
      </c>
      <c r="BG410" t="s">
        <v>5</v>
      </c>
      <c r="BH410">
        <v>3</v>
      </c>
      <c r="BI410">
        <v>1</v>
      </c>
      <c r="BJ410" t="s">
        <v>5</v>
      </c>
      <c r="BM410">
        <v>400002</v>
      </c>
      <c r="BN410">
        <v>0</v>
      </c>
      <c r="BO410" t="s">
        <v>5</v>
      </c>
      <c r="BP410">
        <v>0</v>
      </c>
      <c r="BQ410">
        <v>202</v>
      </c>
      <c r="BR410">
        <v>0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 t="s">
        <v>5</v>
      </c>
      <c r="BZ410">
        <v>0</v>
      </c>
      <c r="CA410">
        <v>0</v>
      </c>
      <c r="CE410">
        <v>30</v>
      </c>
      <c r="CF410">
        <v>0</v>
      </c>
      <c r="CG410">
        <v>0</v>
      </c>
      <c r="CM410">
        <v>0</v>
      </c>
      <c r="CN410" t="s">
        <v>5</v>
      </c>
      <c r="CO410">
        <v>0</v>
      </c>
      <c r="CP410">
        <f t="shared" si="211"/>
        <v>9283680</v>
      </c>
      <c r="CQ410">
        <f t="shared" si="212"/>
        <v>30240</v>
      </c>
      <c r="CR410">
        <f t="shared" si="213"/>
        <v>0</v>
      </c>
      <c r="CS410">
        <f t="shared" si="214"/>
        <v>0</v>
      </c>
      <c r="CT410">
        <f t="shared" si="215"/>
        <v>0</v>
      </c>
      <c r="CU410">
        <f t="shared" si="216"/>
        <v>0</v>
      </c>
      <c r="CV410">
        <f t="shared" si="217"/>
        <v>0</v>
      </c>
      <c r="CW410">
        <f t="shared" si="218"/>
        <v>0</v>
      </c>
      <c r="CX410">
        <f t="shared" si="219"/>
        <v>0</v>
      </c>
      <c r="CY410">
        <f t="shared" si="220"/>
        <v>0</v>
      </c>
      <c r="CZ410">
        <f t="shared" si="221"/>
        <v>0</v>
      </c>
      <c r="DC410" t="s">
        <v>5</v>
      </c>
      <c r="DD410" t="s">
        <v>5</v>
      </c>
      <c r="DE410" t="s">
        <v>5</v>
      </c>
      <c r="DF410" t="s">
        <v>5</v>
      </c>
      <c r="DG410" t="s">
        <v>5</v>
      </c>
      <c r="DH410" t="s">
        <v>5</v>
      </c>
      <c r="DI410" t="s">
        <v>5</v>
      </c>
      <c r="DJ410" t="s">
        <v>5</v>
      </c>
      <c r="DK410" t="s">
        <v>5</v>
      </c>
      <c r="DL410" t="s">
        <v>5</v>
      </c>
      <c r="DM410" t="s">
        <v>5</v>
      </c>
      <c r="DN410">
        <v>0</v>
      </c>
      <c r="DO410">
        <v>0</v>
      </c>
      <c r="DP410">
        <v>1</v>
      </c>
      <c r="DQ410">
        <v>1</v>
      </c>
      <c r="DU410">
        <v>1010</v>
      </c>
      <c r="DV410" t="s">
        <v>179</v>
      </c>
      <c r="DW410" t="s">
        <v>179</v>
      </c>
      <c r="DX410">
        <v>1</v>
      </c>
      <c r="DZ410" t="s">
        <v>5</v>
      </c>
      <c r="EA410" t="s">
        <v>5</v>
      </c>
      <c r="EB410" t="s">
        <v>5</v>
      </c>
      <c r="EC410" t="s">
        <v>5</v>
      </c>
      <c r="EE410">
        <v>49389663</v>
      </c>
      <c r="EF410">
        <v>202</v>
      </c>
      <c r="EG410" t="s">
        <v>180</v>
      </c>
      <c r="EH410">
        <v>0</v>
      </c>
      <c r="EI410" t="s">
        <v>5</v>
      </c>
      <c r="EJ410">
        <v>1</v>
      </c>
      <c r="EK410">
        <v>400002</v>
      </c>
      <c r="EL410" t="s">
        <v>181</v>
      </c>
      <c r="EM410" t="s">
        <v>180</v>
      </c>
      <c r="EO410" t="s">
        <v>5</v>
      </c>
      <c r="EQ410">
        <v>0</v>
      </c>
      <c r="ER410">
        <v>30240</v>
      </c>
      <c r="ES410">
        <v>30240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5</v>
      </c>
      <c r="FC410">
        <v>0</v>
      </c>
      <c r="FD410">
        <v>18</v>
      </c>
      <c r="FF410">
        <v>30240</v>
      </c>
      <c r="FQ410">
        <v>0</v>
      </c>
      <c r="FR410">
        <f t="shared" si="222"/>
        <v>0</v>
      </c>
      <c r="FS410">
        <v>0</v>
      </c>
      <c r="FX410">
        <v>0</v>
      </c>
      <c r="FY410">
        <v>0</v>
      </c>
      <c r="GA410" t="s">
        <v>5</v>
      </c>
      <c r="GD410">
        <v>0</v>
      </c>
      <c r="GF410">
        <v>-610415027</v>
      </c>
      <c r="GG410">
        <v>2</v>
      </c>
      <c r="GH410">
        <v>3</v>
      </c>
      <c r="GI410">
        <v>3</v>
      </c>
      <c r="GJ410">
        <v>0</v>
      </c>
      <c r="GK410">
        <f>ROUND(R410*(R12)/100,2)</f>
        <v>0</v>
      </c>
      <c r="GL410">
        <f t="shared" si="223"/>
        <v>0</v>
      </c>
      <c r="GM410">
        <f t="shared" si="224"/>
        <v>9283680</v>
      </c>
      <c r="GN410">
        <f t="shared" si="225"/>
        <v>9283680</v>
      </c>
      <c r="GO410">
        <f t="shared" si="226"/>
        <v>0</v>
      </c>
      <c r="GP410">
        <f t="shared" si="227"/>
        <v>0</v>
      </c>
      <c r="GR410">
        <v>1</v>
      </c>
      <c r="GS410">
        <v>1</v>
      </c>
      <c r="GT410">
        <v>0</v>
      </c>
      <c r="GU410" t="s">
        <v>5</v>
      </c>
      <c r="GV410">
        <f t="shared" si="228"/>
        <v>0</v>
      </c>
      <c r="GW410">
        <v>1</v>
      </c>
      <c r="GX410">
        <f t="shared" si="229"/>
        <v>0</v>
      </c>
      <c r="HA410">
        <v>0</v>
      </c>
      <c r="HB410">
        <v>0</v>
      </c>
      <c r="HC410">
        <f t="shared" si="230"/>
        <v>0</v>
      </c>
      <c r="HE410" t="s">
        <v>5</v>
      </c>
      <c r="HF410" t="s">
        <v>5</v>
      </c>
      <c r="IK410">
        <v>0</v>
      </c>
    </row>
    <row r="411" spans="1:245" x14ac:dyDescent="0.2">
      <c r="A411">
        <v>17</v>
      </c>
      <c r="B411">
        <v>1</v>
      </c>
      <c r="E411" t="s">
        <v>193</v>
      </c>
      <c r="F411" t="s">
        <v>177</v>
      </c>
      <c r="G411" t="s">
        <v>194</v>
      </c>
      <c r="H411" t="s">
        <v>179</v>
      </c>
      <c r="I411">
        <v>63</v>
      </c>
      <c r="J411">
        <v>0</v>
      </c>
      <c r="O411">
        <f t="shared" si="191"/>
        <v>1616580</v>
      </c>
      <c r="P411">
        <f t="shared" si="192"/>
        <v>1616580</v>
      </c>
      <c r="Q411">
        <f t="shared" si="193"/>
        <v>0</v>
      </c>
      <c r="R411">
        <f t="shared" si="194"/>
        <v>0</v>
      </c>
      <c r="S411">
        <f t="shared" si="195"/>
        <v>0</v>
      </c>
      <c r="T411">
        <f t="shared" si="196"/>
        <v>0</v>
      </c>
      <c r="U411">
        <f t="shared" si="197"/>
        <v>0</v>
      </c>
      <c r="V411">
        <f t="shared" si="198"/>
        <v>0</v>
      </c>
      <c r="W411">
        <f t="shared" si="199"/>
        <v>0</v>
      </c>
      <c r="X411">
        <f t="shared" si="200"/>
        <v>0</v>
      </c>
      <c r="Y411">
        <f t="shared" si="201"/>
        <v>0</v>
      </c>
      <c r="AA411">
        <v>49688178</v>
      </c>
      <c r="AB411">
        <f t="shared" si="202"/>
        <v>25660</v>
      </c>
      <c r="AC411">
        <f t="shared" si="203"/>
        <v>25660</v>
      </c>
      <c r="AD411">
        <f t="shared" si="204"/>
        <v>0</v>
      </c>
      <c r="AE411">
        <f t="shared" si="205"/>
        <v>0</v>
      </c>
      <c r="AF411">
        <f t="shared" si="206"/>
        <v>0</v>
      </c>
      <c r="AG411">
        <f t="shared" si="207"/>
        <v>0</v>
      </c>
      <c r="AH411">
        <f t="shared" si="208"/>
        <v>0</v>
      </c>
      <c r="AI411">
        <f t="shared" si="209"/>
        <v>0</v>
      </c>
      <c r="AJ411">
        <f t="shared" si="210"/>
        <v>0</v>
      </c>
      <c r="AK411">
        <v>25660</v>
      </c>
      <c r="AL411">
        <v>25660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Z411">
        <v>1</v>
      </c>
      <c r="BA411">
        <v>1</v>
      </c>
      <c r="BB411">
        <v>1</v>
      </c>
      <c r="BC411">
        <v>1</v>
      </c>
      <c r="BD411" t="s">
        <v>5</v>
      </c>
      <c r="BE411" t="s">
        <v>5</v>
      </c>
      <c r="BF411" t="s">
        <v>5</v>
      </c>
      <c r="BG411" t="s">
        <v>5</v>
      </c>
      <c r="BH411">
        <v>3</v>
      </c>
      <c r="BI411">
        <v>1</v>
      </c>
      <c r="BJ411" t="s">
        <v>5</v>
      </c>
      <c r="BM411">
        <v>400002</v>
      </c>
      <c r="BN411">
        <v>0</v>
      </c>
      <c r="BO411" t="s">
        <v>5</v>
      </c>
      <c r="BP411">
        <v>0</v>
      </c>
      <c r="BQ411">
        <v>202</v>
      </c>
      <c r="BR411">
        <v>0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 t="s">
        <v>5</v>
      </c>
      <c r="BZ411">
        <v>0</v>
      </c>
      <c r="CA411">
        <v>0</v>
      </c>
      <c r="CE411">
        <v>30</v>
      </c>
      <c r="CF411">
        <v>0</v>
      </c>
      <c r="CG411">
        <v>0</v>
      </c>
      <c r="CM411">
        <v>0</v>
      </c>
      <c r="CN411" t="s">
        <v>5</v>
      </c>
      <c r="CO411">
        <v>0</v>
      </c>
      <c r="CP411">
        <f t="shared" si="211"/>
        <v>1616580</v>
      </c>
      <c r="CQ411">
        <f t="shared" si="212"/>
        <v>25660</v>
      </c>
      <c r="CR411">
        <f t="shared" si="213"/>
        <v>0</v>
      </c>
      <c r="CS411">
        <f t="shared" si="214"/>
        <v>0</v>
      </c>
      <c r="CT411">
        <f t="shared" si="215"/>
        <v>0</v>
      </c>
      <c r="CU411">
        <f t="shared" si="216"/>
        <v>0</v>
      </c>
      <c r="CV411">
        <f t="shared" si="217"/>
        <v>0</v>
      </c>
      <c r="CW411">
        <f t="shared" si="218"/>
        <v>0</v>
      </c>
      <c r="CX411">
        <f t="shared" si="219"/>
        <v>0</v>
      </c>
      <c r="CY411">
        <f t="shared" si="220"/>
        <v>0</v>
      </c>
      <c r="CZ411">
        <f t="shared" si="221"/>
        <v>0</v>
      </c>
      <c r="DC411" t="s">
        <v>5</v>
      </c>
      <c r="DD411" t="s">
        <v>5</v>
      </c>
      <c r="DE411" t="s">
        <v>5</v>
      </c>
      <c r="DF411" t="s">
        <v>5</v>
      </c>
      <c r="DG411" t="s">
        <v>5</v>
      </c>
      <c r="DH411" t="s">
        <v>5</v>
      </c>
      <c r="DI411" t="s">
        <v>5</v>
      </c>
      <c r="DJ411" t="s">
        <v>5</v>
      </c>
      <c r="DK411" t="s">
        <v>5</v>
      </c>
      <c r="DL411" t="s">
        <v>5</v>
      </c>
      <c r="DM411" t="s">
        <v>5</v>
      </c>
      <c r="DN411">
        <v>0</v>
      </c>
      <c r="DO411">
        <v>0</v>
      </c>
      <c r="DP411">
        <v>1</v>
      </c>
      <c r="DQ411">
        <v>1</v>
      </c>
      <c r="DU411">
        <v>1010</v>
      </c>
      <c r="DV411" t="s">
        <v>179</v>
      </c>
      <c r="DW411" t="s">
        <v>179</v>
      </c>
      <c r="DX411">
        <v>1</v>
      </c>
      <c r="DZ411" t="s">
        <v>5</v>
      </c>
      <c r="EA411" t="s">
        <v>5</v>
      </c>
      <c r="EB411" t="s">
        <v>5</v>
      </c>
      <c r="EC411" t="s">
        <v>5</v>
      </c>
      <c r="EE411">
        <v>49389663</v>
      </c>
      <c r="EF411">
        <v>202</v>
      </c>
      <c r="EG411" t="s">
        <v>180</v>
      </c>
      <c r="EH411">
        <v>0</v>
      </c>
      <c r="EI411" t="s">
        <v>5</v>
      </c>
      <c r="EJ411">
        <v>1</v>
      </c>
      <c r="EK411">
        <v>400002</v>
      </c>
      <c r="EL411" t="s">
        <v>181</v>
      </c>
      <c r="EM411" t="s">
        <v>180</v>
      </c>
      <c r="EO411" t="s">
        <v>5</v>
      </c>
      <c r="EQ411">
        <v>0</v>
      </c>
      <c r="ER411">
        <v>25660</v>
      </c>
      <c r="ES411">
        <v>25660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5</v>
      </c>
      <c r="FC411">
        <v>0</v>
      </c>
      <c r="FD411">
        <v>18</v>
      </c>
      <c r="FF411">
        <v>25660</v>
      </c>
      <c r="FQ411">
        <v>0</v>
      </c>
      <c r="FR411">
        <f t="shared" si="222"/>
        <v>0</v>
      </c>
      <c r="FS411">
        <v>0</v>
      </c>
      <c r="FX411">
        <v>0</v>
      </c>
      <c r="FY411">
        <v>0</v>
      </c>
      <c r="GA411" t="s">
        <v>5</v>
      </c>
      <c r="GD411">
        <v>0</v>
      </c>
      <c r="GF411">
        <v>-539981089</v>
      </c>
      <c r="GG411">
        <v>2</v>
      </c>
      <c r="GH411">
        <v>3</v>
      </c>
      <c r="GI411">
        <v>3</v>
      </c>
      <c r="GJ411">
        <v>0</v>
      </c>
      <c r="GK411">
        <f>ROUND(R411*(R12)/100,2)</f>
        <v>0</v>
      </c>
      <c r="GL411">
        <f t="shared" si="223"/>
        <v>0</v>
      </c>
      <c r="GM411">
        <f t="shared" si="224"/>
        <v>1616580</v>
      </c>
      <c r="GN411">
        <f t="shared" si="225"/>
        <v>1616580</v>
      </c>
      <c r="GO411">
        <f t="shared" si="226"/>
        <v>0</v>
      </c>
      <c r="GP411">
        <f t="shared" si="227"/>
        <v>0</v>
      </c>
      <c r="GR411">
        <v>1</v>
      </c>
      <c r="GS411">
        <v>1</v>
      </c>
      <c r="GT411">
        <v>0</v>
      </c>
      <c r="GU411" t="s">
        <v>5</v>
      </c>
      <c r="GV411">
        <f t="shared" si="228"/>
        <v>0</v>
      </c>
      <c r="GW411">
        <v>1</v>
      </c>
      <c r="GX411">
        <f t="shared" si="229"/>
        <v>0</v>
      </c>
      <c r="HA411">
        <v>0</v>
      </c>
      <c r="HB411">
        <v>0</v>
      </c>
      <c r="HC411">
        <f t="shared" si="230"/>
        <v>0</v>
      </c>
      <c r="HE411" t="s">
        <v>5</v>
      </c>
      <c r="HF411" t="s">
        <v>5</v>
      </c>
      <c r="IK411">
        <v>0</v>
      </c>
    </row>
    <row r="412" spans="1:245" x14ac:dyDescent="0.2">
      <c r="A412">
        <v>17</v>
      </c>
      <c r="B412">
        <v>1</v>
      </c>
      <c r="E412" t="s">
        <v>5</v>
      </c>
      <c r="F412" t="s">
        <v>177</v>
      </c>
      <c r="G412" t="s">
        <v>194</v>
      </c>
      <c r="H412" t="s">
        <v>179</v>
      </c>
      <c r="I412">
        <v>28</v>
      </c>
      <c r="J412">
        <v>0</v>
      </c>
      <c r="O412">
        <f t="shared" si="191"/>
        <v>0</v>
      </c>
      <c r="P412">
        <f t="shared" si="192"/>
        <v>0</v>
      </c>
      <c r="Q412">
        <f t="shared" si="193"/>
        <v>0</v>
      </c>
      <c r="R412">
        <f t="shared" si="194"/>
        <v>0</v>
      </c>
      <c r="S412">
        <f t="shared" si="195"/>
        <v>0</v>
      </c>
      <c r="T412">
        <f t="shared" si="196"/>
        <v>0</v>
      </c>
      <c r="U412">
        <f t="shared" si="197"/>
        <v>0</v>
      </c>
      <c r="V412">
        <f t="shared" si="198"/>
        <v>0</v>
      </c>
      <c r="W412">
        <f t="shared" si="199"/>
        <v>0</v>
      </c>
      <c r="X412">
        <f t="shared" si="200"/>
        <v>0</v>
      </c>
      <c r="Y412">
        <f t="shared" si="201"/>
        <v>0</v>
      </c>
      <c r="AA412">
        <v>-1</v>
      </c>
      <c r="AB412">
        <f t="shared" si="202"/>
        <v>0</v>
      </c>
      <c r="AC412">
        <f t="shared" si="203"/>
        <v>0</v>
      </c>
      <c r="AD412">
        <f t="shared" si="204"/>
        <v>0</v>
      </c>
      <c r="AE412">
        <f t="shared" si="205"/>
        <v>0</v>
      </c>
      <c r="AF412">
        <f t="shared" si="206"/>
        <v>0</v>
      </c>
      <c r="AG412">
        <f t="shared" si="207"/>
        <v>0</v>
      </c>
      <c r="AH412">
        <f t="shared" si="208"/>
        <v>0</v>
      </c>
      <c r="AI412">
        <f t="shared" si="209"/>
        <v>0</v>
      </c>
      <c r="AJ412">
        <f t="shared" si="210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Z412">
        <v>1</v>
      </c>
      <c r="BA412">
        <v>1</v>
      </c>
      <c r="BB412">
        <v>1</v>
      </c>
      <c r="BC412">
        <v>1</v>
      </c>
      <c r="BD412" t="s">
        <v>5</v>
      </c>
      <c r="BE412" t="s">
        <v>5</v>
      </c>
      <c r="BF412" t="s">
        <v>5</v>
      </c>
      <c r="BG412" t="s">
        <v>5</v>
      </c>
      <c r="BH412">
        <v>3</v>
      </c>
      <c r="BI412">
        <v>1</v>
      </c>
      <c r="BJ412" t="s">
        <v>5</v>
      </c>
      <c r="BM412">
        <v>400002</v>
      </c>
      <c r="BN412">
        <v>0</v>
      </c>
      <c r="BO412" t="s">
        <v>5</v>
      </c>
      <c r="BP412">
        <v>0</v>
      </c>
      <c r="BQ412">
        <v>202</v>
      </c>
      <c r="BR412">
        <v>0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 t="s">
        <v>5</v>
      </c>
      <c r="BZ412">
        <v>0</v>
      </c>
      <c r="CA412">
        <v>0</v>
      </c>
      <c r="CE412">
        <v>30</v>
      </c>
      <c r="CF412">
        <v>0</v>
      </c>
      <c r="CG412">
        <v>0</v>
      </c>
      <c r="CM412">
        <v>0</v>
      </c>
      <c r="CN412" t="s">
        <v>5</v>
      </c>
      <c r="CO412">
        <v>0</v>
      </c>
      <c r="CP412">
        <f t="shared" si="211"/>
        <v>0</v>
      </c>
      <c r="CQ412">
        <f t="shared" si="212"/>
        <v>0</v>
      </c>
      <c r="CR412">
        <f t="shared" si="213"/>
        <v>0</v>
      </c>
      <c r="CS412">
        <f t="shared" si="214"/>
        <v>0</v>
      </c>
      <c r="CT412">
        <f t="shared" si="215"/>
        <v>0</v>
      </c>
      <c r="CU412">
        <f t="shared" si="216"/>
        <v>0</v>
      </c>
      <c r="CV412">
        <f t="shared" si="217"/>
        <v>0</v>
      </c>
      <c r="CW412">
        <f t="shared" si="218"/>
        <v>0</v>
      </c>
      <c r="CX412">
        <f t="shared" si="219"/>
        <v>0</v>
      </c>
      <c r="CY412">
        <f t="shared" si="220"/>
        <v>0</v>
      </c>
      <c r="CZ412">
        <f t="shared" si="221"/>
        <v>0</v>
      </c>
      <c r="DC412" t="s">
        <v>5</v>
      </c>
      <c r="DD412" t="s">
        <v>5</v>
      </c>
      <c r="DE412" t="s">
        <v>5</v>
      </c>
      <c r="DF412" t="s">
        <v>5</v>
      </c>
      <c r="DG412" t="s">
        <v>5</v>
      </c>
      <c r="DH412" t="s">
        <v>5</v>
      </c>
      <c r="DI412" t="s">
        <v>5</v>
      </c>
      <c r="DJ412" t="s">
        <v>5</v>
      </c>
      <c r="DK412" t="s">
        <v>5</v>
      </c>
      <c r="DL412" t="s">
        <v>5</v>
      </c>
      <c r="DM412" t="s">
        <v>5</v>
      </c>
      <c r="DN412">
        <v>0</v>
      </c>
      <c r="DO412">
        <v>0</v>
      </c>
      <c r="DP412">
        <v>1</v>
      </c>
      <c r="DQ412">
        <v>1</v>
      </c>
      <c r="DU412">
        <v>1010</v>
      </c>
      <c r="DV412" t="s">
        <v>179</v>
      </c>
      <c r="DW412" t="s">
        <v>179</v>
      </c>
      <c r="DX412">
        <v>1</v>
      </c>
      <c r="DZ412" t="s">
        <v>5</v>
      </c>
      <c r="EA412" t="s">
        <v>5</v>
      </c>
      <c r="EB412" t="s">
        <v>5</v>
      </c>
      <c r="EC412" t="s">
        <v>5</v>
      </c>
      <c r="EE412">
        <v>49389663</v>
      </c>
      <c r="EF412">
        <v>202</v>
      </c>
      <c r="EG412" t="s">
        <v>180</v>
      </c>
      <c r="EH412">
        <v>0</v>
      </c>
      <c r="EI412" t="s">
        <v>5</v>
      </c>
      <c r="EJ412">
        <v>1</v>
      </c>
      <c r="EK412">
        <v>400002</v>
      </c>
      <c r="EL412" t="s">
        <v>181</v>
      </c>
      <c r="EM412" t="s">
        <v>180</v>
      </c>
      <c r="EO412" t="s">
        <v>5</v>
      </c>
      <c r="EQ412">
        <v>1024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FQ412">
        <v>0</v>
      </c>
      <c r="FR412">
        <f t="shared" si="222"/>
        <v>0</v>
      </c>
      <c r="FS412">
        <v>0</v>
      </c>
      <c r="FX412">
        <v>0</v>
      </c>
      <c r="FY412">
        <v>0</v>
      </c>
      <c r="GA412" t="s">
        <v>182</v>
      </c>
      <c r="GD412">
        <v>0</v>
      </c>
      <c r="GF412">
        <v>-539981089</v>
      </c>
      <c r="GG412">
        <v>2</v>
      </c>
      <c r="GH412">
        <v>0</v>
      </c>
      <c r="GI412">
        <v>3</v>
      </c>
      <c r="GJ412">
        <v>0</v>
      </c>
      <c r="GK412">
        <f>ROUND(R412*(R12)/100,2)</f>
        <v>0</v>
      </c>
      <c r="GL412">
        <f t="shared" si="223"/>
        <v>0</v>
      </c>
      <c r="GM412">
        <f t="shared" si="224"/>
        <v>0</v>
      </c>
      <c r="GN412">
        <f t="shared" si="225"/>
        <v>0</v>
      </c>
      <c r="GO412">
        <f t="shared" si="226"/>
        <v>0</v>
      </c>
      <c r="GP412">
        <f t="shared" si="227"/>
        <v>0</v>
      </c>
      <c r="GR412">
        <v>1</v>
      </c>
      <c r="GS412">
        <v>4</v>
      </c>
      <c r="GT412">
        <v>0</v>
      </c>
      <c r="GU412" t="s">
        <v>5</v>
      </c>
      <c r="GV412">
        <f t="shared" si="228"/>
        <v>0</v>
      </c>
      <c r="GW412">
        <v>1</v>
      </c>
      <c r="GX412">
        <f t="shared" si="229"/>
        <v>0</v>
      </c>
      <c r="HA412">
        <v>0</v>
      </c>
      <c r="HB412">
        <v>0</v>
      </c>
      <c r="HC412">
        <f t="shared" si="230"/>
        <v>0</v>
      </c>
      <c r="HE412" t="s">
        <v>5</v>
      </c>
      <c r="HF412" t="s">
        <v>5</v>
      </c>
      <c r="IK412">
        <v>0</v>
      </c>
    </row>
    <row r="414" spans="1:245" x14ac:dyDescent="0.2">
      <c r="A414" s="2">
        <v>51</v>
      </c>
      <c r="B414" s="2">
        <f>B400</f>
        <v>1</v>
      </c>
      <c r="C414" s="2">
        <f>A400</f>
        <v>4</v>
      </c>
      <c r="D414" s="2">
        <f>ROW(A400)</f>
        <v>400</v>
      </c>
      <c r="E414" s="2"/>
      <c r="F414" s="2" t="str">
        <f>IF(F400&lt;&gt;"",F400,"")</f>
        <v>Новый раздел</v>
      </c>
      <c r="G414" s="2" t="str">
        <f>IF(G400&lt;&gt;"",G400,"")</f>
        <v>Стоимость деревьев для посадки</v>
      </c>
      <c r="H414" s="2">
        <v>0</v>
      </c>
      <c r="I414" s="2"/>
      <c r="J414" s="2"/>
      <c r="K414" s="2"/>
      <c r="L414" s="2"/>
      <c r="M414" s="2"/>
      <c r="N414" s="2"/>
      <c r="O414" s="2">
        <f t="shared" ref="O414:T414" si="231">ROUND(AB414,2)</f>
        <v>289647810.39999998</v>
      </c>
      <c r="P414" s="2">
        <f t="shared" si="231"/>
        <v>289647810.39999998</v>
      </c>
      <c r="Q414" s="2">
        <f t="shared" si="231"/>
        <v>0</v>
      </c>
      <c r="R414" s="2">
        <f t="shared" si="231"/>
        <v>0</v>
      </c>
      <c r="S414" s="2">
        <f t="shared" si="231"/>
        <v>0</v>
      </c>
      <c r="T414" s="2">
        <f t="shared" si="231"/>
        <v>0</v>
      </c>
      <c r="U414" s="2">
        <f>AH414</f>
        <v>0</v>
      </c>
      <c r="V414" s="2">
        <f>AI414</f>
        <v>0</v>
      </c>
      <c r="W414" s="2">
        <f>ROUND(AJ414,2)</f>
        <v>0</v>
      </c>
      <c r="X414" s="2">
        <f>ROUND(AK414,2)</f>
        <v>0</v>
      </c>
      <c r="Y414" s="2">
        <f>ROUND(AL414,2)</f>
        <v>0</v>
      </c>
      <c r="Z414" s="2"/>
      <c r="AA414" s="2"/>
      <c r="AB414" s="2">
        <f>ROUND(SUMIF(AA404:AA412,"=49688178",O404:O412),2)</f>
        <v>289647810.39999998</v>
      </c>
      <c r="AC414" s="2">
        <f>ROUND(SUMIF(AA404:AA412,"=49688178",P404:P412),2)</f>
        <v>289647810.39999998</v>
      </c>
      <c r="AD414" s="2">
        <f>ROUND(SUMIF(AA404:AA412,"=49688178",Q404:Q412),2)</f>
        <v>0</v>
      </c>
      <c r="AE414" s="2">
        <f>ROUND(SUMIF(AA404:AA412,"=49688178",R404:R412),2)</f>
        <v>0</v>
      </c>
      <c r="AF414" s="2">
        <f>ROUND(SUMIF(AA404:AA412,"=49688178",S404:S412),2)</f>
        <v>0</v>
      </c>
      <c r="AG414" s="2">
        <f>ROUND(SUMIF(AA404:AA412,"=49688178",T404:T412),2)</f>
        <v>0</v>
      </c>
      <c r="AH414" s="2">
        <f>SUMIF(AA404:AA412,"=49688178",U404:U412)</f>
        <v>0</v>
      </c>
      <c r="AI414" s="2">
        <f>SUMIF(AA404:AA412,"=49688178",V404:V412)</f>
        <v>0</v>
      </c>
      <c r="AJ414" s="2">
        <f>ROUND(SUMIF(AA404:AA412,"=49688178",W404:W412),2)</f>
        <v>0</v>
      </c>
      <c r="AK414" s="2">
        <f>ROUND(SUMIF(AA404:AA412,"=49688178",X404:X412),2)</f>
        <v>0</v>
      </c>
      <c r="AL414" s="2">
        <f>ROUND(SUMIF(AA404:AA412,"=49688178",Y404:Y412),2)</f>
        <v>0</v>
      </c>
      <c r="AM414" s="2"/>
      <c r="AN414" s="2"/>
      <c r="AO414" s="2">
        <f t="shared" ref="AO414:BD414" si="232">ROUND(BX414,2)</f>
        <v>0</v>
      </c>
      <c r="AP414" s="2">
        <f t="shared" si="232"/>
        <v>0</v>
      </c>
      <c r="AQ414" s="2">
        <f t="shared" si="232"/>
        <v>0</v>
      </c>
      <c r="AR414" s="2">
        <f t="shared" si="232"/>
        <v>289647810.39999998</v>
      </c>
      <c r="AS414" s="2">
        <f t="shared" si="232"/>
        <v>289647810.39999998</v>
      </c>
      <c r="AT414" s="2">
        <f t="shared" si="232"/>
        <v>0</v>
      </c>
      <c r="AU414" s="2">
        <f t="shared" si="232"/>
        <v>0</v>
      </c>
      <c r="AV414" s="2">
        <f t="shared" si="232"/>
        <v>289647810.39999998</v>
      </c>
      <c r="AW414" s="2">
        <f t="shared" si="232"/>
        <v>289647810.39999998</v>
      </c>
      <c r="AX414" s="2">
        <f t="shared" si="232"/>
        <v>0</v>
      </c>
      <c r="AY414" s="2">
        <f t="shared" si="232"/>
        <v>289647810.39999998</v>
      </c>
      <c r="AZ414" s="2">
        <f t="shared" si="232"/>
        <v>0</v>
      </c>
      <c r="BA414" s="2">
        <f t="shared" si="232"/>
        <v>0</v>
      </c>
      <c r="BB414" s="2">
        <f t="shared" si="232"/>
        <v>0</v>
      </c>
      <c r="BC414" s="2">
        <f t="shared" si="232"/>
        <v>0</v>
      </c>
      <c r="BD414" s="2">
        <f t="shared" si="232"/>
        <v>0</v>
      </c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>
        <f>ROUND(SUMIF(AA404:AA412,"=49688178",FQ404:FQ412),2)</f>
        <v>0</v>
      </c>
      <c r="BY414" s="2">
        <f>ROUND(SUMIF(AA404:AA412,"=49688178",FR404:FR412),2)</f>
        <v>0</v>
      </c>
      <c r="BZ414" s="2">
        <f>ROUND(SUMIF(AA404:AA412,"=49688178",GL404:GL412),2)</f>
        <v>0</v>
      </c>
      <c r="CA414" s="2">
        <f>ROUND(SUMIF(AA404:AA412,"=49688178",GM404:GM412),2)</f>
        <v>289647810.39999998</v>
      </c>
      <c r="CB414" s="2">
        <f>ROUND(SUMIF(AA404:AA412,"=49688178",GN404:GN412),2)</f>
        <v>289647810.39999998</v>
      </c>
      <c r="CC414" s="2">
        <f>ROUND(SUMIF(AA404:AA412,"=49688178",GO404:GO412),2)</f>
        <v>0</v>
      </c>
      <c r="CD414" s="2">
        <f>ROUND(SUMIF(AA404:AA412,"=49688178",GP404:GP412),2)</f>
        <v>0</v>
      </c>
      <c r="CE414" s="2">
        <f>AC414-BX414</f>
        <v>289647810.39999998</v>
      </c>
      <c r="CF414" s="2">
        <f>AC414-BY414</f>
        <v>289647810.39999998</v>
      </c>
      <c r="CG414" s="2">
        <f>BX414-BZ414</f>
        <v>0</v>
      </c>
      <c r="CH414" s="2">
        <f>AC414-BX414-BY414+BZ414</f>
        <v>289647810.39999998</v>
      </c>
      <c r="CI414" s="2">
        <f>BY414-BZ414</f>
        <v>0</v>
      </c>
      <c r="CJ414" s="2">
        <f>ROUND(SUMIF(AA404:AA412,"=49688178",GX404:GX412),2)</f>
        <v>0</v>
      </c>
      <c r="CK414" s="2">
        <f>ROUND(SUMIF(AA404:AA412,"=49688178",GY404:GY412),2)</f>
        <v>0</v>
      </c>
      <c r="CL414" s="2">
        <f>ROUND(SUMIF(AA404:AA412,"=49688178",GZ404:GZ412),2)</f>
        <v>0</v>
      </c>
      <c r="CM414" s="2">
        <f>ROUND(SUMIF(AA404:AA412,"=49688178",HD404:HD412),2)</f>
        <v>0</v>
      </c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>
        <v>0</v>
      </c>
    </row>
    <row r="416" spans="1:245" x14ac:dyDescent="0.2">
      <c r="A416" s="4">
        <v>50</v>
      </c>
      <c r="B416" s="4">
        <v>0</v>
      </c>
      <c r="C416" s="4">
        <v>0</v>
      </c>
      <c r="D416" s="4">
        <v>1</v>
      </c>
      <c r="E416" s="4">
        <v>201</v>
      </c>
      <c r="F416" s="4">
        <f>ROUND(Source!O414,O416)</f>
        <v>289647810.39999998</v>
      </c>
      <c r="G416" s="4" t="s">
        <v>51</v>
      </c>
      <c r="H416" s="4" t="s">
        <v>52</v>
      </c>
      <c r="I416" s="4"/>
      <c r="J416" s="4"/>
      <c r="K416" s="4">
        <v>201</v>
      </c>
      <c r="L416" s="4">
        <v>1</v>
      </c>
      <c r="M416" s="4">
        <v>3</v>
      </c>
      <c r="N416" s="4" t="s">
        <v>5</v>
      </c>
      <c r="O416" s="4">
        <v>2</v>
      </c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4">
        <v>50</v>
      </c>
      <c r="B417" s="4">
        <v>0</v>
      </c>
      <c r="C417" s="4">
        <v>0</v>
      </c>
      <c r="D417" s="4">
        <v>1</v>
      </c>
      <c r="E417" s="4">
        <v>202</v>
      </c>
      <c r="F417" s="4">
        <f>ROUND(Source!P414,O417)</f>
        <v>289647810.39999998</v>
      </c>
      <c r="G417" s="4" t="s">
        <v>53</v>
      </c>
      <c r="H417" s="4" t="s">
        <v>54</v>
      </c>
      <c r="I417" s="4"/>
      <c r="J417" s="4"/>
      <c r="K417" s="4">
        <v>202</v>
      </c>
      <c r="L417" s="4">
        <v>2</v>
      </c>
      <c r="M417" s="4">
        <v>3</v>
      </c>
      <c r="N417" s="4" t="s">
        <v>5</v>
      </c>
      <c r="O417" s="4">
        <v>2</v>
      </c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4">
        <v>50</v>
      </c>
      <c r="B418" s="4">
        <v>0</v>
      </c>
      <c r="C418" s="4">
        <v>0</v>
      </c>
      <c r="D418" s="4">
        <v>1</v>
      </c>
      <c r="E418" s="4">
        <v>222</v>
      </c>
      <c r="F418" s="4">
        <f>ROUND(Source!AO414,O418)</f>
        <v>0</v>
      </c>
      <c r="G418" s="4" t="s">
        <v>55</v>
      </c>
      <c r="H418" s="4" t="s">
        <v>56</v>
      </c>
      <c r="I418" s="4"/>
      <c r="J418" s="4"/>
      <c r="K418" s="4">
        <v>222</v>
      </c>
      <c r="L418" s="4">
        <v>3</v>
      </c>
      <c r="M418" s="4">
        <v>3</v>
      </c>
      <c r="N418" s="4" t="s">
        <v>5</v>
      </c>
      <c r="O418" s="4">
        <v>2</v>
      </c>
      <c r="P418" s="4"/>
      <c r="Q418" s="4"/>
      <c r="R418" s="4"/>
      <c r="S418" s="4"/>
      <c r="T418" s="4"/>
      <c r="U418" s="4"/>
      <c r="V418" s="4"/>
      <c r="W418" s="4"/>
    </row>
    <row r="419" spans="1:23" x14ac:dyDescent="0.2">
      <c r="A419" s="4">
        <v>50</v>
      </c>
      <c r="B419" s="4">
        <v>0</v>
      </c>
      <c r="C419" s="4">
        <v>0</v>
      </c>
      <c r="D419" s="4">
        <v>1</v>
      </c>
      <c r="E419" s="4">
        <v>225</v>
      </c>
      <c r="F419" s="4">
        <f>ROUND(Source!AV414,O419)</f>
        <v>289647810.39999998</v>
      </c>
      <c r="G419" s="4" t="s">
        <v>57</v>
      </c>
      <c r="H419" s="4" t="s">
        <v>58</v>
      </c>
      <c r="I419" s="4"/>
      <c r="J419" s="4"/>
      <c r="K419" s="4">
        <v>225</v>
      </c>
      <c r="L419" s="4">
        <v>4</v>
      </c>
      <c r="M419" s="4">
        <v>3</v>
      </c>
      <c r="N419" s="4" t="s">
        <v>5</v>
      </c>
      <c r="O419" s="4">
        <v>2</v>
      </c>
      <c r="P419" s="4"/>
      <c r="Q419" s="4"/>
      <c r="R419" s="4"/>
      <c r="S419" s="4"/>
      <c r="T419" s="4"/>
      <c r="U419" s="4"/>
      <c r="V419" s="4"/>
      <c r="W419" s="4"/>
    </row>
    <row r="420" spans="1:23" x14ac:dyDescent="0.2">
      <c r="A420" s="4">
        <v>50</v>
      </c>
      <c r="B420" s="4">
        <v>0</v>
      </c>
      <c r="C420" s="4">
        <v>0</v>
      </c>
      <c r="D420" s="4">
        <v>1</v>
      </c>
      <c r="E420" s="4">
        <v>226</v>
      </c>
      <c r="F420" s="4">
        <f>ROUND(Source!AW414,O420)</f>
        <v>289647810.39999998</v>
      </c>
      <c r="G420" s="4" t="s">
        <v>59</v>
      </c>
      <c r="H420" s="4" t="s">
        <v>60</v>
      </c>
      <c r="I420" s="4"/>
      <c r="J420" s="4"/>
      <c r="K420" s="4">
        <v>226</v>
      </c>
      <c r="L420" s="4">
        <v>5</v>
      </c>
      <c r="M420" s="4">
        <v>3</v>
      </c>
      <c r="N420" s="4" t="s">
        <v>5</v>
      </c>
      <c r="O420" s="4">
        <v>2</v>
      </c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4">
        <v>50</v>
      </c>
      <c r="B421" s="4">
        <v>0</v>
      </c>
      <c r="C421" s="4">
        <v>0</v>
      </c>
      <c r="D421" s="4">
        <v>1</v>
      </c>
      <c r="E421" s="4">
        <v>227</v>
      </c>
      <c r="F421" s="4">
        <f>ROUND(Source!AX414,O421)</f>
        <v>0</v>
      </c>
      <c r="G421" s="4" t="s">
        <v>61</v>
      </c>
      <c r="H421" s="4" t="s">
        <v>62</v>
      </c>
      <c r="I421" s="4"/>
      <c r="J421" s="4"/>
      <c r="K421" s="4">
        <v>227</v>
      </c>
      <c r="L421" s="4">
        <v>6</v>
      </c>
      <c r="M421" s="4">
        <v>3</v>
      </c>
      <c r="N421" s="4" t="s">
        <v>5</v>
      </c>
      <c r="O421" s="4">
        <v>2</v>
      </c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4">
        <v>50</v>
      </c>
      <c r="B422" s="4">
        <v>0</v>
      </c>
      <c r="C422" s="4">
        <v>0</v>
      </c>
      <c r="D422" s="4">
        <v>1</v>
      </c>
      <c r="E422" s="4">
        <v>228</v>
      </c>
      <c r="F422" s="4">
        <f>ROUND(Source!AY414,O422)</f>
        <v>289647810.39999998</v>
      </c>
      <c r="G422" s="4" t="s">
        <v>63</v>
      </c>
      <c r="H422" s="4" t="s">
        <v>64</v>
      </c>
      <c r="I422" s="4"/>
      <c r="J422" s="4"/>
      <c r="K422" s="4">
        <v>228</v>
      </c>
      <c r="L422" s="4">
        <v>7</v>
      </c>
      <c r="M422" s="4">
        <v>3</v>
      </c>
      <c r="N422" s="4" t="s">
        <v>5</v>
      </c>
      <c r="O422" s="4">
        <v>2</v>
      </c>
      <c r="P422" s="4"/>
      <c r="Q422" s="4"/>
      <c r="R422" s="4"/>
      <c r="S422" s="4"/>
      <c r="T422" s="4"/>
      <c r="U422" s="4"/>
      <c r="V422" s="4"/>
      <c r="W422" s="4"/>
    </row>
    <row r="423" spans="1:23" x14ac:dyDescent="0.2">
      <c r="A423" s="4">
        <v>50</v>
      </c>
      <c r="B423" s="4">
        <v>0</v>
      </c>
      <c r="C423" s="4">
        <v>0</v>
      </c>
      <c r="D423" s="4">
        <v>1</v>
      </c>
      <c r="E423" s="4">
        <v>216</v>
      </c>
      <c r="F423" s="4">
        <f>ROUND(Source!AP414,O423)</f>
        <v>0</v>
      </c>
      <c r="G423" s="4" t="s">
        <v>65</v>
      </c>
      <c r="H423" s="4" t="s">
        <v>66</v>
      </c>
      <c r="I423" s="4"/>
      <c r="J423" s="4"/>
      <c r="K423" s="4">
        <v>216</v>
      </c>
      <c r="L423" s="4">
        <v>8</v>
      </c>
      <c r="M423" s="4">
        <v>3</v>
      </c>
      <c r="N423" s="4" t="s">
        <v>5</v>
      </c>
      <c r="O423" s="4">
        <v>2</v>
      </c>
      <c r="P423" s="4"/>
      <c r="Q423" s="4"/>
      <c r="R423" s="4"/>
      <c r="S423" s="4"/>
      <c r="T423" s="4"/>
      <c r="U423" s="4"/>
      <c r="V423" s="4"/>
      <c r="W423" s="4"/>
    </row>
    <row r="424" spans="1:23" x14ac:dyDescent="0.2">
      <c r="A424" s="4">
        <v>50</v>
      </c>
      <c r="B424" s="4">
        <v>0</v>
      </c>
      <c r="C424" s="4">
        <v>0</v>
      </c>
      <c r="D424" s="4">
        <v>1</v>
      </c>
      <c r="E424" s="4">
        <v>223</v>
      </c>
      <c r="F424" s="4">
        <f>ROUND(Source!AQ414,O424)</f>
        <v>0</v>
      </c>
      <c r="G424" s="4" t="s">
        <v>67</v>
      </c>
      <c r="H424" s="4" t="s">
        <v>68</v>
      </c>
      <c r="I424" s="4"/>
      <c r="J424" s="4"/>
      <c r="K424" s="4">
        <v>223</v>
      </c>
      <c r="L424" s="4">
        <v>9</v>
      </c>
      <c r="M424" s="4">
        <v>3</v>
      </c>
      <c r="N424" s="4" t="s">
        <v>5</v>
      </c>
      <c r="O424" s="4">
        <v>2</v>
      </c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4">
        <v>50</v>
      </c>
      <c r="B425" s="4">
        <v>0</v>
      </c>
      <c r="C425" s="4">
        <v>0</v>
      </c>
      <c r="D425" s="4">
        <v>1</v>
      </c>
      <c r="E425" s="4">
        <v>229</v>
      </c>
      <c r="F425" s="4">
        <f>ROUND(Source!AZ414,O425)</f>
        <v>0</v>
      </c>
      <c r="G425" s="4" t="s">
        <v>69</v>
      </c>
      <c r="H425" s="4" t="s">
        <v>70</v>
      </c>
      <c r="I425" s="4"/>
      <c r="J425" s="4"/>
      <c r="K425" s="4">
        <v>229</v>
      </c>
      <c r="L425" s="4">
        <v>10</v>
      </c>
      <c r="M425" s="4">
        <v>3</v>
      </c>
      <c r="N425" s="4" t="s">
        <v>5</v>
      </c>
      <c r="O425" s="4">
        <v>2</v>
      </c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4">
        <v>50</v>
      </c>
      <c r="B426" s="4">
        <v>0</v>
      </c>
      <c r="C426" s="4">
        <v>0</v>
      </c>
      <c r="D426" s="4">
        <v>1</v>
      </c>
      <c r="E426" s="4">
        <v>203</v>
      </c>
      <c r="F426" s="4">
        <f>ROUND(Source!Q414,O426)</f>
        <v>0</v>
      </c>
      <c r="G426" s="4" t="s">
        <v>71</v>
      </c>
      <c r="H426" s="4" t="s">
        <v>72</v>
      </c>
      <c r="I426" s="4"/>
      <c r="J426" s="4"/>
      <c r="K426" s="4">
        <v>203</v>
      </c>
      <c r="L426" s="4">
        <v>11</v>
      </c>
      <c r="M426" s="4">
        <v>3</v>
      </c>
      <c r="N426" s="4" t="s">
        <v>5</v>
      </c>
      <c r="O426" s="4">
        <v>2</v>
      </c>
      <c r="P426" s="4"/>
      <c r="Q426" s="4"/>
      <c r="R426" s="4"/>
      <c r="S426" s="4"/>
      <c r="T426" s="4"/>
      <c r="U426" s="4"/>
      <c r="V426" s="4"/>
      <c r="W426" s="4"/>
    </row>
    <row r="427" spans="1:23" x14ac:dyDescent="0.2">
      <c r="A427" s="4">
        <v>50</v>
      </c>
      <c r="B427" s="4">
        <v>0</v>
      </c>
      <c r="C427" s="4">
        <v>0</v>
      </c>
      <c r="D427" s="4">
        <v>1</v>
      </c>
      <c r="E427" s="4">
        <v>231</v>
      </c>
      <c r="F427" s="4">
        <f>ROUND(Source!BB414,O427)</f>
        <v>0</v>
      </c>
      <c r="G427" s="4" t="s">
        <v>73</v>
      </c>
      <c r="H427" s="4" t="s">
        <v>74</v>
      </c>
      <c r="I427" s="4"/>
      <c r="J427" s="4"/>
      <c r="K427" s="4">
        <v>231</v>
      </c>
      <c r="L427" s="4">
        <v>12</v>
      </c>
      <c r="M427" s="4">
        <v>3</v>
      </c>
      <c r="N427" s="4" t="s">
        <v>5</v>
      </c>
      <c r="O427" s="4">
        <v>2</v>
      </c>
      <c r="P427" s="4"/>
      <c r="Q427" s="4"/>
      <c r="R427" s="4"/>
      <c r="S427" s="4"/>
      <c r="T427" s="4"/>
      <c r="U427" s="4"/>
      <c r="V427" s="4"/>
      <c r="W427" s="4"/>
    </row>
    <row r="428" spans="1:23" x14ac:dyDescent="0.2">
      <c r="A428" s="4">
        <v>50</v>
      </c>
      <c r="B428" s="4">
        <v>0</v>
      </c>
      <c r="C428" s="4">
        <v>0</v>
      </c>
      <c r="D428" s="4">
        <v>1</v>
      </c>
      <c r="E428" s="4">
        <v>204</v>
      </c>
      <c r="F428" s="4">
        <f>ROUND(Source!R414,O428)</f>
        <v>0</v>
      </c>
      <c r="G428" s="4" t="s">
        <v>75</v>
      </c>
      <c r="H428" s="4" t="s">
        <v>76</v>
      </c>
      <c r="I428" s="4"/>
      <c r="J428" s="4"/>
      <c r="K428" s="4">
        <v>204</v>
      </c>
      <c r="L428" s="4">
        <v>13</v>
      </c>
      <c r="M428" s="4">
        <v>3</v>
      </c>
      <c r="N428" s="4" t="s">
        <v>5</v>
      </c>
      <c r="O428" s="4">
        <v>2</v>
      </c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4">
        <v>50</v>
      </c>
      <c r="B429" s="4">
        <v>0</v>
      </c>
      <c r="C429" s="4">
        <v>0</v>
      </c>
      <c r="D429" s="4">
        <v>1</v>
      </c>
      <c r="E429" s="4">
        <v>205</v>
      </c>
      <c r="F429" s="4">
        <f>ROUND(Source!S414,O429)</f>
        <v>0</v>
      </c>
      <c r="G429" s="4" t="s">
        <v>77</v>
      </c>
      <c r="H429" s="4" t="s">
        <v>78</v>
      </c>
      <c r="I429" s="4"/>
      <c r="J429" s="4"/>
      <c r="K429" s="4">
        <v>205</v>
      </c>
      <c r="L429" s="4">
        <v>14</v>
      </c>
      <c r="M429" s="4">
        <v>3</v>
      </c>
      <c r="N429" s="4" t="s">
        <v>5</v>
      </c>
      <c r="O429" s="4">
        <v>2</v>
      </c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4">
        <v>50</v>
      </c>
      <c r="B430" s="4">
        <v>0</v>
      </c>
      <c r="C430" s="4">
        <v>0</v>
      </c>
      <c r="D430" s="4">
        <v>1</v>
      </c>
      <c r="E430" s="4">
        <v>232</v>
      </c>
      <c r="F430" s="4">
        <f>ROUND(Source!BC414,O430)</f>
        <v>0</v>
      </c>
      <c r="G430" s="4" t="s">
        <v>79</v>
      </c>
      <c r="H430" s="4" t="s">
        <v>80</v>
      </c>
      <c r="I430" s="4"/>
      <c r="J430" s="4"/>
      <c r="K430" s="4">
        <v>232</v>
      </c>
      <c r="L430" s="4">
        <v>15</v>
      </c>
      <c r="M430" s="4">
        <v>3</v>
      </c>
      <c r="N430" s="4" t="s">
        <v>5</v>
      </c>
      <c r="O430" s="4">
        <v>2</v>
      </c>
      <c r="P430" s="4"/>
      <c r="Q430" s="4"/>
      <c r="R430" s="4"/>
      <c r="S430" s="4"/>
      <c r="T430" s="4"/>
      <c r="U430" s="4"/>
      <c r="V430" s="4"/>
      <c r="W430" s="4"/>
    </row>
    <row r="431" spans="1:23" x14ac:dyDescent="0.2">
      <c r="A431" s="4">
        <v>50</v>
      </c>
      <c r="B431" s="4">
        <v>0</v>
      </c>
      <c r="C431" s="4">
        <v>0</v>
      </c>
      <c r="D431" s="4">
        <v>1</v>
      </c>
      <c r="E431" s="4">
        <v>214</v>
      </c>
      <c r="F431" s="4">
        <f>ROUND(Source!AS414,O431)</f>
        <v>289647810.39999998</v>
      </c>
      <c r="G431" s="4" t="s">
        <v>81</v>
      </c>
      <c r="H431" s="4" t="s">
        <v>82</v>
      </c>
      <c r="I431" s="4"/>
      <c r="J431" s="4"/>
      <c r="K431" s="4">
        <v>214</v>
      </c>
      <c r="L431" s="4">
        <v>16</v>
      </c>
      <c r="M431" s="4">
        <v>3</v>
      </c>
      <c r="N431" s="4" t="s">
        <v>5</v>
      </c>
      <c r="O431" s="4">
        <v>2</v>
      </c>
      <c r="P431" s="4"/>
      <c r="Q431" s="4"/>
      <c r="R431" s="4"/>
      <c r="S431" s="4"/>
      <c r="T431" s="4"/>
      <c r="U431" s="4"/>
      <c r="V431" s="4"/>
      <c r="W431" s="4"/>
    </row>
    <row r="432" spans="1:23" x14ac:dyDescent="0.2">
      <c r="A432" s="4">
        <v>50</v>
      </c>
      <c r="B432" s="4">
        <v>0</v>
      </c>
      <c r="C432" s="4">
        <v>0</v>
      </c>
      <c r="D432" s="4">
        <v>1</v>
      </c>
      <c r="E432" s="4">
        <v>215</v>
      </c>
      <c r="F432" s="4">
        <f>ROUND(Source!AT414,O432)</f>
        <v>0</v>
      </c>
      <c r="G432" s="4" t="s">
        <v>83</v>
      </c>
      <c r="H432" s="4" t="s">
        <v>84</v>
      </c>
      <c r="I432" s="4"/>
      <c r="J432" s="4"/>
      <c r="K432" s="4">
        <v>215</v>
      </c>
      <c r="L432" s="4">
        <v>17</v>
      </c>
      <c r="M432" s="4">
        <v>3</v>
      </c>
      <c r="N432" s="4" t="s">
        <v>5</v>
      </c>
      <c r="O432" s="4">
        <v>2</v>
      </c>
      <c r="P432" s="4"/>
      <c r="Q432" s="4"/>
      <c r="R432" s="4"/>
      <c r="S432" s="4"/>
      <c r="T432" s="4"/>
      <c r="U432" s="4"/>
      <c r="V432" s="4"/>
      <c r="W432" s="4"/>
    </row>
    <row r="433" spans="1:245" x14ac:dyDescent="0.2">
      <c r="A433" s="4">
        <v>50</v>
      </c>
      <c r="B433" s="4">
        <v>0</v>
      </c>
      <c r="C433" s="4">
        <v>0</v>
      </c>
      <c r="D433" s="4">
        <v>1</v>
      </c>
      <c r="E433" s="4">
        <v>217</v>
      </c>
      <c r="F433" s="4">
        <f>ROUND(Source!AU414,O433)</f>
        <v>0</v>
      </c>
      <c r="G433" s="4" t="s">
        <v>85</v>
      </c>
      <c r="H433" s="4" t="s">
        <v>86</v>
      </c>
      <c r="I433" s="4"/>
      <c r="J433" s="4"/>
      <c r="K433" s="4">
        <v>217</v>
      </c>
      <c r="L433" s="4">
        <v>18</v>
      </c>
      <c r="M433" s="4">
        <v>3</v>
      </c>
      <c r="N433" s="4" t="s">
        <v>5</v>
      </c>
      <c r="O433" s="4">
        <v>2</v>
      </c>
      <c r="P433" s="4"/>
      <c r="Q433" s="4"/>
      <c r="R433" s="4"/>
      <c r="S433" s="4"/>
      <c r="T433" s="4"/>
      <c r="U433" s="4"/>
      <c r="V433" s="4"/>
      <c r="W433" s="4"/>
    </row>
    <row r="434" spans="1:245" x14ac:dyDescent="0.2">
      <c r="A434" s="4">
        <v>50</v>
      </c>
      <c r="B434" s="4">
        <v>0</v>
      </c>
      <c r="C434" s="4">
        <v>0</v>
      </c>
      <c r="D434" s="4">
        <v>1</v>
      </c>
      <c r="E434" s="4">
        <v>230</v>
      </c>
      <c r="F434" s="4">
        <f>ROUND(Source!BA414,O434)</f>
        <v>0</v>
      </c>
      <c r="G434" s="4" t="s">
        <v>87</v>
      </c>
      <c r="H434" s="4" t="s">
        <v>88</v>
      </c>
      <c r="I434" s="4"/>
      <c r="J434" s="4"/>
      <c r="K434" s="4">
        <v>230</v>
      </c>
      <c r="L434" s="4">
        <v>19</v>
      </c>
      <c r="M434" s="4">
        <v>3</v>
      </c>
      <c r="N434" s="4" t="s">
        <v>5</v>
      </c>
      <c r="O434" s="4">
        <v>2</v>
      </c>
      <c r="P434" s="4"/>
      <c r="Q434" s="4"/>
      <c r="R434" s="4"/>
      <c r="S434" s="4"/>
      <c r="T434" s="4"/>
      <c r="U434" s="4"/>
      <c r="V434" s="4"/>
      <c r="W434" s="4"/>
    </row>
    <row r="435" spans="1:245" x14ac:dyDescent="0.2">
      <c r="A435" s="4">
        <v>50</v>
      </c>
      <c r="B435" s="4">
        <v>0</v>
      </c>
      <c r="C435" s="4">
        <v>0</v>
      </c>
      <c r="D435" s="4">
        <v>1</v>
      </c>
      <c r="E435" s="4">
        <v>206</v>
      </c>
      <c r="F435" s="4">
        <f>ROUND(Source!T414,O435)</f>
        <v>0</v>
      </c>
      <c r="G435" s="4" t="s">
        <v>89</v>
      </c>
      <c r="H435" s="4" t="s">
        <v>90</v>
      </c>
      <c r="I435" s="4"/>
      <c r="J435" s="4"/>
      <c r="K435" s="4">
        <v>206</v>
      </c>
      <c r="L435" s="4">
        <v>20</v>
      </c>
      <c r="M435" s="4">
        <v>3</v>
      </c>
      <c r="N435" s="4" t="s">
        <v>5</v>
      </c>
      <c r="O435" s="4">
        <v>2</v>
      </c>
      <c r="P435" s="4"/>
      <c r="Q435" s="4"/>
      <c r="R435" s="4"/>
      <c r="S435" s="4"/>
      <c r="T435" s="4"/>
      <c r="U435" s="4"/>
      <c r="V435" s="4"/>
      <c r="W435" s="4"/>
    </row>
    <row r="436" spans="1:245" x14ac:dyDescent="0.2">
      <c r="A436" s="4">
        <v>50</v>
      </c>
      <c r="B436" s="4">
        <v>0</v>
      </c>
      <c r="C436" s="4">
        <v>0</v>
      </c>
      <c r="D436" s="4">
        <v>1</v>
      </c>
      <c r="E436" s="4">
        <v>207</v>
      </c>
      <c r="F436" s="4">
        <f>Source!U414</f>
        <v>0</v>
      </c>
      <c r="G436" s="4" t="s">
        <v>91</v>
      </c>
      <c r="H436" s="4" t="s">
        <v>92</v>
      </c>
      <c r="I436" s="4"/>
      <c r="J436" s="4"/>
      <c r="K436" s="4">
        <v>207</v>
      </c>
      <c r="L436" s="4">
        <v>21</v>
      </c>
      <c r="M436" s="4">
        <v>3</v>
      </c>
      <c r="N436" s="4" t="s">
        <v>5</v>
      </c>
      <c r="O436" s="4">
        <v>-1</v>
      </c>
      <c r="P436" s="4"/>
      <c r="Q436" s="4"/>
      <c r="R436" s="4"/>
      <c r="S436" s="4"/>
      <c r="T436" s="4"/>
      <c r="U436" s="4"/>
      <c r="V436" s="4"/>
      <c r="W436" s="4"/>
    </row>
    <row r="437" spans="1:245" x14ac:dyDescent="0.2">
      <c r="A437" s="4">
        <v>50</v>
      </c>
      <c r="B437" s="4">
        <v>0</v>
      </c>
      <c r="C437" s="4">
        <v>0</v>
      </c>
      <c r="D437" s="4">
        <v>1</v>
      </c>
      <c r="E437" s="4">
        <v>208</v>
      </c>
      <c r="F437" s="4">
        <f>Source!V414</f>
        <v>0</v>
      </c>
      <c r="G437" s="4" t="s">
        <v>93</v>
      </c>
      <c r="H437" s="4" t="s">
        <v>94</v>
      </c>
      <c r="I437" s="4"/>
      <c r="J437" s="4"/>
      <c r="K437" s="4">
        <v>208</v>
      </c>
      <c r="L437" s="4">
        <v>22</v>
      </c>
      <c r="M437" s="4">
        <v>3</v>
      </c>
      <c r="N437" s="4" t="s">
        <v>5</v>
      </c>
      <c r="O437" s="4">
        <v>-1</v>
      </c>
      <c r="P437" s="4"/>
      <c r="Q437" s="4"/>
      <c r="R437" s="4"/>
      <c r="S437" s="4"/>
      <c r="T437" s="4"/>
      <c r="U437" s="4"/>
      <c r="V437" s="4"/>
      <c r="W437" s="4"/>
    </row>
    <row r="438" spans="1:245" x14ac:dyDescent="0.2">
      <c r="A438" s="4">
        <v>50</v>
      </c>
      <c r="B438" s="4">
        <v>0</v>
      </c>
      <c r="C438" s="4">
        <v>0</v>
      </c>
      <c r="D438" s="4">
        <v>1</v>
      </c>
      <c r="E438" s="4">
        <v>209</v>
      </c>
      <c r="F438" s="4">
        <f>ROUND(Source!W414,O438)</f>
        <v>0</v>
      </c>
      <c r="G438" s="4" t="s">
        <v>95</v>
      </c>
      <c r="H438" s="4" t="s">
        <v>96</v>
      </c>
      <c r="I438" s="4"/>
      <c r="J438" s="4"/>
      <c r="K438" s="4">
        <v>209</v>
      </c>
      <c r="L438" s="4">
        <v>23</v>
      </c>
      <c r="M438" s="4">
        <v>3</v>
      </c>
      <c r="N438" s="4" t="s">
        <v>5</v>
      </c>
      <c r="O438" s="4">
        <v>2</v>
      </c>
      <c r="P438" s="4"/>
      <c r="Q438" s="4"/>
      <c r="R438" s="4"/>
      <c r="S438" s="4"/>
      <c r="T438" s="4"/>
      <c r="U438" s="4"/>
      <c r="V438" s="4"/>
      <c r="W438" s="4"/>
    </row>
    <row r="439" spans="1:245" x14ac:dyDescent="0.2">
      <c r="A439" s="4">
        <v>50</v>
      </c>
      <c r="B439" s="4">
        <v>0</v>
      </c>
      <c r="C439" s="4">
        <v>0</v>
      </c>
      <c r="D439" s="4">
        <v>1</v>
      </c>
      <c r="E439" s="4">
        <v>233</v>
      </c>
      <c r="F439" s="4">
        <f>ROUND(Source!BD414,O439)</f>
        <v>0</v>
      </c>
      <c r="G439" s="4" t="s">
        <v>97</v>
      </c>
      <c r="H439" s="4" t="s">
        <v>98</v>
      </c>
      <c r="I439" s="4"/>
      <c r="J439" s="4"/>
      <c r="K439" s="4">
        <v>233</v>
      </c>
      <c r="L439" s="4">
        <v>24</v>
      </c>
      <c r="M439" s="4">
        <v>3</v>
      </c>
      <c r="N439" s="4" t="s">
        <v>5</v>
      </c>
      <c r="O439" s="4">
        <v>2</v>
      </c>
      <c r="P439" s="4"/>
      <c r="Q439" s="4"/>
      <c r="R439" s="4"/>
      <c r="S439" s="4"/>
      <c r="T439" s="4"/>
      <c r="U439" s="4"/>
      <c r="V439" s="4"/>
      <c r="W439" s="4"/>
    </row>
    <row r="440" spans="1:245" x14ac:dyDescent="0.2">
      <c r="A440" s="4">
        <v>50</v>
      </c>
      <c r="B440" s="4">
        <v>0</v>
      </c>
      <c r="C440" s="4">
        <v>0</v>
      </c>
      <c r="D440" s="4">
        <v>1</v>
      </c>
      <c r="E440" s="4">
        <v>210</v>
      </c>
      <c r="F440" s="4">
        <f>ROUND(Source!X414,O440)</f>
        <v>0</v>
      </c>
      <c r="G440" s="4" t="s">
        <v>99</v>
      </c>
      <c r="H440" s="4" t="s">
        <v>100</v>
      </c>
      <c r="I440" s="4"/>
      <c r="J440" s="4"/>
      <c r="K440" s="4">
        <v>210</v>
      </c>
      <c r="L440" s="4">
        <v>25</v>
      </c>
      <c r="M440" s="4">
        <v>3</v>
      </c>
      <c r="N440" s="4" t="s">
        <v>5</v>
      </c>
      <c r="O440" s="4">
        <v>2</v>
      </c>
      <c r="P440" s="4"/>
      <c r="Q440" s="4"/>
      <c r="R440" s="4"/>
      <c r="S440" s="4"/>
      <c r="T440" s="4"/>
      <c r="U440" s="4"/>
      <c r="V440" s="4"/>
      <c r="W440" s="4"/>
    </row>
    <row r="441" spans="1:245" x14ac:dyDescent="0.2">
      <c r="A441" s="4">
        <v>50</v>
      </c>
      <c r="B441" s="4">
        <v>0</v>
      </c>
      <c r="C441" s="4">
        <v>0</v>
      </c>
      <c r="D441" s="4">
        <v>1</v>
      </c>
      <c r="E441" s="4">
        <v>211</v>
      </c>
      <c r="F441" s="4">
        <f>ROUND(Source!Y414,O441)</f>
        <v>0</v>
      </c>
      <c r="G441" s="4" t="s">
        <v>101</v>
      </c>
      <c r="H441" s="4" t="s">
        <v>102</v>
      </c>
      <c r="I441" s="4"/>
      <c r="J441" s="4"/>
      <c r="K441" s="4">
        <v>211</v>
      </c>
      <c r="L441" s="4">
        <v>26</v>
      </c>
      <c r="M441" s="4">
        <v>3</v>
      </c>
      <c r="N441" s="4" t="s">
        <v>5</v>
      </c>
      <c r="O441" s="4">
        <v>2</v>
      </c>
      <c r="P441" s="4"/>
      <c r="Q441" s="4"/>
      <c r="R441" s="4"/>
      <c r="S441" s="4"/>
      <c r="T441" s="4"/>
      <c r="U441" s="4"/>
      <c r="V441" s="4"/>
      <c r="W441" s="4"/>
    </row>
    <row r="442" spans="1:245" x14ac:dyDescent="0.2">
      <c r="A442" s="4">
        <v>50</v>
      </c>
      <c r="B442" s="4">
        <v>0</v>
      </c>
      <c r="C442" s="4">
        <v>0</v>
      </c>
      <c r="D442" s="4">
        <v>1</v>
      </c>
      <c r="E442" s="4">
        <v>224</v>
      </c>
      <c r="F442" s="4">
        <f>ROUND(Source!AR414,O442)</f>
        <v>289647810.39999998</v>
      </c>
      <c r="G442" s="4" t="s">
        <v>103</v>
      </c>
      <c r="H442" s="4" t="s">
        <v>104</v>
      </c>
      <c r="I442" s="4"/>
      <c r="J442" s="4"/>
      <c r="K442" s="4">
        <v>224</v>
      </c>
      <c r="L442" s="4">
        <v>27</v>
      </c>
      <c r="M442" s="4">
        <v>3</v>
      </c>
      <c r="N442" s="4" t="s">
        <v>5</v>
      </c>
      <c r="O442" s="4">
        <v>2</v>
      </c>
      <c r="P442" s="4"/>
      <c r="Q442" s="4"/>
      <c r="R442" s="4"/>
      <c r="S442" s="4"/>
      <c r="T442" s="4"/>
      <c r="U442" s="4"/>
      <c r="V442" s="4"/>
      <c r="W442" s="4"/>
    </row>
    <row r="444" spans="1:245" x14ac:dyDescent="0.2">
      <c r="A444" s="1">
        <v>4</v>
      </c>
      <c r="B444" s="1">
        <v>1</v>
      </c>
      <c r="C444" s="1"/>
      <c r="D444" s="1">
        <f>ROW(A456)</f>
        <v>456</v>
      </c>
      <c r="E444" s="1"/>
      <c r="F444" s="1" t="s">
        <v>14</v>
      </c>
      <c r="G444" s="1" t="s">
        <v>195</v>
      </c>
      <c r="H444" s="1" t="s">
        <v>5</v>
      </c>
      <c r="I444" s="1">
        <v>0</v>
      </c>
      <c r="J444" s="1"/>
      <c r="K444" s="1">
        <v>-1</v>
      </c>
      <c r="L444" s="1"/>
      <c r="M444" s="1" t="s">
        <v>5</v>
      </c>
      <c r="N444" s="1"/>
      <c r="O444" s="1"/>
      <c r="P444" s="1"/>
      <c r="Q444" s="1"/>
      <c r="R444" s="1"/>
      <c r="S444" s="1">
        <v>0</v>
      </c>
      <c r="T444" s="1"/>
      <c r="U444" s="1" t="s">
        <v>5</v>
      </c>
      <c r="V444" s="1">
        <v>0</v>
      </c>
      <c r="W444" s="1"/>
      <c r="X444" s="1"/>
      <c r="Y444" s="1"/>
      <c r="Z444" s="1"/>
      <c r="AA444" s="1"/>
      <c r="AB444" s="1" t="s">
        <v>5</v>
      </c>
      <c r="AC444" s="1" t="s">
        <v>5</v>
      </c>
      <c r="AD444" s="1" t="s">
        <v>5</v>
      </c>
      <c r="AE444" s="1" t="s">
        <v>5</v>
      </c>
      <c r="AF444" s="1" t="s">
        <v>5</v>
      </c>
      <c r="AG444" s="1" t="s">
        <v>5</v>
      </c>
      <c r="AH444" s="1"/>
      <c r="AI444" s="1"/>
      <c r="AJ444" s="1"/>
      <c r="AK444" s="1"/>
      <c r="AL444" s="1"/>
      <c r="AM444" s="1"/>
      <c r="AN444" s="1"/>
      <c r="AO444" s="1"/>
      <c r="AP444" s="1" t="s">
        <v>5</v>
      </c>
      <c r="AQ444" s="1" t="s">
        <v>5</v>
      </c>
      <c r="AR444" s="1" t="s">
        <v>5</v>
      </c>
      <c r="AS444" s="1"/>
      <c r="AT444" s="1"/>
      <c r="AU444" s="1"/>
      <c r="AV444" s="1"/>
      <c r="AW444" s="1"/>
      <c r="AX444" s="1"/>
      <c r="AY444" s="1"/>
      <c r="AZ444" s="1" t="s">
        <v>5</v>
      </c>
      <c r="BA444" s="1"/>
      <c r="BB444" s="1" t="s">
        <v>5</v>
      </c>
      <c r="BC444" s="1" t="s">
        <v>5</v>
      </c>
      <c r="BD444" s="1" t="s">
        <v>5</v>
      </c>
      <c r="BE444" s="1" t="s">
        <v>5</v>
      </c>
      <c r="BF444" s="1" t="s">
        <v>5</v>
      </c>
      <c r="BG444" s="1" t="s">
        <v>5</v>
      </c>
      <c r="BH444" s="1" t="s">
        <v>5</v>
      </c>
      <c r="BI444" s="1" t="s">
        <v>5</v>
      </c>
      <c r="BJ444" s="1" t="s">
        <v>5</v>
      </c>
      <c r="BK444" s="1" t="s">
        <v>5</v>
      </c>
      <c r="BL444" s="1" t="s">
        <v>5</v>
      </c>
      <c r="BM444" s="1" t="s">
        <v>5</v>
      </c>
      <c r="BN444" s="1" t="s">
        <v>5</v>
      </c>
      <c r="BO444" s="1" t="s">
        <v>5</v>
      </c>
      <c r="BP444" s="1" t="s">
        <v>5</v>
      </c>
      <c r="BQ444" s="1"/>
      <c r="BR444" s="1"/>
      <c r="BS444" s="1"/>
      <c r="BT444" s="1"/>
      <c r="BU444" s="1"/>
      <c r="BV444" s="1"/>
      <c r="BW444" s="1"/>
      <c r="BX444" s="1">
        <v>0</v>
      </c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>
        <v>0</v>
      </c>
    </row>
    <row r="446" spans="1:245" x14ac:dyDescent="0.2">
      <c r="A446" s="2">
        <v>52</v>
      </c>
      <c r="B446" s="2">
        <f t="shared" ref="B446:G446" si="233">B456</f>
        <v>1</v>
      </c>
      <c r="C446" s="2">
        <f t="shared" si="233"/>
        <v>4</v>
      </c>
      <c r="D446" s="2">
        <f t="shared" si="233"/>
        <v>444</v>
      </c>
      <c r="E446" s="2">
        <f t="shared" si="233"/>
        <v>0</v>
      </c>
      <c r="F446" s="2" t="str">
        <f t="shared" si="233"/>
        <v>Новый раздел</v>
      </c>
      <c r="G446" s="2" t="str">
        <f t="shared" si="233"/>
        <v>Стоимость деревьев для восстановления отпада</v>
      </c>
      <c r="H446" s="2"/>
      <c r="I446" s="2"/>
      <c r="J446" s="2"/>
      <c r="K446" s="2"/>
      <c r="L446" s="2"/>
      <c r="M446" s="2"/>
      <c r="N446" s="2"/>
      <c r="O446" s="2">
        <f t="shared" ref="O446:AT446" si="234">O456</f>
        <v>14399761.6</v>
      </c>
      <c r="P446" s="2">
        <f t="shared" si="234"/>
        <v>14399761.6</v>
      </c>
      <c r="Q446" s="2">
        <f t="shared" si="234"/>
        <v>0</v>
      </c>
      <c r="R446" s="2">
        <f t="shared" si="234"/>
        <v>0</v>
      </c>
      <c r="S446" s="2">
        <f t="shared" si="234"/>
        <v>0</v>
      </c>
      <c r="T446" s="2">
        <f t="shared" si="234"/>
        <v>0</v>
      </c>
      <c r="U446" s="2">
        <f t="shared" si="234"/>
        <v>0</v>
      </c>
      <c r="V446" s="2">
        <f t="shared" si="234"/>
        <v>0</v>
      </c>
      <c r="W446" s="2">
        <f t="shared" si="234"/>
        <v>0</v>
      </c>
      <c r="X446" s="2">
        <f t="shared" si="234"/>
        <v>0</v>
      </c>
      <c r="Y446" s="2">
        <f t="shared" si="234"/>
        <v>0</v>
      </c>
      <c r="Z446" s="2">
        <f t="shared" si="234"/>
        <v>0</v>
      </c>
      <c r="AA446" s="2">
        <f t="shared" si="234"/>
        <v>0</v>
      </c>
      <c r="AB446" s="2">
        <f t="shared" si="234"/>
        <v>14399761.6</v>
      </c>
      <c r="AC446" s="2">
        <f t="shared" si="234"/>
        <v>14399761.6</v>
      </c>
      <c r="AD446" s="2">
        <f t="shared" si="234"/>
        <v>0</v>
      </c>
      <c r="AE446" s="2">
        <f t="shared" si="234"/>
        <v>0</v>
      </c>
      <c r="AF446" s="2">
        <f t="shared" si="234"/>
        <v>0</v>
      </c>
      <c r="AG446" s="2">
        <f t="shared" si="234"/>
        <v>0</v>
      </c>
      <c r="AH446" s="2">
        <f t="shared" si="234"/>
        <v>0</v>
      </c>
      <c r="AI446" s="2">
        <f t="shared" si="234"/>
        <v>0</v>
      </c>
      <c r="AJ446" s="2">
        <f t="shared" si="234"/>
        <v>0</v>
      </c>
      <c r="AK446" s="2">
        <f t="shared" si="234"/>
        <v>0</v>
      </c>
      <c r="AL446" s="2">
        <f t="shared" si="234"/>
        <v>0</v>
      </c>
      <c r="AM446" s="2">
        <f t="shared" si="234"/>
        <v>0</v>
      </c>
      <c r="AN446" s="2">
        <f t="shared" si="234"/>
        <v>0</v>
      </c>
      <c r="AO446" s="2">
        <f t="shared" si="234"/>
        <v>0</v>
      </c>
      <c r="AP446" s="2">
        <f t="shared" si="234"/>
        <v>0</v>
      </c>
      <c r="AQ446" s="2">
        <f t="shared" si="234"/>
        <v>0</v>
      </c>
      <c r="AR446" s="2">
        <f t="shared" si="234"/>
        <v>14399761.6</v>
      </c>
      <c r="AS446" s="2">
        <f t="shared" si="234"/>
        <v>14399761.6</v>
      </c>
      <c r="AT446" s="2">
        <f t="shared" si="234"/>
        <v>0</v>
      </c>
      <c r="AU446" s="2">
        <f t="shared" ref="AU446:BZ446" si="235">AU456</f>
        <v>0</v>
      </c>
      <c r="AV446" s="2">
        <f t="shared" si="235"/>
        <v>14399761.6</v>
      </c>
      <c r="AW446" s="2">
        <f t="shared" si="235"/>
        <v>14399761.6</v>
      </c>
      <c r="AX446" s="2">
        <f t="shared" si="235"/>
        <v>0</v>
      </c>
      <c r="AY446" s="2">
        <f t="shared" si="235"/>
        <v>14399761.6</v>
      </c>
      <c r="AZ446" s="2">
        <f t="shared" si="235"/>
        <v>0</v>
      </c>
      <c r="BA446" s="2">
        <f t="shared" si="235"/>
        <v>0</v>
      </c>
      <c r="BB446" s="2">
        <f t="shared" si="235"/>
        <v>0</v>
      </c>
      <c r="BC446" s="2">
        <f t="shared" si="235"/>
        <v>0</v>
      </c>
      <c r="BD446" s="2">
        <f t="shared" si="235"/>
        <v>0</v>
      </c>
      <c r="BE446" s="2">
        <f t="shared" si="235"/>
        <v>0</v>
      </c>
      <c r="BF446" s="2">
        <f t="shared" si="235"/>
        <v>0</v>
      </c>
      <c r="BG446" s="2">
        <f t="shared" si="235"/>
        <v>0</v>
      </c>
      <c r="BH446" s="2">
        <f t="shared" si="235"/>
        <v>0</v>
      </c>
      <c r="BI446" s="2">
        <f t="shared" si="235"/>
        <v>0</v>
      </c>
      <c r="BJ446" s="2">
        <f t="shared" si="235"/>
        <v>0</v>
      </c>
      <c r="BK446" s="2">
        <f t="shared" si="235"/>
        <v>0</v>
      </c>
      <c r="BL446" s="2">
        <f t="shared" si="235"/>
        <v>0</v>
      </c>
      <c r="BM446" s="2">
        <f t="shared" si="235"/>
        <v>0</v>
      </c>
      <c r="BN446" s="2">
        <f t="shared" si="235"/>
        <v>0</v>
      </c>
      <c r="BO446" s="2">
        <f t="shared" si="235"/>
        <v>0</v>
      </c>
      <c r="BP446" s="2">
        <f t="shared" si="235"/>
        <v>0</v>
      </c>
      <c r="BQ446" s="2">
        <f t="shared" si="235"/>
        <v>0</v>
      </c>
      <c r="BR446" s="2">
        <f t="shared" si="235"/>
        <v>0</v>
      </c>
      <c r="BS446" s="2">
        <f t="shared" si="235"/>
        <v>0</v>
      </c>
      <c r="BT446" s="2">
        <f t="shared" si="235"/>
        <v>0</v>
      </c>
      <c r="BU446" s="2">
        <f t="shared" si="235"/>
        <v>0</v>
      </c>
      <c r="BV446" s="2">
        <f t="shared" si="235"/>
        <v>0</v>
      </c>
      <c r="BW446" s="2">
        <f t="shared" si="235"/>
        <v>0</v>
      </c>
      <c r="BX446" s="2">
        <f t="shared" si="235"/>
        <v>0</v>
      </c>
      <c r="BY446" s="2">
        <f t="shared" si="235"/>
        <v>0</v>
      </c>
      <c r="BZ446" s="2">
        <f t="shared" si="235"/>
        <v>0</v>
      </c>
      <c r="CA446" s="2">
        <f t="shared" ref="CA446:DF446" si="236">CA456</f>
        <v>14399761.6</v>
      </c>
      <c r="CB446" s="2">
        <f t="shared" si="236"/>
        <v>14399761.6</v>
      </c>
      <c r="CC446" s="2">
        <f t="shared" si="236"/>
        <v>0</v>
      </c>
      <c r="CD446" s="2">
        <f t="shared" si="236"/>
        <v>0</v>
      </c>
      <c r="CE446" s="2">
        <f t="shared" si="236"/>
        <v>14399761.6</v>
      </c>
      <c r="CF446" s="2">
        <f t="shared" si="236"/>
        <v>14399761.6</v>
      </c>
      <c r="CG446" s="2">
        <f t="shared" si="236"/>
        <v>0</v>
      </c>
      <c r="CH446" s="2">
        <f t="shared" si="236"/>
        <v>14399761.6</v>
      </c>
      <c r="CI446" s="2">
        <f t="shared" si="236"/>
        <v>0</v>
      </c>
      <c r="CJ446" s="2">
        <f t="shared" si="236"/>
        <v>0</v>
      </c>
      <c r="CK446" s="2">
        <f t="shared" si="236"/>
        <v>0</v>
      </c>
      <c r="CL446" s="2">
        <f t="shared" si="236"/>
        <v>0</v>
      </c>
      <c r="CM446" s="2">
        <f t="shared" si="236"/>
        <v>0</v>
      </c>
      <c r="CN446" s="2">
        <f t="shared" si="236"/>
        <v>0</v>
      </c>
      <c r="CO446" s="2">
        <f t="shared" si="236"/>
        <v>0</v>
      </c>
      <c r="CP446" s="2">
        <f t="shared" si="236"/>
        <v>0</v>
      </c>
      <c r="CQ446" s="2">
        <f t="shared" si="236"/>
        <v>0</v>
      </c>
      <c r="CR446" s="2">
        <f t="shared" si="236"/>
        <v>0</v>
      </c>
      <c r="CS446" s="2">
        <f t="shared" si="236"/>
        <v>0</v>
      </c>
      <c r="CT446" s="2">
        <f t="shared" si="236"/>
        <v>0</v>
      </c>
      <c r="CU446" s="2">
        <f t="shared" si="236"/>
        <v>0</v>
      </c>
      <c r="CV446" s="2">
        <f t="shared" si="236"/>
        <v>0</v>
      </c>
      <c r="CW446" s="2">
        <f t="shared" si="236"/>
        <v>0</v>
      </c>
      <c r="CX446" s="2">
        <f t="shared" si="236"/>
        <v>0</v>
      </c>
      <c r="CY446" s="2">
        <f t="shared" si="236"/>
        <v>0</v>
      </c>
      <c r="CZ446" s="2">
        <f t="shared" si="236"/>
        <v>0</v>
      </c>
      <c r="DA446" s="2">
        <f t="shared" si="236"/>
        <v>0</v>
      </c>
      <c r="DB446" s="2">
        <f t="shared" si="236"/>
        <v>0</v>
      </c>
      <c r="DC446" s="2">
        <f t="shared" si="236"/>
        <v>0</v>
      </c>
      <c r="DD446" s="2">
        <f t="shared" si="236"/>
        <v>0</v>
      </c>
      <c r="DE446" s="2">
        <f t="shared" si="236"/>
        <v>0</v>
      </c>
      <c r="DF446" s="2">
        <f t="shared" si="236"/>
        <v>0</v>
      </c>
      <c r="DG446" s="3">
        <f t="shared" ref="DG446:EL446" si="237">DG456</f>
        <v>0</v>
      </c>
      <c r="DH446" s="3">
        <f t="shared" si="237"/>
        <v>0</v>
      </c>
      <c r="DI446" s="3">
        <f t="shared" si="237"/>
        <v>0</v>
      </c>
      <c r="DJ446" s="3">
        <f t="shared" si="237"/>
        <v>0</v>
      </c>
      <c r="DK446" s="3">
        <f t="shared" si="237"/>
        <v>0</v>
      </c>
      <c r="DL446" s="3">
        <f t="shared" si="237"/>
        <v>0</v>
      </c>
      <c r="DM446" s="3">
        <f t="shared" si="237"/>
        <v>0</v>
      </c>
      <c r="DN446" s="3">
        <f t="shared" si="237"/>
        <v>0</v>
      </c>
      <c r="DO446" s="3">
        <f t="shared" si="237"/>
        <v>0</v>
      </c>
      <c r="DP446" s="3">
        <f t="shared" si="237"/>
        <v>0</v>
      </c>
      <c r="DQ446" s="3">
        <f t="shared" si="237"/>
        <v>0</v>
      </c>
      <c r="DR446" s="3">
        <f t="shared" si="237"/>
        <v>0</v>
      </c>
      <c r="DS446" s="3">
        <f t="shared" si="237"/>
        <v>0</v>
      </c>
      <c r="DT446" s="3">
        <f t="shared" si="237"/>
        <v>0</v>
      </c>
      <c r="DU446" s="3">
        <f t="shared" si="237"/>
        <v>0</v>
      </c>
      <c r="DV446" s="3">
        <f t="shared" si="237"/>
        <v>0</v>
      </c>
      <c r="DW446" s="3">
        <f t="shared" si="237"/>
        <v>0</v>
      </c>
      <c r="DX446" s="3">
        <f t="shared" si="237"/>
        <v>0</v>
      </c>
      <c r="DY446" s="3">
        <f t="shared" si="237"/>
        <v>0</v>
      </c>
      <c r="DZ446" s="3">
        <f t="shared" si="237"/>
        <v>0</v>
      </c>
      <c r="EA446" s="3">
        <f t="shared" si="237"/>
        <v>0</v>
      </c>
      <c r="EB446" s="3">
        <f t="shared" si="237"/>
        <v>0</v>
      </c>
      <c r="EC446" s="3">
        <f t="shared" si="237"/>
        <v>0</v>
      </c>
      <c r="ED446" s="3">
        <f t="shared" si="237"/>
        <v>0</v>
      </c>
      <c r="EE446" s="3">
        <f t="shared" si="237"/>
        <v>0</v>
      </c>
      <c r="EF446" s="3">
        <f t="shared" si="237"/>
        <v>0</v>
      </c>
      <c r="EG446" s="3">
        <f t="shared" si="237"/>
        <v>0</v>
      </c>
      <c r="EH446" s="3">
        <f t="shared" si="237"/>
        <v>0</v>
      </c>
      <c r="EI446" s="3">
        <f t="shared" si="237"/>
        <v>0</v>
      </c>
      <c r="EJ446" s="3">
        <f t="shared" si="237"/>
        <v>0</v>
      </c>
      <c r="EK446" s="3">
        <f t="shared" si="237"/>
        <v>0</v>
      </c>
      <c r="EL446" s="3">
        <f t="shared" si="237"/>
        <v>0</v>
      </c>
      <c r="EM446" s="3">
        <f t="shared" ref="EM446:FR446" si="238">EM456</f>
        <v>0</v>
      </c>
      <c r="EN446" s="3">
        <f t="shared" si="238"/>
        <v>0</v>
      </c>
      <c r="EO446" s="3">
        <f t="shared" si="238"/>
        <v>0</v>
      </c>
      <c r="EP446" s="3">
        <f t="shared" si="238"/>
        <v>0</v>
      </c>
      <c r="EQ446" s="3">
        <f t="shared" si="238"/>
        <v>0</v>
      </c>
      <c r="ER446" s="3">
        <f t="shared" si="238"/>
        <v>0</v>
      </c>
      <c r="ES446" s="3">
        <f t="shared" si="238"/>
        <v>0</v>
      </c>
      <c r="ET446" s="3">
        <f t="shared" si="238"/>
        <v>0</v>
      </c>
      <c r="EU446" s="3">
        <f t="shared" si="238"/>
        <v>0</v>
      </c>
      <c r="EV446" s="3">
        <f t="shared" si="238"/>
        <v>0</v>
      </c>
      <c r="EW446" s="3">
        <f t="shared" si="238"/>
        <v>0</v>
      </c>
      <c r="EX446" s="3">
        <f t="shared" si="238"/>
        <v>0</v>
      </c>
      <c r="EY446" s="3">
        <f t="shared" si="238"/>
        <v>0</v>
      </c>
      <c r="EZ446" s="3">
        <f t="shared" si="238"/>
        <v>0</v>
      </c>
      <c r="FA446" s="3">
        <f t="shared" si="238"/>
        <v>0</v>
      </c>
      <c r="FB446" s="3">
        <f t="shared" si="238"/>
        <v>0</v>
      </c>
      <c r="FC446" s="3">
        <f t="shared" si="238"/>
        <v>0</v>
      </c>
      <c r="FD446" s="3">
        <f t="shared" si="238"/>
        <v>0</v>
      </c>
      <c r="FE446" s="3">
        <f t="shared" si="238"/>
        <v>0</v>
      </c>
      <c r="FF446" s="3">
        <f t="shared" si="238"/>
        <v>0</v>
      </c>
      <c r="FG446" s="3">
        <f t="shared" si="238"/>
        <v>0</v>
      </c>
      <c r="FH446" s="3">
        <f t="shared" si="238"/>
        <v>0</v>
      </c>
      <c r="FI446" s="3">
        <f t="shared" si="238"/>
        <v>0</v>
      </c>
      <c r="FJ446" s="3">
        <f t="shared" si="238"/>
        <v>0</v>
      </c>
      <c r="FK446" s="3">
        <f t="shared" si="238"/>
        <v>0</v>
      </c>
      <c r="FL446" s="3">
        <f t="shared" si="238"/>
        <v>0</v>
      </c>
      <c r="FM446" s="3">
        <f t="shared" si="238"/>
        <v>0</v>
      </c>
      <c r="FN446" s="3">
        <f t="shared" si="238"/>
        <v>0</v>
      </c>
      <c r="FO446" s="3">
        <f t="shared" si="238"/>
        <v>0</v>
      </c>
      <c r="FP446" s="3">
        <f t="shared" si="238"/>
        <v>0</v>
      </c>
      <c r="FQ446" s="3">
        <f t="shared" si="238"/>
        <v>0</v>
      </c>
      <c r="FR446" s="3">
        <f t="shared" si="238"/>
        <v>0</v>
      </c>
      <c r="FS446" s="3">
        <f t="shared" ref="FS446:GX446" si="239">FS456</f>
        <v>0</v>
      </c>
      <c r="FT446" s="3">
        <f t="shared" si="239"/>
        <v>0</v>
      </c>
      <c r="FU446" s="3">
        <f t="shared" si="239"/>
        <v>0</v>
      </c>
      <c r="FV446" s="3">
        <f t="shared" si="239"/>
        <v>0</v>
      </c>
      <c r="FW446" s="3">
        <f t="shared" si="239"/>
        <v>0</v>
      </c>
      <c r="FX446" s="3">
        <f t="shared" si="239"/>
        <v>0</v>
      </c>
      <c r="FY446" s="3">
        <f t="shared" si="239"/>
        <v>0</v>
      </c>
      <c r="FZ446" s="3">
        <f t="shared" si="239"/>
        <v>0</v>
      </c>
      <c r="GA446" s="3">
        <f t="shared" si="239"/>
        <v>0</v>
      </c>
      <c r="GB446" s="3">
        <f t="shared" si="239"/>
        <v>0</v>
      </c>
      <c r="GC446" s="3">
        <f t="shared" si="239"/>
        <v>0</v>
      </c>
      <c r="GD446" s="3">
        <f t="shared" si="239"/>
        <v>0</v>
      </c>
      <c r="GE446" s="3">
        <f t="shared" si="239"/>
        <v>0</v>
      </c>
      <c r="GF446" s="3">
        <f t="shared" si="239"/>
        <v>0</v>
      </c>
      <c r="GG446" s="3">
        <f t="shared" si="239"/>
        <v>0</v>
      </c>
      <c r="GH446" s="3">
        <f t="shared" si="239"/>
        <v>0</v>
      </c>
      <c r="GI446" s="3">
        <f t="shared" si="239"/>
        <v>0</v>
      </c>
      <c r="GJ446" s="3">
        <f t="shared" si="239"/>
        <v>0</v>
      </c>
      <c r="GK446" s="3">
        <f t="shared" si="239"/>
        <v>0</v>
      </c>
      <c r="GL446" s="3">
        <f t="shared" si="239"/>
        <v>0</v>
      </c>
      <c r="GM446" s="3">
        <f t="shared" si="239"/>
        <v>0</v>
      </c>
      <c r="GN446" s="3">
        <f t="shared" si="239"/>
        <v>0</v>
      </c>
      <c r="GO446" s="3">
        <f t="shared" si="239"/>
        <v>0</v>
      </c>
      <c r="GP446" s="3">
        <f t="shared" si="239"/>
        <v>0</v>
      </c>
      <c r="GQ446" s="3">
        <f t="shared" si="239"/>
        <v>0</v>
      </c>
      <c r="GR446" s="3">
        <f t="shared" si="239"/>
        <v>0</v>
      </c>
      <c r="GS446" s="3">
        <f t="shared" si="239"/>
        <v>0</v>
      </c>
      <c r="GT446" s="3">
        <f t="shared" si="239"/>
        <v>0</v>
      </c>
      <c r="GU446" s="3">
        <f t="shared" si="239"/>
        <v>0</v>
      </c>
      <c r="GV446" s="3">
        <f t="shared" si="239"/>
        <v>0</v>
      </c>
      <c r="GW446" s="3">
        <f t="shared" si="239"/>
        <v>0</v>
      </c>
      <c r="GX446" s="3">
        <f t="shared" si="239"/>
        <v>0</v>
      </c>
    </row>
    <row r="448" spans="1:245" x14ac:dyDescent="0.2">
      <c r="A448">
        <v>17</v>
      </c>
      <c r="B448">
        <v>1</v>
      </c>
      <c r="E448" t="s">
        <v>196</v>
      </c>
      <c r="F448" t="s">
        <v>177</v>
      </c>
      <c r="G448" t="s">
        <v>178</v>
      </c>
      <c r="H448" t="s">
        <v>179</v>
      </c>
      <c r="I448">
        <v>3</v>
      </c>
      <c r="J448">
        <v>0</v>
      </c>
      <c r="O448">
        <f t="shared" ref="O448:O454" si="240">ROUND(CP448,2)</f>
        <v>73500</v>
      </c>
      <c r="P448">
        <f t="shared" ref="P448:P454" si="241">ROUND((ROUND((AC448*AW448*I448),2)*BC448),2)</f>
        <v>73500</v>
      </c>
      <c r="Q448">
        <f t="shared" ref="Q448:Q454" si="242">(ROUND((ROUND(((ET448)*AV448*I448),2)*BB448),2)+ROUND((ROUND(((AE448-(EU448))*AV448*I448),2)*BS448),2))</f>
        <v>0</v>
      </c>
      <c r="R448">
        <f t="shared" ref="R448:R454" si="243">ROUND((ROUND((AE448*AV448*I448),2)*BS448),2)</f>
        <v>0</v>
      </c>
      <c r="S448">
        <f t="shared" ref="S448:S454" si="244">ROUND((ROUND((AF448*AV448*I448),2)*BA448),2)</f>
        <v>0</v>
      </c>
      <c r="T448">
        <f t="shared" ref="T448:T454" si="245">ROUND(CU448*I448,2)</f>
        <v>0</v>
      </c>
      <c r="U448">
        <f t="shared" ref="U448:U454" si="246">CV448*I448</f>
        <v>0</v>
      </c>
      <c r="V448">
        <f t="shared" ref="V448:V454" si="247">CW448*I448</f>
        <v>0</v>
      </c>
      <c r="W448">
        <f t="shared" ref="W448:W454" si="248">ROUND(CX448*I448,2)</f>
        <v>0</v>
      </c>
      <c r="X448">
        <f t="shared" ref="X448:Y454" si="249">ROUND(CY448,2)</f>
        <v>0</v>
      </c>
      <c r="Y448">
        <f t="shared" si="249"/>
        <v>0</v>
      </c>
      <c r="AA448">
        <v>49688178</v>
      </c>
      <c r="AB448">
        <f t="shared" ref="AB448:AB454" si="250">ROUND((AC448+AD448+AF448),6)</f>
        <v>24500</v>
      </c>
      <c r="AC448">
        <f t="shared" ref="AC448:AC454" si="251">ROUND((ES448),6)</f>
        <v>24500</v>
      </c>
      <c r="AD448">
        <f t="shared" ref="AD448:AD454" si="252">ROUND((((ET448)-(EU448))+AE448),6)</f>
        <v>0</v>
      </c>
      <c r="AE448">
        <f t="shared" ref="AE448:AF454" si="253">ROUND((EU448),6)</f>
        <v>0</v>
      </c>
      <c r="AF448">
        <f t="shared" si="253"/>
        <v>0</v>
      </c>
      <c r="AG448">
        <f t="shared" ref="AG448:AG454" si="254">ROUND((AP448),6)</f>
        <v>0</v>
      </c>
      <c r="AH448">
        <f t="shared" ref="AH448:AI454" si="255">(EW448)</f>
        <v>0</v>
      </c>
      <c r="AI448">
        <f t="shared" si="255"/>
        <v>0</v>
      </c>
      <c r="AJ448">
        <f t="shared" ref="AJ448:AJ454" si="256">(AS448)</f>
        <v>0</v>
      </c>
      <c r="AK448">
        <v>24500</v>
      </c>
      <c r="AL448">
        <v>24500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1</v>
      </c>
      <c r="AZ448">
        <v>1</v>
      </c>
      <c r="BA448">
        <v>1</v>
      </c>
      <c r="BB448">
        <v>1</v>
      </c>
      <c r="BC448">
        <v>1</v>
      </c>
      <c r="BD448" t="s">
        <v>5</v>
      </c>
      <c r="BE448" t="s">
        <v>5</v>
      </c>
      <c r="BF448" t="s">
        <v>5</v>
      </c>
      <c r="BG448" t="s">
        <v>5</v>
      </c>
      <c r="BH448">
        <v>3</v>
      </c>
      <c r="BI448">
        <v>1</v>
      </c>
      <c r="BJ448" t="s">
        <v>5</v>
      </c>
      <c r="BM448">
        <v>400002</v>
      </c>
      <c r="BN448">
        <v>0</v>
      </c>
      <c r="BO448" t="s">
        <v>5</v>
      </c>
      <c r="BP448">
        <v>0</v>
      </c>
      <c r="BQ448">
        <v>202</v>
      </c>
      <c r="BR448">
        <v>0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Y448" t="s">
        <v>5</v>
      </c>
      <c r="BZ448">
        <v>0</v>
      </c>
      <c r="CA448">
        <v>0</v>
      </c>
      <c r="CE448">
        <v>30</v>
      </c>
      <c r="CF448">
        <v>0</v>
      </c>
      <c r="CG448">
        <v>0</v>
      </c>
      <c r="CM448">
        <v>0</v>
      </c>
      <c r="CN448" t="s">
        <v>5</v>
      </c>
      <c r="CO448">
        <v>0</v>
      </c>
      <c r="CP448">
        <f t="shared" ref="CP448:CP454" si="257">(P448+Q448+S448)</f>
        <v>73500</v>
      </c>
      <c r="CQ448">
        <f t="shared" ref="CQ448:CQ454" si="258">ROUND((ROUND((AC448*AW448*1),2)*BC448),2)</f>
        <v>24500</v>
      </c>
      <c r="CR448">
        <f t="shared" ref="CR448:CR454" si="259">(ROUND((ROUND(((ET448)*AV448*1),2)*BB448),2)+ROUND((ROUND(((AE448-(EU448))*AV448*1),2)*BS448),2))</f>
        <v>0</v>
      </c>
      <c r="CS448">
        <f t="shared" ref="CS448:CS454" si="260">ROUND((ROUND((AE448*AV448*1),2)*BS448),2)</f>
        <v>0</v>
      </c>
      <c r="CT448">
        <f t="shared" ref="CT448:CT454" si="261">ROUND((ROUND((AF448*AV448*1),2)*BA448),2)</f>
        <v>0</v>
      </c>
      <c r="CU448">
        <f t="shared" ref="CU448:CU454" si="262">AG448</f>
        <v>0</v>
      </c>
      <c r="CV448">
        <f t="shared" ref="CV448:CV454" si="263">(AH448*AV448)</f>
        <v>0</v>
      </c>
      <c r="CW448">
        <f t="shared" ref="CW448:CX454" si="264">AI448</f>
        <v>0</v>
      </c>
      <c r="CX448">
        <f t="shared" si="264"/>
        <v>0</v>
      </c>
      <c r="CY448">
        <f t="shared" ref="CY448:CY454" si="265">S448*(BZ448/100)</f>
        <v>0</v>
      </c>
      <c r="CZ448">
        <f t="shared" ref="CZ448:CZ454" si="266">S448*(CA448/100)</f>
        <v>0</v>
      </c>
      <c r="DC448" t="s">
        <v>5</v>
      </c>
      <c r="DD448" t="s">
        <v>5</v>
      </c>
      <c r="DE448" t="s">
        <v>5</v>
      </c>
      <c r="DF448" t="s">
        <v>5</v>
      </c>
      <c r="DG448" t="s">
        <v>5</v>
      </c>
      <c r="DH448" t="s">
        <v>5</v>
      </c>
      <c r="DI448" t="s">
        <v>5</v>
      </c>
      <c r="DJ448" t="s">
        <v>5</v>
      </c>
      <c r="DK448" t="s">
        <v>5</v>
      </c>
      <c r="DL448" t="s">
        <v>5</v>
      </c>
      <c r="DM448" t="s">
        <v>5</v>
      </c>
      <c r="DN448">
        <v>0</v>
      </c>
      <c r="DO448">
        <v>0</v>
      </c>
      <c r="DP448">
        <v>1</v>
      </c>
      <c r="DQ448">
        <v>1</v>
      </c>
      <c r="DU448">
        <v>1010</v>
      </c>
      <c r="DV448" t="s">
        <v>179</v>
      </c>
      <c r="DW448" t="s">
        <v>179</v>
      </c>
      <c r="DX448">
        <v>1</v>
      </c>
      <c r="DZ448" t="s">
        <v>5</v>
      </c>
      <c r="EA448" t="s">
        <v>5</v>
      </c>
      <c r="EB448" t="s">
        <v>5</v>
      </c>
      <c r="EC448" t="s">
        <v>5</v>
      </c>
      <c r="EE448">
        <v>49389663</v>
      </c>
      <c r="EF448">
        <v>202</v>
      </c>
      <c r="EG448" t="s">
        <v>180</v>
      </c>
      <c r="EH448">
        <v>0</v>
      </c>
      <c r="EI448" t="s">
        <v>5</v>
      </c>
      <c r="EJ448">
        <v>1</v>
      </c>
      <c r="EK448">
        <v>400002</v>
      </c>
      <c r="EL448" t="s">
        <v>181</v>
      </c>
      <c r="EM448" t="s">
        <v>180</v>
      </c>
      <c r="EO448" t="s">
        <v>5</v>
      </c>
      <c r="EQ448">
        <v>0</v>
      </c>
      <c r="ER448">
        <v>24500</v>
      </c>
      <c r="ES448">
        <v>24500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5</v>
      </c>
      <c r="FC448">
        <v>0</v>
      </c>
      <c r="FD448">
        <v>18</v>
      </c>
      <c r="FF448">
        <v>24500</v>
      </c>
      <c r="FQ448">
        <v>0</v>
      </c>
      <c r="FR448">
        <f t="shared" ref="FR448:FR454" si="267">ROUND(IF(AND(BH448=3,BI448=3),P448,0),2)</f>
        <v>0</v>
      </c>
      <c r="FS448">
        <v>0</v>
      </c>
      <c r="FX448">
        <v>0</v>
      </c>
      <c r="FY448">
        <v>0</v>
      </c>
      <c r="GA448" t="s">
        <v>5</v>
      </c>
      <c r="GD448">
        <v>0</v>
      </c>
      <c r="GF448">
        <v>1278459601</v>
      </c>
      <c r="GG448">
        <v>2</v>
      </c>
      <c r="GH448">
        <v>3</v>
      </c>
      <c r="GI448">
        <v>3</v>
      </c>
      <c r="GJ448">
        <v>0</v>
      </c>
      <c r="GK448">
        <f>ROUND(R448*(R12)/100,2)</f>
        <v>0</v>
      </c>
      <c r="GL448">
        <f t="shared" ref="GL448:GL454" si="268">ROUND(IF(AND(BH448=3,BI448=3,FS448&lt;&gt;0),P448,0),2)</f>
        <v>0</v>
      </c>
      <c r="GM448">
        <f t="shared" ref="GM448:GM454" si="269">ROUND(O448+X448+Y448+GK448,2)+GX448</f>
        <v>73500</v>
      </c>
      <c r="GN448">
        <f t="shared" ref="GN448:GN454" si="270">IF(OR(BI448=0,BI448=1),ROUND(O448+X448+Y448+GK448,2),0)</f>
        <v>73500</v>
      </c>
      <c r="GO448">
        <f t="shared" ref="GO448:GO454" si="271">IF(BI448=2,ROUND(O448+X448+Y448+GK448,2),0)</f>
        <v>0</v>
      </c>
      <c r="GP448">
        <f t="shared" ref="GP448:GP454" si="272">IF(BI448=4,ROUND(O448+X448+Y448+GK448,2)+GX448,0)</f>
        <v>0</v>
      </c>
      <c r="GR448">
        <v>1</v>
      </c>
      <c r="GS448">
        <v>1</v>
      </c>
      <c r="GT448">
        <v>0</v>
      </c>
      <c r="GU448" t="s">
        <v>5</v>
      </c>
      <c r="GV448">
        <f t="shared" ref="GV448:GV454" si="273">ROUND((GT448),6)</f>
        <v>0</v>
      </c>
      <c r="GW448">
        <v>1</v>
      </c>
      <c r="GX448">
        <f t="shared" ref="GX448:GX454" si="274">ROUND(HC448*I448,2)</f>
        <v>0</v>
      </c>
      <c r="HA448">
        <v>0</v>
      </c>
      <c r="HB448">
        <v>0</v>
      </c>
      <c r="HC448">
        <f t="shared" ref="HC448:HC454" si="275">GV448*GW448</f>
        <v>0</v>
      </c>
      <c r="HE448" t="s">
        <v>5</v>
      </c>
      <c r="HF448" t="s">
        <v>5</v>
      </c>
      <c r="IK448">
        <v>0</v>
      </c>
    </row>
    <row r="449" spans="1:245" x14ac:dyDescent="0.2">
      <c r="A449">
        <v>17</v>
      </c>
      <c r="B449">
        <v>1</v>
      </c>
      <c r="E449" t="s">
        <v>197</v>
      </c>
      <c r="F449" t="s">
        <v>177</v>
      </c>
      <c r="G449" t="s">
        <v>184</v>
      </c>
      <c r="H449" t="s">
        <v>179</v>
      </c>
      <c r="I449">
        <v>32</v>
      </c>
      <c r="J449">
        <v>0</v>
      </c>
      <c r="O449">
        <f t="shared" si="240"/>
        <v>1728000</v>
      </c>
      <c r="P449">
        <f t="shared" si="241"/>
        <v>1728000</v>
      </c>
      <c r="Q449">
        <f t="shared" si="242"/>
        <v>0</v>
      </c>
      <c r="R449">
        <f t="shared" si="243"/>
        <v>0</v>
      </c>
      <c r="S449">
        <f t="shared" si="244"/>
        <v>0</v>
      </c>
      <c r="T449">
        <f t="shared" si="245"/>
        <v>0</v>
      </c>
      <c r="U449">
        <f t="shared" si="246"/>
        <v>0</v>
      </c>
      <c r="V449">
        <f t="shared" si="247"/>
        <v>0</v>
      </c>
      <c r="W449">
        <f t="shared" si="248"/>
        <v>0</v>
      </c>
      <c r="X449">
        <f t="shared" si="249"/>
        <v>0</v>
      </c>
      <c r="Y449">
        <f t="shared" si="249"/>
        <v>0</v>
      </c>
      <c r="AA449">
        <v>49688178</v>
      </c>
      <c r="AB449">
        <f t="shared" si="250"/>
        <v>54000</v>
      </c>
      <c r="AC449">
        <f t="shared" si="251"/>
        <v>54000</v>
      </c>
      <c r="AD449">
        <f t="shared" si="252"/>
        <v>0</v>
      </c>
      <c r="AE449">
        <f t="shared" si="253"/>
        <v>0</v>
      </c>
      <c r="AF449">
        <f t="shared" si="253"/>
        <v>0</v>
      </c>
      <c r="AG449">
        <f t="shared" si="254"/>
        <v>0</v>
      </c>
      <c r="AH449">
        <f t="shared" si="255"/>
        <v>0</v>
      </c>
      <c r="AI449">
        <f t="shared" si="255"/>
        <v>0</v>
      </c>
      <c r="AJ449">
        <f t="shared" si="256"/>
        <v>0</v>
      </c>
      <c r="AK449">
        <v>54000</v>
      </c>
      <c r="AL449">
        <v>54000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1</v>
      </c>
      <c r="AZ449">
        <v>1</v>
      </c>
      <c r="BA449">
        <v>1</v>
      </c>
      <c r="BB449">
        <v>1</v>
      </c>
      <c r="BC449">
        <v>1</v>
      </c>
      <c r="BD449" t="s">
        <v>5</v>
      </c>
      <c r="BE449" t="s">
        <v>5</v>
      </c>
      <c r="BF449" t="s">
        <v>5</v>
      </c>
      <c r="BG449" t="s">
        <v>5</v>
      </c>
      <c r="BH449">
        <v>3</v>
      </c>
      <c r="BI449">
        <v>1</v>
      </c>
      <c r="BJ449" t="s">
        <v>5</v>
      </c>
      <c r="BM449">
        <v>400002</v>
      </c>
      <c r="BN449">
        <v>0</v>
      </c>
      <c r="BO449" t="s">
        <v>5</v>
      </c>
      <c r="BP449">
        <v>0</v>
      </c>
      <c r="BQ449">
        <v>202</v>
      </c>
      <c r="BR449">
        <v>0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 t="s">
        <v>5</v>
      </c>
      <c r="BZ449">
        <v>0</v>
      </c>
      <c r="CA449">
        <v>0</v>
      </c>
      <c r="CE449">
        <v>30</v>
      </c>
      <c r="CF449">
        <v>0</v>
      </c>
      <c r="CG449">
        <v>0</v>
      </c>
      <c r="CM449">
        <v>0</v>
      </c>
      <c r="CN449" t="s">
        <v>5</v>
      </c>
      <c r="CO449">
        <v>0</v>
      </c>
      <c r="CP449">
        <f t="shared" si="257"/>
        <v>1728000</v>
      </c>
      <c r="CQ449">
        <f t="shared" si="258"/>
        <v>54000</v>
      </c>
      <c r="CR449">
        <f t="shared" si="259"/>
        <v>0</v>
      </c>
      <c r="CS449">
        <f t="shared" si="260"/>
        <v>0</v>
      </c>
      <c r="CT449">
        <f t="shared" si="261"/>
        <v>0</v>
      </c>
      <c r="CU449">
        <f t="shared" si="262"/>
        <v>0</v>
      </c>
      <c r="CV449">
        <f t="shared" si="263"/>
        <v>0</v>
      </c>
      <c r="CW449">
        <f t="shared" si="264"/>
        <v>0</v>
      </c>
      <c r="CX449">
        <f t="shared" si="264"/>
        <v>0</v>
      </c>
      <c r="CY449">
        <f t="shared" si="265"/>
        <v>0</v>
      </c>
      <c r="CZ449">
        <f t="shared" si="266"/>
        <v>0</v>
      </c>
      <c r="DC449" t="s">
        <v>5</v>
      </c>
      <c r="DD449" t="s">
        <v>5</v>
      </c>
      <c r="DE449" t="s">
        <v>5</v>
      </c>
      <c r="DF449" t="s">
        <v>5</v>
      </c>
      <c r="DG449" t="s">
        <v>5</v>
      </c>
      <c r="DH449" t="s">
        <v>5</v>
      </c>
      <c r="DI449" t="s">
        <v>5</v>
      </c>
      <c r="DJ449" t="s">
        <v>5</v>
      </c>
      <c r="DK449" t="s">
        <v>5</v>
      </c>
      <c r="DL449" t="s">
        <v>5</v>
      </c>
      <c r="DM449" t="s">
        <v>5</v>
      </c>
      <c r="DN449">
        <v>0</v>
      </c>
      <c r="DO449">
        <v>0</v>
      </c>
      <c r="DP449">
        <v>1</v>
      </c>
      <c r="DQ449">
        <v>1</v>
      </c>
      <c r="DU449">
        <v>1010</v>
      </c>
      <c r="DV449" t="s">
        <v>179</v>
      </c>
      <c r="DW449" t="s">
        <v>179</v>
      </c>
      <c r="DX449">
        <v>1</v>
      </c>
      <c r="DZ449" t="s">
        <v>5</v>
      </c>
      <c r="EA449" t="s">
        <v>5</v>
      </c>
      <c r="EB449" t="s">
        <v>5</v>
      </c>
      <c r="EC449" t="s">
        <v>5</v>
      </c>
      <c r="EE449">
        <v>49389663</v>
      </c>
      <c r="EF449">
        <v>202</v>
      </c>
      <c r="EG449" t="s">
        <v>180</v>
      </c>
      <c r="EH449">
        <v>0</v>
      </c>
      <c r="EI449" t="s">
        <v>5</v>
      </c>
      <c r="EJ449">
        <v>1</v>
      </c>
      <c r="EK449">
        <v>400002</v>
      </c>
      <c r="EL449" t="s">
        <v>181</v>
      </c>
      <c r="EM449" t="s">
        <v>180</v>
      </c>
      <c r="EO449" t="s">
        <v>5</v>
      </c>
      <c r="EQ449">
        <v>0</v>
      </c>
      <c r="ER449">
        <v>54000</v>
      </c>
      <c r="ES449">
        <v>54000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5</v>
      </c>
      <c r="FC449">
        <v>0</v>
      </c>
      <c r="FD449">
        <v>18</v>
      </c>
      <c r="FF449">
        <v>54000</v>
      </c>
      <c r="FQ449">
        <v>0</v>
      </c>
      <c r="FR449">
        <f t="shared" si="267"/>
        <v>0</v>
      </c>
      <c r="FS449">
        <v>0</v>
      </c>
      <c r="FX449">
        <v>0</v>
      </c>
      <c r="FY449">
        <v>0</v>
      </c>
      <c r="GA449" t="s">
        <v>5</v>
      </c>
      <c r="GD449">
        <v>0</v>
      </c>
      <c r="GF449">
        <v>-776453317</v>
      </c>
      <c r="GG449">
        <v>2</v>
      </c>
      <c r="GH449">
        <v>3</v>
      </c>
      <c r="GI449">
        <v>3</v>
      </c>
      <c r="GJ449">
        <v>0</v>
      </c>
      <c r="GK449">
        <f>ROUND(R449*(R12)/100,2)</f>
        <v>0</v>
      </c>
      <c r="GL449">
        <f t="shared" si="268"/>
        <v>0</v>
      </c>
      <c r="GM449">
        <f t="shared" si="269"/>
        <v>1728000</v>
      </c>
      <c r="GN449">
        <f t="shared" si="270"/>
        <v>1728000</v>
      </c>
      <c r="GO449">
        <f t="shared" si="271"/>
        <v>0</v>
      </c>
      <c r="GP449">
        <f t="shared" si="272"/>
        <v>0</v>
      </c>
      <c r="GR449">
        <v>1</v>
      </c>
      <c r="GS449">
        <v>1</v>
      </c>
      <c r="GT449">
        <v>0</v>
      </c>
      <c r="GU449" t="s">
        <v>5</v>
      </c>
      <c r="GV449">
        <f t="shared" si="273"/>
        <v>0</v>
      </c>
      <c r="GW449">
        <v>1</v>
      </c>
      <c r="GX449">
        <f t="shared" si="274"/>
        <v>0</v>
      </c>
      <c r="HA449">
        <v>0</v>
      </c>
      <c r="HB449">
        <v>0</v>
      </c>
      <c r="HC449">
        <f t="shared" si="275"/>
        <v>0</v>
      </c>
      <c r="HE449" t="s">
        <v>5</v>
      </c>
      <c r="HF449" t="s">
        <v>5</v>
      </c>
      <c r="IK449">
        <v>0</v>
      </c>
    </row>
    <row r="450" spans="1:245" x14ac:dyDescent="0.2">
      <c r="A450">
        <v>17</v>
      </c>
      <c r="B450">
        <v>1</v>
      </c>
      <c r="E450" t="s">
        <v>198</v>
      </c>
      <c r="F450" t="s">
        <v>177</v>
      </c>
      <c r="G450" t="s">
        <v>186</v>
      </c>
      <c r="H450" t="s">
        <v>179</v>
      </c>
      <c r="I450">
        <v>29</v>
      </c>
      <c r="J450">
        <v>0</v>
      </c>
      <c r="O450">
        <f t="shared" si="240"/>
        <v>2411640</v>
      </c>
      <c r="P450">
        <f t="shared" si="241"/>
        <v>2411640</v>
      </c>
      <c r="Q450">
        <f t="shared" si="242"/>
        <v>0</v>
      </c>
      <c r="R450">
        <f t="shared" si="243"/>
        <v>0</v>
      </c>
      <c r="S450">
        <f t="shared" si="244"/>
        <v>0</v>
      </c>
      <c r="T450">
        <f t="shared" si="245"/>
        <v>0</v>
      </c>
      <c r="U450">
        <f t="shared" si="246"/>
        <v>0</v>
      </c>
      <c r="V450">
        <f t="shared" si="247"/>
        <v>0</v>
      </c>
      <c r="W450">
        <f t="shared" si="248"/>
        <v>0</v>
      </c>
      <c r="X450">
        <f t="shared" si="249"/>
        <v>0</v>
      </c>
      <c r="Y450">
        <f t="shared" si="249"/>
        <v>0</v>
      </c>
      <c r="AA450">
        <v>49688178</v>
      </c>
      <c r="AB450">
        <f t="shared" si="250"/>
        <v>83160</v>
      </c>
      <c r="AC450">
        <f t="shared" si="251"/>
        <v>83160</v>
      </c>
      <c r="AD450">
        <f t="shared" si="252"/>
        <v>0</v>
      </c>
      <c r="AE450">
        <f t="shared" si="253"/>
        <v>0</v>
      </c>
      <c r="AF450">
        <f t="shared" si="253"/>
        <v>0</v>
      </c>
      <c r="AG450">
        <f t="shared" si="254"/>
        <v>0</v>
      </c>
      <c r="AH450">
        <f t="shared" si="255"/>
        <v>0</v>
      </c>
      <c r="AI450">
        <f t="shared" si="255"/>
        <v>0</v>
      </c>
      <c r="AJ450">
        <f t="shared" si="256"/>
        <v>0</v>
      </c>
      <c r="AK450">
        <v>83160</v>
      </c>
      <c r="AL450">
        <v>83160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1</v>
      </c>
      <c r="AZ450">
        <v>1</v>
      </c>
      <c r="BA450">
        <v>1</v>
      </c>
      <c r="BB450">
        <v>1</v>
      </c>
      <c r="BC450">
        <v>1</v>
      </c>
      <c r="BD450" t="s">
        <v>5</v>
      </c>
      <c r="BE450" t="s">
        <v>5</v>
      </c>
      <c r="BF450" t="s">
        <v>5</v>
      </c>
      <c r="BG450" t="s">
        <v>5</v>
      </c>
      <c r="BH450">
        <v>3</v>
      </c>
      <c r="BI450">
        <v>1</v>
      </c>
      <c r="BJ450" t="s">
        <v>5</v>
      </c>
      <c r="BM450">
        <v>400002</v>
      </c>
      <c r="BN450">
        <v>0</v>
      </c>
      <c r="BO450" t="s">
        <v>5</v>
      </c>
      <c r="BP450">
        <v>0</v>
      </c>
      <c r="BQ450">
        <v>202</v>
      </c>
      <c r="BR450">
        <v>0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Y450" t="s">
        <v>5</v>
      </c>
      <c r="BZ450">
        <v>0</v>
      </c>
      <c r="CA450">
        <v>0</v>
      </c>
      <c r="CE450">
        <v>30</v>
      </c>
      <c r="CF450">
        <v>0</v>
      </c>
      <c r="CG450">
        <v>0</v>
      </c>
      <c r="CM450">
        <v>0</v>
      </c>
      <c r="CN450" t="s">
        <v>5</v>
      </c>
      <c r="CO450">
        <v>0</v>
      </c>
      <c r="CP450">
        <f t="shared" si="257"/>
        <v>2411640</v>
      </c>
      <c r="CQ450">
        <f t="shared" si="258"/>
        <v>83160</v>
      </c>
      <c r="CR450">
        <f t="shared" si="259"/>
        <v>0</v>
      </c>
      <c r="CS450">
        <f t="shared" si="260"/>
        <v>0</v>
      </c>
      <c r="CT450">
        <f t="shared" si="261"/>
        <v>0</v>
      </c>
      <c r="CU450">
        <f t="shared" si="262"/>
        <v>0</v>
      </c>
      <c r="CV450">
        <f t="shared" si="263"/>
        <v>0</v>
      </c>
      <c r="CW450">
        <f t="shared" si="264"/>
        <v>0</v>
      </c>
      <c r="CX450">
        <f t="shared" si="264"/>
        <v>0</v>
      </c>
      <c r="CY450">
        <f t="shared" si="265"/>
        <v>0</v>
      </c>
      <c r="CZ450">
        <f t="shared" si="266"/>
        <v>0</v>
      </c>
      <c r="DC450" t="s">
        <v>5</v>
      </c>
      <c r="DD450" t="s">
        <v>5</v>
      </c>
      <c r="DE450" t="s">
        <v>5</v>
      </c>
      <c r="DF450" t="s">
        <v>5</v>
      </c>
      <c r="DG450" t="s">
        <v>5</v>
      </c>
      <c r="DH450" t="s">
        <v>5</v>
      </c>
      <c r="DI450" t="s">
        <v>5</v>
      </c>
      <c r="DJ450" t="s">
        <v>5</v>
      </c>
      <c r="DK450" t="s">
        <v>5</v>
      </c>
      <c r="DL450" t="s">
        <v>5</v>
      </c>
      <c r="DM450" t="s">
        <v>5</v>
      </c>
      <c r="DN450">
        <v>0</v>
      </c>
      <c r="DO450">
        <v>0</v>
      </c>
      <c r="DP450">
        <v>1</v>
      </c>
      <c r="DQ450">
        <v>1</v>
      </c>
      <c r="DU450">
        <v>1010</v>
      </c>
      <c r="DV450" t="s">
        <v>179</v>
      </c>
      <c r="DW450" t="s">
        <v>179</v>
      </c>
      <c r="DX450">
        <v>1</v>
      </c>
      <c r="DZ450" t="s">
        <v>5</v>
      </c>
      <c r="EA450" t="s">
        <v>5</v>
      </c>
      <c r="EB450" t="s">
        <v>5</v>
      </c>
      <c r="EC450" t="s">
        <v>5</v>
      </c>
      <c r="EE450">
        <v>49389663</v>
      </c>
      <c r="EF450">
        <v>202</v>
      </c>
      <c r="EG450" t="s">
        <v>180</v>
      </c>
      <c r="EH450">
        <v>0</v>
      </c>
      <c r="EI450" t="s">
        <v>5</v>
      </c>
      <c r="EJ450">
        <v>1</v>
      </c>
      <c r="EK450">
        <v>400002</v>
      </c>
      <c r="EL450" t="s">
        <v>181</v>
      </c>
      <c r="EM450" t="s">
        <v>180</v>
      </c>
      <c r="EO450" t="s">
        <v>5</v>
      </c>
      <c r="EQ450">
        <v>0</v>
      </c>
      <c r="ER450">
        <v>83160</v>
      </c>
      <c r="ES450">
        <v>83160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5</v>
      </c>
      <c r="FC450">
        <v>0</v>
      </c>
      <c r="FD450">
        <v>18</v>
      </c>
      <c r="FF450">
        <v>83160</v>
      </c>
      <c r="FQ450">
        <v>0</v>
      </c>
      <c r="FR450">
        <f t="shared" si="267"/>
        <v>0</v>
      </c>
      <c r="FS450">
        <v>0</v>
      </c>
      <c r="FX450">
        <v>0</v>
      </c>
      <c r="FY450">
        <v>0</v>
      </c>
      <c r="GA450" t="s">
        <v>5</v>
      </c>
      <c r="GD450">
        <v>0</v>
      </c>
      <c r="GF450">
        <v>88821069</v>
      </c>
      <c r="GG450">
        <v>2</v>
      </c>
      <c r="GH450">
        <v>3</v>
      </c>
      <c r="GI450">
        <v>3</v>
      </c>
      <c r="GJ450">
        <v>0</v>
      </c>
      <c r="GK450">
        <f>ROUND(R450*(R12)/100,2)</f>
        <v>0</v>
      </c>
      <c r="GL450">
        <f t="shared" si="268"/>
        <v>0</v>
      </c>
      <c r="GM450">
        <f t="shared" si="269"/>
        <v>2411640</v>
      </c>
      <c r="GN450">
        <f t="shared" si="270"/>
        <v>2411640</v>
      </c>
      <c r="GO450">
        <f t="shared" si="271"/>
        <v>0</v>
      </c>
      <c r="GP450">
        <f t="shared" si="272"/>
        <v>0</v>
      </c>
      <c r="GR450">
        <v>1</v>
      </c>
      <c r="GS450">
        <v>1</v>
      </c>
      <c r="GT450">
        <v>0</v>
      </c>
      <c r="GU450" t="s">
        <v>5</v>
      </c>
      <c r="GV450">
        <f t="shared" si="273"/>
        <v>0</v>
      </c>
      <c r="GW450">
        <v>1</v>
      </c>
      <c r="GX450">
        <f t="shared" si="274"/>
        <v>0</v>
      </c>
      <c r="HA450">
        <v>0</v>
      </c>
      <c r="HB450">
        <v>0</v>
      </c>
      <c r="HC450">
        <f t="shared" si="275"/>
        <v>0</v>
      </c>
      <c r="HE450" t="s">
        <v>5</v>
      </c>
      <c r="HF450" t="s">
        <v>5</v>
      </c>
      <c r="IK450">
        <v>0</v>
      </c>
    </row>
    <row r="451" spans="1:245" x14ac:dyDescent="0.2">
      <c r="A451">
        <v>17</v>
      </c>
      <c r="B451">
        <v>1</v>
      </c>
      <c r="E451" t="s">
        <v>199</v>
      </c>
      <c r="F451" t="s">
        <v>177</v>
      </c>
      <c r="G451" t="s">
        <v>188</v>
      </c>
      <c r="H451" t="s">
        <v>179</v>
      </c>
      <c r="I451">
        <v>132</v>
      </c>
      <c r="J451">
        <v>0</v>
      </c>
      <c r="O451">
        <f t="shared" si="240"/>
        <v>8681904</v>
      </c>
      <c r="P451">
        <f t="shared" si="241"/>
        <v>8681904</v>
      </c>
      <c r="Q451">
        <f t="shared" si="242"/>
        <v>0</v>
      </c>
      <c r="R451">
        <f t="shared" si="243"/>
        <v>0</v>
      </c>
      <c r="S451">
        <f t="shared" si="244"/>
        <v>0</v>
      </c>
      <c r="T451">
        <f t="shared" si="245"/>
        <v>0</v>
      </c>
      <c r="U451">
        <f t="shared" si="246"/>
        <v>0</v>
      </c>
      <c r="V451">
        <f t="shared" si="247"/>
        <v>0</v>
      </c>
      <c r="W451">
        <f t="shared" si="248"/>
        <v>0</v>
      </c>
      <c r="X451">
        <f t="shared" si="249"/>
        <v>0</v>
      </c>
      <c r="Y451">
        <f t="shared" si="249"/>
        <v>0</v>
      </c>
      <c r="AA451">
        <v>49688178</v>
      </c>
      <c r="AB451">
        <f t="shared" si="250"/>
        <v>65772</v>
      </c>
      <c r="AC451">
        <f t="shared" si="251"/>
        <v>65772</v>
      </c>
      <c r="AD451">
        <f t="shared" si="252"/>
        <v>0</v>
      </c>
      <c r="AE451">
        <f t="shared" si="253"/>
        <v>0</v>
      </c>
      <c r="AF451">
        <f t="shared" si="253"/>
        <v>0</v>
      </c>
      <c r="AG451">
        <f t="shared" si="254"/>
        <v>0</v>
      </c>
      <c r="AH451">
        <f t="shared" si="255"/>
        <v>0</v>
      </c>
      <c r="AI451">
        <f t="shared" si="255"/>
        <v>0</v>
      </c>
      <c r="AJ451">
        <f t="shared" si="256"/>
        <v>0</v>
      </c>
      <c r="AK451">
        <v>65772</v>
      </c>
      <c r="AL451">
        <v>65772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1</v>
      </c>
      <c r="AZ451">
        <v>1</v>
      </c>
      <c r="BA451">
        <v>1</v>
      </c>
      <c r="BB451">
        <v>1</v>
      </c>
      <c r="BC451">
        <v>1</v>
      </c>
      <c r="BD451" t="s">
        <v>5</v>
      </c>
      <c r="BE451" t="s">
        <v>5</v>
      </c>
      <c r="BF451" t="s">
        <v>5</v>
      </c>
      <c r="BG451" t="s">
        <v>5</v>
      </c>
      <c r="BH451">
        <v>3</v>
      </c>
      <c r="BI451">
        <v>1</v>
      </c>
      <c r="BJ451" t="s">
        <v>5</v>
      </c>
      <c r="BM451">
        <v>400002</v>
      </c>
      <c r="BN451">
        <v>0</v>
      </c>
      <c r="BO451" t="s">
        <v>5</v>
      </c>
      <c r="BP451">
        <v>0</v>
      </c>
      <c r="BQ451">
        <v>202</v>
      </c>
      <c r="BR451">
        <v>0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 t="s">
        <v>5</v>
      </c>
      <c r="BZ451">
        <v>0</v>
      </c>
      <c r="CA451">
        <v>0</v>
      </c>
      <c r="CE451">
        <v>30</v>
      </c>
      <c r="CF451">
        <v>0</v>
      </c>
      <c r="CG451">
        <v>0</v>
      </c>
      <c r="CM451">
        <v>0</v>
      </c>
      <c r="CN451" t="s">
        <v>5</v>
      </c>
      <c r="CO451">
        <v>0</v>
      </c>
      <c r="CP451">
        <f t="shared" si="257"/>
        <v>8681904</v>
      </c>
      <c r="CQ451">
        <f t="shared" si="258"/>
        <v>65772</v>
      </c>
      <c r="CR451">
        <f t="shared" si="259"/>
        <v>0</v>
      </c>
      <c r="CS451">
        <f t="shared" si="260"/>
        <v>0</v>
      </c>
      <c r="CT451">
        <f t="shared" si="261"/>
        <v>0</v>
      </c>
      <c r="CU451">
        <f t="shared" si="262"/>
        <v>0</v>
      </c>
      <c r="CV451">
        <f t="shared" si="263"/>
        <v>0</v>
      </c>
      <c r="CW451">
        <f t="shared" si="264"/>
        <v>0</v>
      </c>
      <c r="CX451">
        <f t="shared" si="264"/>
        <v>0</v>
      </c>
      <c r="CY451">
        <f t="shared" si="265"/>
        <v>0</v>
      </c>
      <c r="CZ451">
        <f t="shared" si="266"/>
        <v>0</v>
      </c>
      <c r="DC451" t="s">
        <v>5</v>
      </c>
      <c r="DD451" t="s">
        <v>5</v>
      </c>
      <c r="DE451" t="s">
        <v>5</v>
      </c>
      <c r="DF451" t="s">
        <v>5</v>
      </c>
      <c r="DG451" t="s">
        <v>5</v>
      </c>
      <c r="DH451" t="s">
        <v>5</v>
      </c>
      <c r="DI451" t="s">
        <v>5</v>
      </c>
      <c r="DJ451" t="s">
        <v>5</v>
      </c>
      <c r="DK451" t="s">
        <v>5</v>
      </c>
      <c r="DL451" t="s">
        <v>5</v>
      </c>
      <c r="DM451" t="s">
        <v>5</v>
      </c>
      <c r="DN451">
        <v>0</v>
      </c>
      <c r="DO451">
        <v>0</v>
      </c>
      <c r="DP451">
        <v>1</v>
      </c>
      <c r="DQ451">
        <v>1</v>
      </c>
      <c r="DU451">
        <v>1010</v>
      </c>
      <c r="DV451" t="s">
        <v>179</v>
      </c>
      <c r="DW451" t="s">
        <v>179</v>
      </c>
      <c r="DX451">
        <v>1</v>
      </c>
      <c r="DZ451" t="s">
        <v>5</v>
      </c>
      <c r="EA451" t="s">
        <v>5</v>
      </c>
      <c r="EB451" t="s">
        <v>5</v>
      </c>
      <c r="EC451" t="s">
        <v>5</v>
      </c>
      <c r="EE451">
        <v>49389663</v>
      </c>
      <c r="EF451">
        <v>202</v>
      </c>
      <c r="EG451" t="s">
        <v>180</v>
      </c>
      <c r="EH451">
        <v>0</v>
      </c>
      <c r="EI451" t="s">
        <v>5</v>
      </c>
      <c r="EJ451">
        <v>1</v>
      </c>
      <c r="EK451">
        <v>400002</v>
      </c>
      <c r="EL451" t="s">
        <v>181</v>
      </c>
      <c r="EM451" t="s">
        <v>180</v>
      </c>
      <c r="EO451" t="s">
        <v>5</v>
      </c>
      <c r="EQ451">
        <v>0</v>
      </c>
      <c r="ER451">
        <v>65772</v>
      </c>
      <c r="ES451">
        <v>65772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5</v>
      </c>
      <c r="FC451">
        <v>0</v>
      </c>
      <c r="FD451">
        <v>18</v>
      </c>
      <c r="FF451">
        <v>65772</v>
      </c>
      <c r="FQ451">
        <v>0</v>
      </c>
      <c r="FR451">
        <f t="shared" si="267"/>
        <v>0</v>
      </c>
      <c r="FS451">
        <v>0</v>
      </c>
      <c r="FX451">
        <v>0</v>
      </c>
      <c r="FY451">
        <v>0</v>
      </c>
      <c r="GA451" t="s">
        <v>5</v>
      </c>
      <c r="GD451">
        <v>0</v>
      </c>
      <c r="GF451">
        <v>199199258</v>
      </c>
      <c r="GG451">
        <v>2</v>
      </c>
      <c r="GH451">
        <v>3</v>
      </c>
      <c r="GI451">
        <v>3</v>
      </c>
      <c r="GJ451">
        <v>0</v>
      </c>
      <c r="GK451">
        <f>ROUND(R451*(R12)/100,2)</f>
        <v>0</v>
      </c>
      <c r="GL451">
        <f t="shared" si="268"/>
        <v>0</v>
      </c>
      <c r="GM451">
        <f t="shared" si="269"/>
        <v>8681904</v>
      </c>
      <c r="GN451">
        <f t="shared" si="270"/>
        <v>8681904</v>
      </c>
      <c r="GO451">
        <f t="shared" si="271"/>
        <v>0</v>
      </c>
      <c r="GP451">
        <f t="shared" si="272"/>
        <v>0</v>
      </c>
      <c r="GR451">
        <v>1</v>
      </c>
      <c r="GS451">
        <v>1</v>
      </c>
      <c r="GT451">
        <v>0</v>
      </c>
      <c r="GU451" t="s">
        <v>5</v>
      </c>
      <c r="GV451">
        <f t="shared" si="273"/>
        <v>0</v>
      </c>
      <c r="GW451">
        <v>1</v>
      </c>
      <c r="GX451">
        <f t="shared" si="274"/>
        <v>0</v>
      </c>
      <c r="HA451">
        <v>0</v>
      </c>
      <c r="HB451">
        <v>0</v>
      </c>
      <c r="HC451">
        <f t="shared" si="275"/>
        <v>0</v>
      </c>
      <c r="HE451" t="s">
        <v>5</v>
      </c>
      <c r="HF451" t="s">
        <v>5</v>
      </c>
      <c r="IK451">
        <v>0</v>
      </c>
    </row>
    <row r="452" spans="1:245" x14ac:dyDescent="0.2">
      <c r="A452">
        <v>17</v>
      </c>
      <c r="B452">
        <v>1</v>
      </c>
      <c r="E452" t="s">
        <v>200</v>
      </c>
      <c r="F452" t="s">
        <v>177</v>
      </c>
      <c r="G452" t="s">
        <v>190</v>
      </c>
      <c r="H452" t="s">
        <v>179</v>
      </c>
      <c r="I452">
        <v>18</v>
      </c>
      <c r="J452">
        <v>0</v>
      </c>
      <c r="O452">
        <f t="shared" si="240"/>
        <v>948477.6</v>
      </c>
      <c r="P452">
        <f t="shared" si="241"/>
        <v>948477.6</v>
      </c>
      <c r="Q452">
        <f t="shared" si="242"/>
        <v>0</v>
      </c>
      <c r="R452">
        <f t="shared" si="243"/>
        <v>0</v>
      </c>
      <c r="S452">
        <f t="shared" si="244"/>
        <v>0</v>
      </c>
      <c r="T452">
        <f t="shared" si="245"/>
        <v>0</v>
      </c>
      <c r="U452">
        <f t="shared" si="246"/>
        <v>0</v>
      </c>
      <c r="V452">
        <f t="shared" si="247"/>
        <v>0</v>
      </c>
      <c r="W452">
        <f t="shared" si="248"/>
        <v>0</v>
      </c>
      <c r="X452">
        <f t="shared" si="249"/>
        <v>0</v>
      </c>
      <c r="Y452">
        <f t="shared" si="249"/>
        <v>0</v>
      </c>
      <c r="AA452">
        <v>49688178</v>
      </c>
      <c r="AB452">
        <f t="shared" si="250"/>
        <v>52693.2</v>
      </c>
      <c r="AC452">
        <f t="shared" si="251"/>
        <v>52693.2</v>
      </c>
      <c r="AD452">
        <f t="shared" si="252"/>
        <v>0</v>
      </c>
      <c r="AE452">
        <f t="shared" si="253"/>
        <v>0</v>
      </c>
      <c r="AF452">
        <f t="shared" si="253"/>
        <v>0</v>
      </c>
      <c r="AG452">
        <f t="shared" si="254"/>
        <v>0</v>
      </c>
      <c r="AH452">
        <f t="shared" si="255"/>
        <v>0</v>
      </c>
      <c r="AI452">
        <f t="shared" si="255"/>
        <v>0</v>
      </c>
      <c r="AJ452">
        <f t="shared" si="256"/>
        <v>0</v>
      </c>
      <c r="AK452">
        <v>52693.2</v>
      </c>
      <c r="AL452">
        <v>52693.2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1</v>
      </c>
      <c r="AZ452">
        <v>1</v>
      </c>
      <c r="BA452">
        <v>1</v>
      </c>
      <c r="BB452">
        <v>1</v>
      </c>
      <c r="BC452">
        <v>1</v>
      </c>
      <c r="BD452" t="s">
        <v>5</v>
      </c>
      <c r="BE452" t="s">
        <v>5</v>
      </c>
      <c r="BF452" t="s">
        <v>5</v>
      </c>
      <c r="BG452" t="s">
        <v>5</v>
      </c>
      <c r="BH452">
        <v>3</v>
      </c>
      <c r="BI452">
        <v>1</v>
      </c>
      <c r="BJ452" t="s">
        <v>5</v>
      </c>
      <c r="BM452">
        <v>400002</v>
      </c>
      <c r="BN452">
        <v>0</v>
      </c>
      <c r="BO452" t="s">
        <v>5</v>
      </c>
      <c r="BP452">
        <v>0</v>
      </c>
      <c r="BQ452">
        <v>202</v>
      </c>
      <c r="BR452">
        <v>0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 t="s">
        <v>5</v>
      </c>
      <c r="BZ452">
        <v>0</v>
      </c>
      <c r="CA452">
        <v>0</v>
      </c>
      <c r="CE452">
        <v>30</v>
      </c>
      <c r="CF452">
        <v>0</v>
      </c>
      <c r="CG452">
        <v>0</v>
      </c>
      <c r="CM452">
        <v>0</v>
      </c>
      <c r="CN452" t="s">
        <v>5</v>
      </c>
      <c r="CO452">
        <v>0</v>
      </c>
      <c r="CP452">
        <f t="shared" si="257"/>
        <v>948477.6</v>
      </c>
      <c r="CQ452">
        <f t="shared" si="258"/>
        <v>52693.2</v>
      </c>
      <c r="CR452">
        <f t="shared" si="259"/>
        <v>0</v>
      </c>
      <c r="CS452">
        <f t="shared" si="260"/>
        <v>0</v>
      </c>
      <c r="CT452">
        <f t="shared" si="261"/>
        <v>0</v>
      </c>
      <c r="CU452">
        <f t="shared" si="262"/>
        <v>0</v>
      </c>
      <c r="CV452">
        <f t="shared" si="263"/>
        <v>0</v>
      </c>
      <c r="CW452">
        <f t="shared" si="264"/>
        <v>0</v>
      </c>
      <c r="CX452">
        <f t="shared" si="264"/>
        <v>0</v>
      </c>
      <c r="CY452">
        <f t="shared" si="265"/>
        <v>0</v>
      </c>
      <c r="CZ452">
        <f t="shared" si="266"/>
        <v>0</v>
      </c>
      <c r="DC452" t="s">
        <v>5</v>
      </c>
      <c r="DD452" t="s">
        <v>5</v>
      </c>
      <c r="DE452" t="s">
        <v>5</v>
      </c>
      <c r="DF452" t="s">
        <v>5</v>
      </c>
      <c r="DG452" t="s">
        <v>5</v>
      </c>
      <c r="DH452" t="s">
        <v>5</v>
      </c>
      <c r="DI452" t="s">
        <v>5</v>
      </c>
      <c r="DJ452" t="s">
        <v>5</v>
      </c>
      <c r="DK452" t="s">
        <v>5</v>
      </c>
      <c r="DL452" t="s">
        <v>5</v>
      </c>
      <c r="DM452" t="s">
        <v>5</v>
      </c>
      <c r="DN452">
        <v>0</v>
      </c>
      <c r="DO452">
        <v>0</v>
      </c>
      <c r="DP452">
        <v>1</v>
      </c>
      <c r="DQ452">
        <v>1</v>
      </c>
      <c r="DU452">
        <v>1010</v>
      </c>
      <c r="DV452" t="s">
        <v>179</v>
      </c>
      <c r="DW452" t="s">
        <v>179</v>
      </c>
      <c r="DX452">
        <v>1</v>
      </c>
      <c r="DZ452" t="s">
        <v>5</v>
      </c>
      <c r="EA452" t="s">
        <v>5</v>
      </c>
      <c r="EB452" t="s">
        <v>5</v>
      </c>
      <c r="EC452" t="s">
        <v>5</v>
      </c>
      <c r="EE452">
        <v>49389663</v>
      </c>
      <c r="EF452">
        <v>202</v>
      </c>
      <c r="EG452" t="s">
        <v>180</v>
      </c>
      <c r="EH452">
        <v>0</v>
      </c>
      <c r="EI452" t="s">
        <v>5</v>
      </c>
      <c r="EJ452">
        <v>1</v>
      </c>
      <c r="EK452">
        <v>400002</v>
      </c>
      <c r="EL452" t="s">
        <v>181</v>
      </c>
      <c r="EM452" t="s">
        <v>180</v>
      </c>
      <c r="EO452" t="s">
        <v>5</v>
      </c>
      <c r="EQ452">
        <v>0</v>
      </c>
      <c r="ER452">
        <v>52693.2</v>
      </c>
      <c r="ES452">
        <v>52693.2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5</v>
      </c>
      <c r="FC452">
        <v>0</v>
      </c>
      <c r="FD452">
        <v>18</v>
      </c>
      <c r="FF452">
        <v>52693.2</v>
      </c>
      <c r="FQ452">
        <v>0</v>
      </c>
      <c r="FR452">
        <f t="shared" si="267"/>
        <v>0</v>
      </c>
      <c r="FS452">
        <v>0</v>
      </c>
      <c r="FX452">
        <v>0</v>
      </c>
      <c r="FY452">
        <v>0</v>
      </c>
      <c r="GA452" t="s">
        <v>5</v>
      </c>
      <c r="GD452">
        <v>0</v>
      </c>
      <c r="GF452">
        <v>-1308845191</v>
      </c>
      <c r="GG452">
        <v>2</v>
      </c>
      <c r="GH452">
        <v>3</v>
      </c>
      <c r="GI452">
        <v>3</v>
      </c>
      <c r="GJ452">
        <v>0</v>
      </c>
      <c r="GK452">
        <f>ROUND(R452*(R12)/100,2)</f>
        <v>0</v>
      </c>
      <c r="GL452">
        <f t="shared" si="268"/>
        <v>0</v>
      </c>
      <c r="GM452">
        <f t="shared" si="269"/>
        <v>948477.6</v>
      </c>
      <c r="GN452">
        <f t="shared" si="270"/>
        <v>948477.6</v>
      </c>
      <c r="GO452">
        <f t="shared" si="271"/>
        <v>0</v>
      </c>
      <c r="GP452">
        <f t="shared" si="272"/>
        <v>0</v>
      </c>
      <c r="GR452">
        <v>1</v>
      </c>
      <c r="GS452">
        <v>1</v>
      </c>
      <c r="GT452">
        <v>0</v>
      </c>
      <c r="GU452" t="s">
        <v>5</v>
      </c>
      <c r="GV452">
        <f t="shared" si="273"/>
        <v>0</v>
      </c>
      <c r="GW452">
        <v>1</v>
      </c>
      <c r="GX452">
        <f t="shared" si="274"/>
        <v>0</v>
      </c>
      <c r="HA452">
        <v>0</v>
      </c>
      <c r="HB452">
        <v>0</v>
      </c>
      <c r="HC452">
        <f t="shared" si="275"/>
        <v>0</v>
      </c>
      <c r="HE452" t="s">
        <v>5</v>
      </c>
      <c r="HF452" t="s">
        <v>5</v>
      </c>
      <c r="IK452">
        <v>0</v>
      </c>
    </row>
    <row r="453" spans="1:245" x14ac:dyDescent="0.2">
      <c r="A453">
        <v>17</v>
      </c>
      <c r="B453">
        <v>1</v>
      </c>
      <c r="E453" t="s">
        <v>201</v>
      </c>
      <c r="F453" t="s">
        <v>177</v>
      </c>
      <c r="G453" t="s">
        <v>192</v>
      </c>
      <c r="H453" t="s">
        <v>179</v>
      </c>
      <c r="I453">
        <v>15</v>
      </c>
      <c r="J453">
        <v>0</v>
      </c>
      <c r="O453">
        <f t="shared" si="240"/>
        <v>453600</v>
      </c>
      <c r="P453">
        <f t="shared" si="241"/>
        <v>453600</v>
      </c>
      <c r="Q453">
        <f t="shared" si="242"/>
        <v>0</v>
      </c>
      <c r="R453">
        <f t="shared" si="243"/>
        <v>0</v>
      </c>
      <c r="S453">
        <f t="shared" si="244"/>
        <v>0</v>
      </c>
      <c r="T453">
        <f t="shared" si="245"/>
        <v>0</v>
      </c>
      <c r="U453">
        <f t="shared" si="246"/>
        <v>0</v>
      </c>
      <c r="V453">
        <f t="shared" si="247"/>
        <v>0</v>
      </c>
      <c r="W453">
        <f t="shared" si="248"/>
        <v>0</v>
      </c>
      <c r="X453">
        <f t="shared" si="249"/>
        <v>0</v>
      </c>
      <c r="Y453">
        <f t="shared" si="249"/>
        <v>0</v>
      </c>
      <c r="AA453">
        <v>49688178</v>
      </c>
      <c r="AB453">
        <f t="shared" si="250"/>
        <v>30240</v>
      </c>
      <c r="AC453">
        <f t="shared" si="251"/>
        <v>30240</v>
      </c>
      <c r="AD453">
        <f t="shared" si="252"/>
        <v>0</v>
      </c>
      <c r="AE453">
        <f t="shared" si="253"/>
        <v>0</v>
      </c>
      <c r="AF453">
        <f t="shared" si="253"/>
        <v>0</v>
      </c>
      <c r="AG453">
        <f t="shared" si="254"/>
        <v>0</v>
      </c>
      <c r="AH453">
        <f t="shared" si="255"/>
        <v>0</v>
      </c>
      <c r="AI453">
        <f t="shared" si="255"/>
        <v>0</v>
      </c>
      <c r="AJ453">
        <f t="shared" si="256"/>
        <v>0</v>
      </c>
      <c r="AK453">
        <v>30240</v>
      </c>
      <c r="AL453">
        <v>30240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1</v>
      </c>
      <c r="AZ453">
        <v>1</v>
      </c>
      <c r="BA453">
        <v>1</v>
      </c>
      <c r="BB453">
        <v>1</v>
      </c>
      <c r="BC453">
        <v>1</v>
      </c>
      <c r="BD453" t="s">
        <v>5</v>
      </c>
      <c r="BE453" t="s">
        <v>5</v>
      </c>
      <c r="BF453" t="s">
        <v>5</v>
      </c>
      <c r="BG453" t="s">
        <v>5</v>
      </c>
      <c r="BH453">
        <v>3</v>
      </c>
      <c r="BI453">
        <v>1</v>
      </c>
      <c r="BJ453" t="s">
        <v>5</v>
      </c>
      <c r="BM453">
        <v>400002</v>
      </c>
      <c r="BN453">
        <v>0</v>
      </c>
      <c r="BO453" t="s">
        <v>5</v>
      </c>
      <c r="BP453">
        <v>0</v>
      </c>
      <c r="BQ453">
        <v>202</v>
      </c>
      <c r="BR453">
        <v>0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 t="s">
        <v>5</v>
      </c>
      <c r="BZ453">
        <v>0</v>
      </c>
      <c r="CA453">
        <v>0</v>
      </c>
      <c r="CE453">
        <v>30</v>
      </c>
      <c r="CF453">
        <v>0</v>
      </c>
      <c r="CG453">
        <v>0</v>
      </c>
      <c r="CM453">
        <v>0</v>
      </c>
      <c r="CN453" t="s">
        <v>5</v>
      </c>
      <c r="CO453">
        <v>0</v>
      </c>
      <c r="CP453">
        <f t="shared" si="257"/>
        <v>453600</v>
      </c>
      <c r="CQ453">
        <f t="shared" si="258"/>
        <v>30240</v>
      </c>
      <c r="CR453">
        <f t="shared" si="259"/>
        <v>0</v>
      </c>
      <c r="CS453">
        <f t="shared" si="260"/>
        <v>0</v>
      </c>
      <c r="CT453">
        <f t="shared" si="261"/>
        <v>0</v>
      </c>
      <c r="CU453">
        <f t="shared" si="262"/>
        <v>0</v>
      </c>
      <c r="CV453">
        <f t="shared" si="263"/>
        <v>0</v>
      </c>
      <c r="CW453">
        <f t="shared" si="264"/>
        <v>0</v>
      </c>
      <c r="CX453">
        <f t="shared" si="264"/>
        <v>0</v>
      </c>
      <c r="CY453">
        <f t="shared" si="265"/>
        <v>0</v>
      </c>
      <c r="CZ453">
        <f t="shared" si="266"/>
        <v>0</v>
      </c>
      <c r="DC453" t="s">
        <v>5</v>
      </c>
      <c r="DD453" t="s">
        <v>5</v>
      </c>
      <c r="DE453" t="s">
        <v>5</v>
      </c>
      <c r="DF453" t="s">
        <v>5</v>
      </c>
      <c r="DG453" t="s">
        <v>5</v>
      </c>
      <c r="DH453" t="s">
        <v>5</v>
      </c>
      <c r="DI453" t="s">
        <v>5</v>
      </c>
      <c r="DJ453" t="s">
        <v>5</v>
      </c>
      <c r="DK453" t="s">
        <v>5</v>
      </c>
      <c r="DL453" t="s">
        <v>5</v>
      </c>
      <c r="DM453" t="s">
        <v>5</v>
      </c>
      <c r="DN453">
        <v>0</v>
      </c>
      <c r="DO453">
        <v>0</v>
      </c>
      <c r="DP453">
        <v>1</v>
      </c>
      <c r="DQ453">
        <v>1</v>
      </c>
      <c r="DU453">
        <v>1010</v>
      </c>
      <c r="DV453" t="s">
        <v>179</v>
      </c>
      <c r="DW453" t="s">
        <v>179</v>
      </c>
      <c r="DX453">
        <v>1</v>
      </c>
      <c r="DZ453" t="s">
        <v>5</v>
      </c>
      <c r="EA453" t="s">
        <v>5</v>
      </c>
      <c r="EB453" t="s">
        <v>5</v>
      </c>
      <c r="EC453" t="s">
        <v>5</v>
      </c>
      <c r="EE453">
        <v>49389663</v>
      </c>
      <c r="EF453">
        <v>202</v>
      </c>
      <c r="EG453" t="s">
        <v>180</v>
      </c>
      <c r="EH453">
        <v>0</v>
      </c>
      <c r="EI453" t="s">
        <v>5</v>
      </c>
      <c r="EJ453">
        <v>1</v>
      </c>
      <c r="EK453">
        <v>400002</v>
      </c>
      <c r="EL453" t="s">
        <v>181</v>
      </c>
      <c r="EM453" t="s">
        <v>180</v>
      </c>
      <c r="EO453" t="s">
        <v>5</v>
      </c>
      <c r="EQ453">
        <v>0</v>
      </c>
      <c r="ER453">
        <v>30240</v>
      </c>
      <c r="ES453">
        <v>30240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5</v>
      </c>
      <c r="FC453">
        <v>0</v>
      </c>
      <c r="FD453">
        <v>18</v>
      </c>
      <c r="FF453">
        <v>30240</v>
      </c>
      <c r="FQ453">
        <v>0</v>
      </c>
      <c r="FR453">
        <f t="shared" si="267"/>
        <v>0</v>
      </c>
      <c r="FS453">
        <v>0</v>
      </c>
      <c r="FX453">
        <v>0</v>
      </c>
      <c r="FY453">
        <v>0</v>
      </c>
      <c r="GA453" t="s">
        <v>5</v>
      </c>
      <c r="GD453">
        <v>0</v>
      </c>
      <c r="GF453">
        <v>-610415027</v>
      </c>
      <c r="GG453">
        <v>2</v>
      </c>
      <c r="GH453">
        <v>3</v>
      </c>
      <c r="GI453">
        <v>3</v>
      </c>
      <c r="GJ453">
        <v>0</v>
      </c>
      <c r="GK453">
        <f>ROUND(R453*(R12)/100,2)</f>
        <v>0</v>
      </c>
      <c r="GL453">
        <f t="shared" si="268"/>
        <v>0</v>
      </c>
      <c r="GM453">
        <f t="shared" si="269"/>
        <v>453600</v>
      </c>
      <c r="GN453">
        <f t="shared" si="270"/>
        <v>453600</v>
      </c>
      <c r="GO453">
        <f t="shared" si="271"/>
        <v>0</v>
      </c>
      <c r="GP453">
        <f t="shared" si="272"/>
        <v>0</v>
      </c>
      <c r="GR453">
        <v>1</v>
      </c>
      <c r="GS453">
        <v>1</v>
      </c>
      <c r="GT453">
        <v>0</v>
      </c>
      <c r="GU453" t="s">
        <v>5</v>
      </c>
      <c r="GV453">
        <f t="shared" si="273"/>
        <v>0</v>
      </c>
      <c r="GW453">
        <v>1</v>
      </c>
      <c r="GX453">
        <f t="shared" si="274"/>
        <v>0</v>
      </c>
      <c r="HA453">
        <v>0</v>
      </c>
      <c r="HB453">
        <v>0</v>
      </c>
      <c r="HC453">
        <f t="shared" si="275"/>
        <v>0</v>
      </c>
      <c r="HE453" t="s">
        <v>5</v>
      </c>
      <c r="HF453" t="s">
        <v>5</v>
      </c>
      <c r="IK453">
        <v>0</v>
      </c>
    </row>
    <row r="454" spans="1:245" x14ac:dyDescent="0.2">
      <c r="A454">
        <v>17</v>
      </c>
      <c r="B454">
        <v>1</v>
      </c>
      <c r="E454" t="s">
        <v>202</v>
      </c>
      <c r="F454" t="s">
        <v>177</v>
      </c>
      <c r="G454" t="s">
        <v>194</v>
      </c>
      <c r="H454" t="s">
        <v>179</v>
      </c>
      <c r="I454">
        <v>4</v>
      </c>
      <c r="J454">
        <v>0</v>
      </c>
      <c r="O454">
        <f t="shared" si="240"/>
        <v>102640</v>
      </c>
      <c r="P454">
        <f t="shared" si="241"/>
        <v>102640</v>
      </c>
      <c r="Q454">
        <f t="shared" si="242"/>
        <v>0</v>
      </c>
      <c r="R454">
        <f t="shared" si="243"/>
        <v>0</v>
      </c>
      <c r="S454">
        <f t="shared" si="244"/>
        <v>0</v>
      </c>
      <c r="T454">
        <f t="shared" si="245"/>
        <v>0</v>
      </c>
      <c r="U454">
        <f t="shared" si="246"/>
        <v>0</v>
      </c>
      <c r="V454">
        <f t="shared" si="247"/>
        <v>0</v>
      </c>
      <c r="W454">
        <f t="shared" si="248"/>
        <v>0</v>
      </c>
      <c r="X454">
        <f t="shared" si="249"/>
        <v>0</v>
      </c>
      <c r="Y454">
        <f t="shared" si="249"/>
        <v>0</v>
      </c>
      <c r="AA454">
        <v>49688178</v>
      </c>
      <c r="AB454">
        <f t="shared" si="250"/>
        <v>25660</v>
      </c>
      <c r="AC454">
        <f t="shared" si="251"/>
        <v>25660</v>
      </c>
      <c r="AD454">
        <f t="shared" si="252"/>
        <v>0</v>
      </c>
      <c r="AE454">
        <f t="shared" si="253"/>
        <v>0</v>
      </c>
      <c r="AF454">
        <f t="shared" si="253"/>
        <v>0</v>
      </c>
      <c r="AG454">
        <f t="shared" si="254"/>
        <v>0</v>
      </c>
      <c r="AH454">
        <f t="shared" si="255"/>
        <v>0</v>
      </c>
      <c r="AI454">
        <f t="shared" si="255"/>
        <v>0</v>
      </c>
      <c r="AJ454">
        <f t="shared" si="256"/>
        <v>0</v>
      </c>
      <c r="AK454">
        <v>25660</v>
      </c>
      <c r="AL454">
        <v>25660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1</v>
      </c>
      <c r="AZ454">
        <v>1</v>
      </c>
      <c r="BA454">
        <v>1</v>
      </c>
      <c r="BB454">
        <v>1</v>
      </c>
      <c r="BC454">
        <v>1</v>
      </c>
      <c r="BD454" t="s">
        <v>5</v>
      </c>
      <c r="BE454" t="s">
        <v>5</v>
      </c>
      <c r="BF454" t="s">
        <v>5</v>
      </c>
      <c r="BG454" t="s">
        <v>5</v>
      </c>
      <c r="BH454">
        <v>3</v>
      </c>
      <c r="BI454">
        <v>1</v>
      </c>
      <c r="BJ454" t="s">
        <v>5</v>
      </c>
      <c r="BM454">
        <v>400002</v>
      </c>
      <c r="BN454">
        <v>0</v>
      </c>
      <c r="BO454" t="s">
        <v>5</v>
      </c>
      <c r="BP454">
        <v>0</v>
      </c>
      <c r="BQ454">
        <v>202</v>
      </c>
      <c r="BR454">
        <v>0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 t="s">
        <v>5</v>
      </c>
      <c r="BZ454">
        <v>0</v>
      </c>
      <c r="CA454">
        <v>0</v>
      </c>
      <c r="CE454">
        <v>30</v>
      </c>
      <c r="CF454">
        <v>0</v>
      </c>
      <c r="CG454">
        <v>0</v>
      </c>
      <c r="CM454">
        <v>0</v>
      </c>
      <c r="CN454" t="s">
        <v>5</v>
      </c>
      <c r="CO454">
        <v>0</v>
      </c>
      <c r="CP454">
        <f t="shared" si="257"/>
        <v>102640</v>
      </c>
      <c r="CQ454">
        <f t="shared" si="258"/>
        <v>25660</v>
      </c>
      <c r="CR454">
        <f t="shared" si="259"/>
        <v>0</v>
      </c>
      <c r="CS454">
        <f t="shared" si="260"/>
        <v>0</v>
      </c>
      <c r="CT454">
        <f t="shared" si="261"/>
        <v>0</v>
      </c>
      <c r="CU454">
        <f t="shared" si="262"/>
        <v>0</v>
      </c>
      <c r="CV454">
        <f t="shared" si="263"/>
        <v>0</v>
      </c>
      <c r="CW454">
        <f t="shared" si="264"/>
        <v>0</v>
      </c>
      <c r="CX454">
        <f t="shared" si="264"/>
        <v>0</v>
      </c>
      <c r="CY454">
        <f t="shared" si="265"/>
        <v>0</v>
      </c>
      <c r="CZ454">
        <f t="shared" si="266"/>
        <v>0</v>
      </c>
      <c r="DC454" t="s">
        <v>5</v>
      </c>
      <c r="DD454" t="s">
        <v>5</v>
      </c>
      <c r="DE454" t="s">
        <v>5</v>
      </c>
      <c r="DF454" t="s">
        <v>5</v>
      </c>
      <c r="DG454" t="s">
        <v>5</v>
      </c>
      <c r="DH454" t="s">
        <v>5</v>
      </c>
      <c r="DI454" t="s">
        <v>5</v>
      </c>
      <c r="DJ454" t="s">
        <v>5</v>
      </c>
      <c r="DK454" t="s">
        <v>5</v>
      </c>
      <c r="DL454" t="s">
        <v>5</v>
      </c>
      <c r="DM454" t="s">
        <v>5</v>
      </c>
      <c r="DN454">
        <v>0</v>
      </c>
      <c r="DO454">
        <v>0</v>
      </c>
      <c r="DP454">
        <v>1</v>
      </c>
      <c r="DQ454">
        <v>1</v>
      </c>
      <c r="DU454">
        <v>1010</v>
      </c>
      <c r="DV454" t="s">
        <v>179</v>
      </c>
      <c r="DW454" t="s">
        <v>179</v>
      </c>
      <c r="DX454">
        <v>1</v>
      </c>
      <c r="DZ454" t="s">
        <v>5</v>
      </c>
      <c r="EA454" t="s">
        <v>5</v>
      </c>
      <c r="EB454" t="s">
        <v>5</v>
      </c>
      <c r="EC454" t="s">
        <v>5</v>
      </c>
      <c r="EE454">
        <v>49389663</v>
      </c>
      <c r="EF454">
        <v>202</v>
      </c>
      <c r="EG454" t="s">
        <v>180</v>
      </c>
      <c r="EH454">
        <v>0</v>
      </c>
      <c r="EI454" t="s">
        <v>5</v>
      </c>
      <c r="EJ454">
        <v>1</v>
      </c>
      <c r="EK454">
        <v>400002</v>
      </c>
      <c r="EL454" t="s">
        <v>181</v>
      </c>
      <c r="EM454" t="s">
        <v>180</v>
      </c>
      <c r="EO454" t="s">
        <v>5</v>
      </c>
      <c r="EQ454">
        <v>0</v>
      </c>
      <c r="ER454">
        <v>25660</v>
      </c>
      <c r="ES454">
        <v>25660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5</v>
      </c>
      <c r="FC454">
        <v>0</v>
      </c>
      <c r="FD454">
        <v>18</v>
      </c>
      <c r="FF454">
        <v>25660</v>
      </c>
      <c r="FQ454">
        <v>0</v>
      </c>
      <c r="FR454">
        <f t="shared" si="267"/>
        <v>0</v>
      </c>
      <c r="FS454">
        <v>0</v>
      </c>
      <c r="FX454">
        <v>0</v>
      </c>
      <c r="FY454">
        <v>0</v>
      </c>
      <c r="GA454" t="s">
        <v>5</v>
      </c>
      <c r="GD454">
        <v>0</v>
      </c>
      <c r="GF454">
        <v>-539981089</v>
      </c>
      <c r="GG454">
        <v>2</v>
      </c>
      <c r="GH454">
        <v>3</v>
      </c>
      <c r="GI454">
        <v>3</v>
      </c>
      <c r="GJ454">
        <v>0</v>
      </c>
      <c r="GK454">
        <f>ROUND(R454*(R12)/100,2)</f>
        <v>0</v>
      </c>
      <c r="GL454">
        <f t="shared" si="268"/>
        <v>0</v>
      </c>
      <c r="GM454">
        <f t="shared" si="269"/>
        <v>102640</v>
      </c>
      <c r="GN454">
        <f t="shared" si="270"/>
        <v>102640</v>
      </c>
      <c r="GO454">
        <f t="shared" si="271"/>
        <v>0</v>
      </c>
      <c r="GP454">
        <f t="shared" si="272"/>
        <v>0</v>
      </c>
      <c r="GR454">
        <v>1</v>
      </c>
      <c r="GS454">
        <v>1</v>
      </c>
      <c r="GT454">
        <v>0</v>
      </c>
      <c r="GU454" t="s">
        <v>5</v>
      </c>
      <c r="GV454">
        <f t="shared" si="273"/>
        <v>0</v>
      </c>
      <c r="GW454">
        <v>1</v>
      </c>
      <c r="GX454">
        <f t="shared" si="274"/>
        <v>0</v>
      </c>
      <c r="HA454">
        <v>0</v>
      </c>
      <c r="HB454">
        <v>0</v>
      </c>
      <c r="HC454">
        <f t="shared" si="275"/>
        <v>0</v>
      </c>
      <c r="HE454" t="s">
        <v>5</v>
      </c>
      <c r="HF454" t="s">
        <v>5</v>
      </c>
      <c r="IK454">
        <v>0</v>
      </c>
    </row>
    <row r="456" spans="1:245" x14ac:dyDescent="0.2">
      <c r="A456" s="2">
        <v>51</v>
      </c>
      <c r="B456" s="2">
        <f>B444</f>
        <v>1</v>
      </c>
      <c r="C456" s="2">
        <f>A444</f>
        <v>4</v>
      </c>
      <c r="D456" s="2">
        <f>ROW(A444)</f>
        <v>444</v>
      </c>
      <c r="E456" s="2"/>
      <c r="F456" s="2" t="str">
        <f>IF(F444&lt;&gt;"",F444,"")</f>
        <v>Новый раздел</v>
      </c>
      <c r="G456" s="2" t="str">
        <f>IF(G444&lt;&gt;"",G444,"")</f>
        <v>Стоимость деревьев для восстановления отпада</v>
      </c>
      <c r="H456" s="2">
        <v>0</v>
      </c>
      <c r="I456" s="2"/>
      <c r="J456" s="2"/>
      <c r="K456" s="2"/>
      <c r="L456" s="2"/>
      <c r="M456" s="2"/>
      <c r="N456" s="2"/>
      <c r="O456" s="2">
        <f t="shared" ref="O456:T456" si="276">ROUND(AB456,2)</f>
        <v>14399761.6</v>
      </c>
      <c r="P456" s="2">
        <f t="shared" si="276"/>
        <v>14399761.6</v>
      </c>
      <c r="Q456" s="2">
        <f t="shared" si="276"/>
        <v>0</v>
      </c>
      <c r="R456" s="2">
        <f t="shared" si="276"/>
        <v>0</v>
      </c>
      <c r="S456" s="2">
        <f t="shared" si="276"/>
        <v>0</v>
      </c>
      <c r="T456" s="2">
        <f t="shared" si="276"/>
        <v>0</v>
      </c>
      <c r="U456" s="2">
        <f>AH456</f>
        <v>0</v>
      </c>
      <c r="V456" s="2">
        <f>AI456</f>
        <v>0</v>
      </c>
      <c r="W456" s="2">
        <f>ROUND(AJ456,2)</f>
        <v>0</v>
      </c>
      <c r="X456" s="2">
        <f>ROUND(AK456,2)</f>
        <v>0</v>
      </c>
      <c r="Y456" s="2">
        <f>ROUND(AL456,2)</f>
        <v>0</v>
      </c>
      <c r="Z456" s="2"/>
      <c r="AA456" s="2"/>
      <c r="AB456" s="2">
        <f>ROUND(SUMIF(AA448:AA454,"=49688178",O448:O454),2)</f>
        <v>14399761.6</v>
      </c>
      <c r="AC456" s="2">
        <f>ROUND(SUMIF(AA448:AA454,"=49688178",P448:P454),2)</f>
        <v>14399761.6</v>
      </c>
      <c r="AD456" s="2">
        <f>ROUND(SUMIF(AA448:AA454,"=49688178",Q448:Q454),2)</f>
        <v>0</v>
      </c>
      <c r="AE456" s="2">
        <f>ROUND(SUMIF(AA448:AA454,"=49688178",R448:R454),2)</f>
        <v>0</v>
      </c>
      <c r="AF456" s="2">
        <f>ROUND(SUMIF(AA448:AA454,"=49688178",S448:S454),2)</f>
        <v>0</v>
      </c>
      <c r="AG456" s="2">
        <f>ROUND(SUMIF(AA448:AA454,"=49688178",T448:T454),2)</f>
        <v>0</v>
      </c>
      <c r="AH456" s="2">
        <f>SUMIF(AA448:AA454,"=49688178",U448:U454)</f>
        <v>0</v>
      </c>
      <c r="AI456" s="2">
        <f>SUMIF(AA448:AA454,"=49688178",V448:V454)</f>
        <v>0</v>
      </c>
      <c r="AJ456" s="2">
        <f>ROUND(SUMIF(AA448:AA454,"=49688178",W448:W454),2)</f>
        <v>0</v>
      </c>
      <c r="AK456" s="2">
        <f>ROUND(SUMIF(AA448:AA454,"=49688178",X448:X454),2)</f>
        <v>0</v>
      </c>
      <c r="AL456" s="2">
        <f>ROUND(SUMIF(AA448:AA454,"=49688178",Y448:Y454),2)</f>
        <v>0</v>
      </c>
      <c r="AM456" s="2"/>
      <c r="AN456" s="2"/>
      <c r="AO456" s="2">
        <f t="shared" ref="AO456:BD456" si="277">ROUND(BX456,2)</f>
        <v>0</v>
      </c>
      <c r="AP456" s="2">
        <f t="shared" si="277"/>
        <v>0</v>
      </c>
      <c r="AQ456" s="2">
        <f t="shared" si="277"/>
        <v>0</v>
      </c>
      <c r="AR456" s="2">
        <f t="shared" si="277"/>
        <v>14399761.6</v>
      </c>
      <c r="AS456" s="2">
        <f t="shared" si="277"/>
        <v>14399761.6</v>
      </c>
      <c r="AT456" s="2">
        <f t="shared" si="277"/>
        <v>0</v>
      </c>
      <c r="AU456" s="2">
        <f t="shared" si="277"/>
        <v>0</v>
      </c>
      <c r="AV456" s="2">
        <f t="shared" si="277"/>
        <v>14399761.6</v>
      </c>
      <c r="AW456" s="2">
        <f t="shared" si="277"/>
        <v>14399761.6</v>
      </c>
      <c r="AX456" s="2">
        <f t="shared" si="277"/>
        <v>0</v>
      </c>
      <c r="AY456" s="2">
        <f t="shared" si="277"/>
        <v>14399761.6</v>
      </c>
      <c r="AZ456" s="2">
        <f t="shared" si="277"/>
        <v>0</v>
      </c>
      <c r="BA456" s="2">
        <f t="shared" si="277"/>
        <v>0</v>
      </c>
      <c r="BB456" s="2">
        <f t="shared" si="277"/>
        <v>0</v>
      </c>
      <c r="BC456" s="2">
        <f t="shared" si="277"/>
        <v>0</v>
      </c>
      <c r="BD456" s="2">
        <f t="shared" si="277"/>
        <v>0</v>
      </c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>
        <f>ROUND(SUMIF(AA448:AA454,"=49688178",FQ448:FQ454),2)</f>
        <v>0</v>
      </c>
      <c r="BY456" s="2">
        <f>ROUND(SUMIF(AA448:AA454,"=49688178",FR448:FR454),2)</f>
        <v>0</v>
      </c>
      <c r="BZ456" s="2">
        <f>ROUND(SUMIF(AA448:AA454,"=49688178",GL448:GL454),2)</f>
        <v>0</v>
      </c>
      <c r="CA456" s="2">
        <f>ROUND(SUMIF(AA448:AA454,"=49688178",GM448:GM454),2)</f>
        <v>14399761.6</v>
      </c>
      <c r="CB456" s="2">
        <f>ROUND(SUMIF(AA448:AA454,"=49688178",GN448:GN454),2)</f>
        <v>14399761.6</v>
      </c>
      <c r="CC456" s="2">
        <f>ROUND(SUMIF(AA448:AA454,"=49688178",GO448:GO454),2)</f>
        <v>0</v>
      </c>
      <c r="CD456" s="2">
        <f>ROUND(SUMIF(AA448:AA454,"=49688178",GP448:GP454),2)</f>
        <v>0</v>
      </c>
      <c r="CE456" s="2">
        <f>AC456-BX456</f>
        <v>14399761.6</v>
      </c>
      <c r="CF456" s="2">
        <f>AC456-BY456</f>
        <v>14399761.6</v>
      </c>
      <c r="CG456" s="2">
        <f>BX456-BZ456</f>
        <v>0</v>
      </c>
      <c r="CH456" s="2">
        <f>AC456-BX456-BY456+BZ456</f>
        <v>14399761.6</v>
      </c>
      <c r="CI456" s="2">
        <f>BY456-BZ456</f>
        <v>0</v>
      </c>
      <c r="CJ456" s="2">
        <f>ROUND(SUMIF(AA448:AA454,"=49688178",GX448:GX454),2)</f>
        <v>0</v>
      </c>
      <c r="CK456" s="2">
        <f>ROUND(SUMIF(AA448:AA454,"=49688178",GY448:GY454),2)</f>
        <v>0</v>
      </c>
      <c r="CL456" s="2">
        <f>ROUND(SUMIF(AA448:AA454,"=49688178",GZ448:GZ454),2)</f>
        <v>0</v>
      </c>
      <c r="CM456" s="2">
        <f>ROUND(SUMIF(AA448:AA454,"=49688178",HD448:HD454),2)</f>
        <v>0</v>
      </c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>
        <v>0</v>
      </c>
    </row>
    <row r="458" spans="1:245" x14ac:dyDescent="0.2">
      <c r="A458" s="4">
        <v>50</v>
      </c>
      <c r="B458" s="4">
        <v>0</v>
      </c>
      <c r="C458" s="4">
        <v>0</v>
      </c>
      <c r="D458" s="4">
        <v>1</v>
      </c>
      <c r="E458" s="4">
        <v>201</v>
      </c>
      <c r="F458" s="4">
        <f>ROUND(Source!O456,O458)</f>
        <v>14399761.6</v>
      </c>
      <c r="G458" s="4" t="s">
        <v>51</v>
      </c>
      <c r="H458" s="4" t="s">
        <v>52</v>
      </c>
      <c r="I458" s="4"/>
      <c r="J458" s="4"/>
      <c r="K458" s="4">
        <v>201</v>
      </c>
      <c r="L458" s="4">
        <v>1</v>
      </c>
      <c r="M458" s="4">
        <v>3</v>
      </c>
      <c r="N458" s="4" t="s">
        <v>5</v>
      </c>
      <c r="O458" s="4">
        <v>2</v>
      </c>
      <c r="P458" s="4"/>
      <c r="Q458" s="4"/>
      <c r="R458" s="4"/>
      <c r="S458" s="4"/>
      <c r="T458" s="4"/>
      <c r="U458" s="4"/>
      <c r="V458" s="4"/>
      <c r="W458" s="4"/>
    </row>
    <row r="459" spans="1:245" x14ac:dyDescent="0.2">
      <c r="A459" s="4">
        <v>50</v>
      </c>
      <c r="B459" s="4">
        <v>0</v>
      </c>
      <c r="C459" s="4">
        <v>0</v>
      </c>
      <c r="D459" s="4">
        <v>1</v>
      </c>
      <c r="E459" s="4">
        <v>202</v>
      </c>
      <c r="F459" s="4">
        <f>ROUND(Source!P456,O459)</f>
        <v>14399761.6</v>
      </c>
      <c r="G459" s="4" t="s">
        <v>53</v>
      </c>
      <c r="H459" s="4" t="s">
        <v>54</v>
      </c>
      <c r="I459" s="4"/>
      <c r="J459" s="4"/>
      <c r="K459" s="4">
        <v>202</v>
      </c>
      <c r="L459" s="4">
        <v>2</v>
      </c>
      <c r="M459" s="4">
        <v>3</v>
      </c>
      <c r="N459" s="4" t="s">
        <v>5</v>
      </c>
      <c r="O459" s="4">
        <v>2</v>
      </c>
      <c r="P459" s="4"/>
      <c r="Q459" s="4"/>
      <c r="R459" s="4"/>
      <c r="S459" s="4"/>
      <c r="T459" s="4"/>
      <c r="U459" s="4"/>
      <c r="V459" s="4"/>
      <c r="W459" s="4"/>
    </row>
    <row r="460" spans="1:245" x14ac:dyDescent="0.2">
      <c r="A460" s="4">
        <v>50</v>
      </c>
      <c r="B460" s="4">
        <v>0</v>
      </c>
      <c r="C460" s="4">
        <v>0</v>
      </c>
      <c r="D460" s="4">
        <v>1</v>
      </c>
      <c r="E460" s="4">
        <v>222</v>
      </c>
      <c r="F460" s="4">
        <f>ROUND(Source!AO456,O460)</f>
        <v>0</v>
      </c>
      <c r="G460" s="4" t="s">
        <v>55</v>
      </c>
      <c r="H460" s="4" t="s">
        <v>56</v>
      </c>
      <c r="I460" s="4"/>
      <c r="J460" s="4"/>
      <c r="K460" s="4">
        <v>222</v>
      </c>
      <c r="L460" s="4">
        <v>3</v>
      </c>
      <c r="M460" s="4">
        <v>3</v>
      </c>
      <c r="N460" s="4" t="s">
        <v>5</v>
      </c>
      <c r="O460" s="4">
        <v>2</v>
      </c>
      <c r="P460" s="4"/>
      <c r="Q460" s="4"/>
      <c r="R460" s="4"/>
      <c r="S460" s="4"/>
      <c r="T460" s="4"/>
      <c r="U460" s="4"/>
      <c r="V460" s="4"/>
      <c r="W460" s="4"/>
    </row>
    <row r="461" spans="1:245" x14ac:dyDescent="0.2">
      <c r="A461" s="4">
        <v>50</v>
      </c>
      <c r="B461" s="4">
        <v>0</v>
      </c>
      <c r="C461" s="4">
        <v>0</v>
      </c>
      <c r="D461" s="4">
        <v>1</v>
      </c>
      <c r="E461" s="4">
        <v>225</v>
      </c>
      <c r="F461" s="4">
        <f>ROUND(Source!AV456,O461)</f>
        <v>14399761.6</v>
      </c>
      <c r="G461" s="4" t="s">
        <v>57</v>
      </c>
      <c r="H461" s="4" t="s">
        <v>58</v>
      </c>
      <c r="I461" s="4"/>
      <c r="J461" s="4"/>
      <c r="K461" s="4">
        <v>225</v>
      </c>
      <c r="L461" s="4">
        <v>4</v>
      </c>
      <c r="M461" s="4">
        <v>3</v>
      </c>
      <c r="N461" s="4" t="s">
        <v>5</v>
      </c>
      <c r="O461" s="4">
        <v>2</v>
      </c>
      <c r="P461" s="4"/>
      <c r="Q461" s="4"/>
      <c r="R461" s="4"/>
      <c r="S461" s="4"/>
      <c r="T461" s="4"/>
      <c r="U461" s="4"/>
      <c r="V461" s="4"/>
      <c r="W461" s="4"/>
    </row>
    <row r="462" spans="1:245" x14ac:dyDescent="0.2">
      <c r="A462" s="4">
        <v>50</v>
      </c>
      <c r="B462" s="4">
        <v>0</v>
      </c>
      <c r="C462" s="4">
        <v>0</v>
      </c>
      <c r="D462" s="4">
        <v>1</v>
      </c>
      <c r="E462" s="4">
        <v>226</v>
      </c>
      <c r="F462" s="4">
        <f>ROUND(Source!AW456,O462)</f>
        <v>14399761.6</v>
      </c>
      <c r="G462" s="4" t="s">
        <v>59</v>
      </c>
      <c r="H462" s="4" t="s">
        <v>60</v>
      </c>
      <c r="I462" s="4"/>
      <c r="J462" s="4"/>
      <c r="K462" s="4">
        <v>226</v>
      </c>
      <c r="L462" s="4">
        <v>5</v>
      </c>
      <c r="M462" s="4">
        <v>3</v>
      </c>
      <c r="N462" s="4" t="s">
        <v>5</v>
      </c>
      <c r="O462" s="4">
        <v>2</v>
      </c>
      <c r="P462" s="4"/>
      <c r="Q462" s="4"/>
      <c r="R462" s="4"/>
      <c r="S462" s="4"/>
      <c r="T462" s="4"/>
      <c r="U462" s="4"/>
      <c r="V462" s="4"/>
      <c r="W462" s="4"/>
    </row>
    <row r="463" spans="1:245" x14ac:dyDescent="0.2">
      <c r="A463" s="4">
        <v>50</v>
      </c>
      <c r="B463" s="4">
        <v>0</v>
      </c>
      <c r="C463" s="4">
        <v>0</v>
      </c>
      <c r="D463" s="4">
        <v>1</v>
      </c>
      <c r="E463" s="4">
        <v>227</v>
      </c>
      <c r="F463" s="4">
        <f>ROUND(Source!AX456,O463)</f>
        <v>0</v>
      </c>
      <c r="G463" s="4" t="s">
        <v>61</v>
      </c>
      <c r="H463" s="4" t="s">
        <v>62</v>
      </c>
      <c r="I463" s="4"/>
      <c r="J463" s="4"/>
      <c r="K463" s="4">
        <v>227</v>
      </c>
      <c r="L463" s="4">
        <v>6</v>
      </c>
      <c r="M463" s="4">
        <v>3</v>
      </c>
      <c r="N463" s="4" t="s">
        <v>5</v>
      </c>
      <c r="O463" s="4">
        <v>2</v>
      </c>
      <c r="P463" s="4"/>
      <c r="Q463" s="4"/>
      <c r="R463" s="4"/>
      <c r="S463" s="4"/>
      <c r="T463" s="4"/>
      <c r="U463" s="4"/>
      <c r="V463" s="4"/>
      <c r="W463" s="4"/>
    </row>
    <row r="464" spans="1:245" x14ac:dyDescent="0.2">
      <c r="A464" s="4">
        <v>50</v>
      </c>
      <c r="B464" s="4">
        <v>0</v>
      </c>
      <c r="C464" s="4">
        <v>0</v>
      </c>
      <c r="D464" s="4">
        <v>1</v>
      </c>
      <c r="E464" s="4">
        <v>228</v>
      </c>
      <c r="F464" s="4">
        <f>ROUND(Source!AY456,O464)</f>
        <v>14399761.6</v>
      </c>
      <c r="G464" s="4" t="s">
        <v>63</v>
      </c>
      <c r="H464" s="4" t="s">
        <v>64</v>
      </c>
      <c r="I464" s="4"/>
      <c r="J464" s="4"/>
      <c r="K464" s="4">
        <v>228</v>
      </c>
      <c r="L464" s="4">
        <v>7</v>
      </c>
      <c r="M464" s="4">
        <v>3</v>
      </c>
      <c r="N464" s="4" t="s">
        <v>5</v>
      </c>
      <c r="O464" s="4">
        <v>2</v>
      </c>
      <c r="P464" s="4"/>
      <c r="Q464" s="4"/>
      <c r="R464" s="4"/>
      <c r="S464" s="4"/>
      <c r="T464" s="4"/>
      <c r="U464" s="4"/>
      <c r="V464" s="4"/>
      <c r="W464" s="4"/>
    </row>
    <row r="465" spans="1:23" x14ac:dyDescent="0.2">
      <c r="A465" s="4">
        <v>50</v>
      </c>
      <c r="B465" s="4">
        <v>0</v>
      </c>
      <c r="C465" s="4">
        <v>0</v>
      </c>
      <c r="D465" s="4">
        <v>1</v>
      </c>
      <c r="E465" s="4">
        <v>216</v>
      </c>
      <c r="F465" s="4">
        <f>ROUND(Source!AP456,O465)</f>
        <v>0</v>
      </c>
      <c r="G465" s="4" t="s">
        <v>65</v>
      </c>
      <c r="H465" s="4" t="s">
        <v>66</v>
      </c>
      <c r="I465" s="4"/>
      <c r="J465" s="4"/>
      <c r="K465" s="4">
        <v>216</v>
      </c>
      <c r="L465" s="4">
        <v>8</v>
      </c>
      <c r="M465" s="4">
        <v>3</v>
      </c>
      <c r="N465" s="4" t="s">
        <v>5</v>
      </c>
      <c r="O465" s="4">
        <v>2</v>
      </c>
      <c r="P465" s="4"/>
      <c r="Q465" s="4"/>
      <c r="R465" s="4"/>
      <c r="S465" s="4"/>
      <c r="T465" s="4"/>
      <c r="U465" s="4"/>
      <c r="V465" s="4"/>
      <c r="W465" s="4"/>
    </row>
    <row r="466" spans="1:23" x14ac:dyDescent="0.2">
      <c r="A466" s="4">
        <v>50</v>
      </c>
      <c r="B466" s="4">
        <v>0</v>
      </c>
      <c r="C466" s="4">
        <v>0</v>
      </c>
      <c r="D466" s="4">
        <v>1</v>
      </c>
      <c r="E466" s="4">
        <v>223</v>
      </c>
      <c r="F466" s="4">
        <f>ROUND(Source!AQ456,O466)</f>
        <v>0</v>
      </c>
      <c r="G466" s="4" t="s">
        <v>67</v>
      </c>
      <c r="H466" s="4" t="s">
        <v>68</v>
      </c>
      <c r="I466" s="4"/>
      <c r="J466" s="4"/>
      <c r="K466" s="4">
        <v>223</v>
      </c>
      <c r="L466" s="4">
        <v>9</v>
      </c>
      <c r="M466" s="4">
        <v>3</v>
      </c>
      <c r="N466" s="4" t="s">
        <v>5</v>
      </c>
      <c r="O466" s="4">
        <v>2</v>
      </c>
      <c r="P466" s="4"/>
      <c r="Q466" s="4"/>
      <c r="R466" s="4"/>
      <c r="S466" s="4"/>
      <c r="T466" s="4"/>
      <c r="U466" s="4"/>
      <c r="V466" s="4"/>
      <c r="W466" s="4"/>
    </row>
    <row r="467" spans="1:23" x14ac:dyDescent="0.2">
      <c r="A467" s="4">
        <v>50</v>
      </c>
      <c r="B467" s="4">
        <v>0</v>
      </c>
      <c r="C467" s="4">
        <v>0</v>
      </c>
      <c r="D467" s="4">
        <v>1</v>
      </c>
      <c r="E467" s="4">
        <v>229</v>
      </c>
      <c r="F467" s="4">
        <f>ROUND(Source!AZ456,O467)</f>
        <v>0</v>
      </c>
      <c r="G467" s="4" t="s">
        <v>69</v>
      </c>
      <c r="H467" s="4" t="s">
        <v>70</v>
      </c>
      <c r="I467" s="4"/>
      <c r="J467" s="4"/>
      <c r="K467" s="4">
        <v>229</v>
      </c>
      <c r="L467" s="4">
        <v>10</v>
      </c>
      <c r="M467" s="4">
        <v>3</v>
      </c>
      <c r="N467" s="4" t="s">
        <v>5</v>
      </c>
      <c r="O467" s="4">
        <v>2</v>
      </c>
      <c r="P467" s="4"/>
      <c r="Q467" s="4"/>
      <c r="R467" s="4"/>
      <c r="S467" s="4"/>
      <c r="T467" s="4"/>
      <c r="U467" s="4"/>
      <c r="V467" s="4"/>
      <c r="W467" s="4"/>
    </row>
    <row r="468" spans="1:23" x14ac:dyDescent="0.2">
      <c r="A468" s="4">
        <v>50</v>
      </c>
      <c r="B468" s="4">
        <v>0</v>
      </c>
      <c r="C468" s="4">
        <v>0</v>
      </c>
      <c r="D468" s="4">
        <v>1</v>
      </c>
      <c r="E468" s="4">
        <v>203</v>
      </c>
      <c r="F468" s="4">
        <f>ROUND(Source!Q456,O468)</f>
        <v>0</v>
      </c>
      <c r="G468" s="4" t="s">
        <v>71</v>
      </c>
      <c r="H468" s="4" t="s">
        <v>72</v>
      </c>
      <c r="I468" s="4"/>
      <c r="J468" s="4"/>
      <c r="K468" s="4">
        <v>203</v>
      </c>
      <c r="L468" s="4">
        <v>11</v>
      </c>
      <c r="M468" s="4">
        <v>3</v>
      </c>
      <c r="N468" s="4" t="s">
        <v>5</v>
      </c>
      <c r="O468" s="4">
        <v>2</v>
      </c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4">
        <v>50</v>
      </c>
      <c r="B469" s="4">
        <v>0</v>
      </c>
      <c r="C469" s="4">
        <v>0</v>
      </c>
      <c r="D469" s="4">
        <v>1</v>
      </c>
      <c r="E469" s="4">
        <v>231</v>
      </c>
      <c r="F469" s="4">
        <f>ROUND(Source!BB456,O469)</f>
        <v>0</v>
      </c>
      <c r="G469" s="4" t="s">
        <v>73</v>
      </c>
      <c r="H469" s="4" t="s">
        <v>74</v>
      </c>
      <c r="I469" s="4"/>
      <c r="J469" s="4"/>
      <c r="K469" s="4">
        <v>231</v>
      </c>
      <c r="L469" s="4">
        <v>12</v>
      </c>
      <c r="M469" s="4">
        <v>3</v>
      </c>
      <c r="N469" s="4" t="s">
        <v>5</v>
      </c>
      <c r="O469" s="4">
        <v>2</v>
      </c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4">
        <v>50</v>
      </c>
      <c r="B470" s="4">
        <v>0</v>
      </c>
      <c r="C470" s="4">
        <v>0</v>
      </c>
      <c r="D470" s="4">
        <v>1</v>
      </c>
      <c r="E470" s="4">
        <v>204</v>
      </c>
      <c r="F470" s="4">
        <f>ROUND(Source!R456,O470)</f>
        <v>0</v>
      </c>
      <c r="G470" s="4" t="s">
        <v>75</v>
      </c>
      <c r="H470" s="4" t="s">
        <v>76</v>
      </c>
      <c r="I470" s="4"/>
      <c r="J470" s="4"/>
      <c r="K470" s="4">
        <v>204</v>
      </c>
      <c r="L470" s="4">
        <v>13</v>
      </c>
      <c r="M470" s="4">
        <v>3</v>
      </c>
      <c r="N470" s="4" t="s">
        <v>5</v>
      </c>
      <c r="O470" s="4">
        <v>2</v>
      </c>
      <c r="P470" s="4"/>
      <c r="Q470" s="4"/>
      <c r="R470" s="4"/>
      <c r="S470" s="4"/>
      <c r="T470" s="4"/>
      <c r="U470" s="4"/>
      <c r="V470" s="4"/>
      <c r="W470" s="4"/>
    </row>
    <row r="471" spans="1:23" x14ac:dyDescent="0.2">
      <c r="A471" s="4">
        <v>50</v>
      </c>
      <c r="B471" s="4">
        <v>0</v>
      </c>
      <c r="C471" s="4">
        <v>0</v>
      </c>
      <c r="D471" s="4">
        <v>1</v>
      </c>
      <c r="E471" s="4">
        <v>205</v>
      </c>
      <c r="F471" s="4">
        <f>ROUND(Source!S456,O471)</f>
        <v>0</v>
      </c>
      <c r="G471" s="4" t="s">
        <v>77</v>
      </c>
      <c r="H471" s="4" t="s">
        <v>78</v>
      </c>
      <c r="I471" s="4"/>
      <c r="J471" s="4"/>
      <c r="K471" s="4">
        <v>205</v>
      </c>
      <c r="L471" s="4">
        <v>14</v>
      </c>
      <c r="M471" s="4">
        <v>3</v>
      </c>
      <c r="N471" s="4" t="s">
        <v>5</v>
      </c>
      <c r="O471" s="4">
        <v>2</v>
      </c>
      <c r="P471" s="4"/>
      <c r="Q471" s="4"/>
      <c r="R471" s="4"/>
      <c r="S471" s="4"/>
      <c r="T471" s="4"/>
      <c r="U471" s="4"/>
      <c r="V471" s="4"/>
      <c r="W471" s="4"/>
    </row>
    <row r="472" spans="1:23" x14ac:dyDescent="0.2">
      <c r="A472" s="4">
        <v>50</v>
      </c>
      <c r="B472" s="4">
        <v>0</v>
      </c>
      <c r="C472" s="4">
        <v>0</v>
      </c>
      <c r="D472" s="4">
        <v>1</v>
      </c>
      <c r="E472" s="4">
        <v>232</v>
      </c>
      <c r="F472" s="4">
        <f>ROUND(Source!BC456,O472)</f>
        <v>0</v>
      </c>
      <c r="G472" s="4" t="s">
        <v>79</v>
      </c>
      <c r="H472" s="4" t="s">
        <v>80</v>
      </c>
      <c r="I472" s="4"/>
      <c r="J472" s="4"/>
      <c r="K472" s="4">
        <v>232</v>
      </c>
      <c r="L472" s="4">
        <v>15</v>
      </c>
      <c r="M472" s="4">
        <v>3</v>
      </c>
      <c r="N472" s="4" t="s">
        <v>5</v>
      </c>
      <c r="O472" s="4">
        <v>2</v>
      </c>
      <c r="P472" s="4"/>
      <c r="Q472" s="4"/>
      <c r="R472" s="4"/>
      <c r="S472" s="4"/>
      <c r="T472" s="4"/>
      <c r="U472" s="4"/>
      <c r="V472" s="4"/>
      <c r="W472" s="4"/>
    </row>
    <row r="473" spans="1:23" x14ac:dyDescent="0.2">
      <c r="A473" s="4">
        <v>50</v>
      </c>
      <c r="B473" s="4">
        <v>0</v>
      </c>
      <c r="C473" s="4">
        <v>0</v>
      </c>
      <c r="D473" s="4">
        <v>1</v>
      </c>
      <c r="E473" s="4">
        <v>214</v>
      </c>
      <c r="F473" s="4">
        <f>ROUND(Source!AS456,O473)</f>
        <v>14399761.6</v>
      </c>
      <c r="G473" s="4" t="s">
        <v>81</v>
      </c>
      <c r="H473" s="4" t="s">
        <v>82</v>
      </c>
      <c r="I473" s="4"/>
      <c r="J473" s="4"/>
      <c r="K473" s="4">
        <v>214</v>
      </c>
      <c r="L473" s="4">
        <v>16</v>
      </c>
      <c r="M473" s="4">
        <v>3</v>
      </c>
      <c r="N473" s="4" t="s">
        <v>5</v>
      </c>
      <c r="O473" s="4">
        <v>2</v>
      </c>
      <c r="P473" s="4"/>
      <c r="Q473" s="4"/>
      <c r="R473" s="4"/>
      <c r="S473" s="4"/>
      <c r="T473" s="4"/>
      <c r="U473" s="4"/>
      <c r="V473" s="4"/>
      <c r="W473" s="4"/>
    </row>
    <row r="474" spans="1:23" x14ac:dyDescent="0.2">
      <c r="A474" s="4">
        <v>50</v>
      </c>
      <c r="B474" s="4">
        <v>0</v>
      </c>
      <c r="C474" s="4">
        <v>0</v>
      </c>
      <c r="D474" s="4">
        <v>1</v>
      </c>
      <c r="E474" s="4">
        <v>215</v>
      </c>
      <c r="F474" s="4">
        <f>ROUND(Source!AT456,O474)</f>
        <v>0</v>
      </c>
      <c r="G474" s="4" t="s">
        <v>83</v>
      </c>
      <c r="H474" s="4" t="s">
        <v>84</v>
      </c>
      <c r="I474" s="4"/>
      <c r="J474" s="4"/>
      <c r="K474" s="4">
        <v>215</v>
      </c>
      <c r="L474" s="4">
        <v>17</v>
      </c>
      <c r="M474" s="4">
        <v>3</v>
      </c>
      <c r="N474" s="4" t="s">
        <v>5</v>
      </c>
      <c r="O474" s="4">
        <v>2</v>
      </c>
      <c r="P474" s="4"/>
      <c r="Q474" s="4"/>
      <c r="R474" s="4"/>
      <c r="S474" s="4"/>
      <c r="T474" s="4"/>
      <c r="U474" s="4"/>
      <c r="V474" s="4"/>
      <c r="W474" s="4"/>
    </row>
    <row r="475" spans="1:23" x14ac:dyDescent="0.2">
      <c r="A475" s="4">
        <v>50</v>
      </c>
      <c r="B475" s="4">
        <v>0</v>
      </c>
      <c r="C475" s="4">
        <v>0</v>
      </c>
      <c r="D475" s="4">
        <v>1</v>
      </c>
      <c r="E475" s="4">
        <v>217</v>
      </c>
      <c r="F475" s="4">
        <f>ROUND(Source!AU456,O475)</f>
        <v>0</v>
      </c>
      <c r="G475" s="4" t="s">
        <v>85</v>
      </c>
      <c r="H475" s="4" t="s">
        <v>86</v>
      </c>
      <c r="I475" s="4"/>
      <c r="J475" s="4"/>
      <c r="K475" s="4">
        <v>217</v>
      </c>
      <c r="L475" s="4">
        <v>18</v>
      </c>
      <c r="M475" s="4">
        <v>3</v>
      </c>
      <c r="N475" s="4" t="s">
        <v>5</v>
      </c>
      <c r="O475" s="4">
        <v>2</v>
      </c>
      <c r="P475" s="4"/>
      <c r="Q475" s="4"/>
      <c r="R475" s="4"/>
      <c r="S475" s="4"/>
      <c r="T475" s="4"/>
      <c r="U475" s="4"/>
      <c r="V475" s="4"/>
      <c r="W475" s="4"/>
    </row>
    <row r="476" spans="1:23" x14ac:dyDescent="0.2">
      <c r="A476" s="4">
        <v>50</v>
      </c>
      <c r="B476" s="4">
        <v>0</v>
      </c>
      <c r="C476" s="4">
        <v>0</v>
      </c>
      <c r="D476" s="4">
        <v>1</v>
      </c>
      <c r="E476" s="4">
        <v>230</v>
      </c>
      <c r="F476" s="4">
        <f>ROUND(Source!BA456,O476)</f>
        <v>0</v>
      </c>
      <c r="G476" s="4" t="s">
        <v>87</v>
      </c>
      <c r="H476" s="4" t="s">
        <v>88</v>
      </c>
      <c r="I476" s="4"/>
      <c r="J476" s="4"/>
      <c r="K476" s="4">
        <v>230</v>
      </c>
      <c r="L476" s="4">
        <v>19</v>
      </c>
      <c r="M476" s="4">
        <v>3</v>
      </c>
      <c r="N476" s="4" t="s">
        <v>5</v>
      </c>
      <c r="O476" s="4">
        <v>2</v>
      </c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4">
        <v>50</v>
      </c>
      <c r="B477" s="4">
        <v>0</v>
      </c>
      <c r="C477" s="4">
        <v>0</v>
      </c>
      <c r="D477" s="4">
        <v>1</v>
      </c>
      <c r="E477" s="4">
        <v>206</v>
      </c>
      <c r="F477" s="4">
        <f>ROUND(Source!T456,O477)</f>
        <v>0</v>
      </c>
      <c r="G477" s="4" t="s">
        <v>89</v>
      </c>
      <c r="H477" s="4" t="s">
        <v>90</v>
      </c>
      <c r="I477" s="4"/>
      <c r="J477" s="4"/>
      <c r="K477" s="4">
        <v>206</v>
      </c>
      <c r="L477" s="4">
        <v>20</v>
      </c>
      <c r="M477" s="4">
        <v>3</v>
      </c>
      <c r="N477" s="4" t="s">
        <v>5</v>
      </c>
      <c r="O477" s="4">
        <v>2</v>
      </c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4">
        <v>50</v>
      </c>
      <c r="B478" s="4">
        <v>0</v>
      </c>
      <c r="C478" s="4">
        <v>0</v>
      </c>
      <c r="D478" s="4">
        <v>1</v>
      </c>
      <c r="E478" s="4">
        <v>207</v>
      </c>
      <c r="F478" s="4">
        <f>Source!U456</f>
        <v>0</v>
      </c>
      <c r="G478" s="4" t="s">
        <v>91</v>
      </c>
      <c r="H478" s="4" t="s">
        <v>92</v>
      </c>
      <c r="I478" s="4"/>
      <c r="J478" s="4"/>
      <c r="K478" s="4">
        <v>207</v>
      </c>
      <c r="L478" s="4">
        <v>21</v>
      </c>
      <c r="M478" s="4">
        <v>3</v>
      </c>
      <c r="N478" s="4" t="s">
        <v>5</v>
      </c>
      <c r="O478" s="4">
        <v>-1</v>
      </c>
      <c r="P478" s="4"/>
      <c r="Q478" s="4"/>
      <c r="R478" s="4"/>
      <c r="S478" s="4"/>
      <c r="T478" s="4"/>
      <c r="U478" s="4"/>
      <c r="V478" s="4"/>
      <c r="W478" s="4"/>
    </row>
    <row r="479" spans="1:23" x14ac:dyDescent="0.2">
      <c r="A479" s="4">
        <v>50</v>
      </c>
      <c r="B479" s="4">
        <v>0</v>
      </c>
      <c r="C479" s="4">
        <v>0</v>
      </c>
      <c r="D479" s="4">
        <v>1</v>
      </c>
      <c r="E479" s="4">
        <v>208</v>
      </c>
      <c r="F479" s="4">
        <f>Source!V456</f>
        <v>0</v>
      </c>
      <c r="G479" s="4" t="s">
        <v>93</v>
      </c>
      <c r="H479" s="4" t="s">
        <v>94</v>
      </c>
      <c r="I479" s="4"/>
      <c r="J479" s="4"/>
      <c r="K479" s="4">
        <v>208</v>
      </c>
      <c r="L479" s="4">
        <v>22</v>
      </c>
      <c r="M479" s="4">
        <v>3</v>
      </c>
      <c r="N479" s="4" t="s">
        <v>5</v>
      </c>
      <c r="O479" s="4">
        <v>-1</v>
      </c>
      <c r="P479" s="4"/>
      <c r="Q479" s="4"/>
      <c r="R479" s="4"/>
      <c r="S479" s="4"/>
      <c r="T479" s="4"/>
      <c r="U479" s="4"/>
      <c r="V479" s="4"/>
      <c r="W479" s="4"/>
    </row>
    <row r="480" spans="1:23" x14ac:dyDescent="0.2">
      <c r="A480" s="4">
        <v>50</v>
      </c>
      <c r="B480" s="4">
        <v>0</v>
      </c>
      <c r="C480" s="4">
        <v>0</v>
      </c>
      <c r="D480" s="4">
        <v>1</v>
      </c>
      <c r="E480" s="4">
        <v>209</v>
      </c>
      <c r="F480" s="4">
        <f>ROUND(Source!W456,O480)</f>
        <v>0</v>
      </c>
      <c r="G480" s="4" t="s">
        <v>95</v>
      </c>
      <c r="H480" s="4" t="s">
        <v>96</v>
      </c>
      <c r="I480" s="4"/>
      <c r="J480" s="4"/>
      <c r="K480" s="4">
        <v>209</v>
      </c>
      <c r="L480" s="4">
        <v>23</v>
      </c>
      <c r="M480" s="4">
        <v>3</v>
      </c>
      <c r="N480" s="4" t="s">
        <v>5</v>
      </c>
      <c r="O480" s="4">
        <v>2</v>
      </c>
      <c r="P480" s="4"/>
      <c r="Q480" s="4"/>
      <c r="R480" s="4"/>
      <c r="S480" s="4"/>
      <c r="T480" s="4"/>
      <c r="U480" s="4"/>
      <c r="V480" s="4"/>
      <c r="W480" s="4"/>
    </row>
    <row r="481" spans="1:206" x14ac:dyDescent="0.2">
      <c r="A481" s="4">
        <v>50</v>
      </c>
      <c r="B481" s="4">
        <v>0</v>
      </c>
      <c r="C481" s="4">
        <v>0</v>
      </c>
      <c r="D481" s="4">
        <v>1</v>
      </c>
      <c r="E481" s="4">
        <v>233</v>
      </c>
      <c r="F481" s="4">
        <f>ROUND(Source!BD456,O481)</f>
        <v>0</v>
      </c>
      <c r="G481" s="4" t="s">
        <v>97</v>
      </c>
      <c r="H481" s="4" t="s">
        <v>98</v>
      </c>
      <c r="I481" s="4"/>
      <c r="J481" s="4"/>
      <c r="K481" s="4">
        <v>233</v>
      </c>
      <c r="L481" s="4">
        <v>24</v>
      </c>
      <c r="M481" s="4">
        <v>3</v>
      </c>
      <c r="N481" s="4" t="s">
        <v>5</v>
      </c>
      <c r="O481" s="4">
        <v>2</v>
      </c>
      <c r="P481" s="4"/>
      <c r="Q481" s="4"/>
      <c r="R481" s="4"/>
      <c r="S481" s="4"/>
      <c r="T481" s="4"/>
      <c r="U481" s="4"/>
      <c r="V481" s="4"/>
      <c r="W481" s="4"/>
    </row>
    <row r="482" spans="1:206" x14ac:dyDescent="0.2">
      <c r="A482" s="4">
        <v>50</v>
      </c>
      <c r="B482" s="4">
        <v>0</v>
      </c>
      <c r="C482" s="4">
        <v>0</v>
      </c>
      <c r="D482" s="4">
        <v>1</v>
      </c>
      <c r="E482" s="4">
        <v>210</v>
      </c>
      <c r="F482" s="4">
        <f>ROUND(Source!X456,O482)</f>
        <v>0</v>
      </c>
      <c r="G482" s="4" t="s">
        <v>99</v>
      </c>
      <c r="H482" s="4" t="s">
        <v>100</v>
      </c>
      <c r="I482" s="4"/>
      <c r="J482" s="4"/>
      <c r="K482" s="4">
        <v>210</v>
      </c>
      <c r="L482" s="4">
        <v>25</v>
      </c>
      <c r="M482" s="4">
        <v>3</v>
      </c>
      <c r="N482" s="4" t="s">
        <v>5</v>
      </c>
      <c r="O482" s="4">
        <v>2</v>
      </c>
      <c r="P482" s="4"/>
      <c r="Q482" s="4"/>
      <c r="R482" s="4"/>
      <c r="S482" s="4"/>
      <c r="T482" s="4"/>
      <c r="U482" s="4"/>
      <c r="V482" s="4"/>
      <c r="W482" s="4"/>
    </row>
    <row r="483" spans="1:206" x14ac:dyDescent="0.2">
      <c r="A483" s="4">
        <v>50</v>
      </c>
      <c r="B483" s="4">
        <v>0</v>
      </c>
      <c r="C483" s="4">
        <v>0</v>
      </c>
      <c r="D483" s="4">
        <v>1</v>
      </c>
      <c r="E483" s="4">
        <v>211</v>
      </c>
      <c r="F483" s="4">
        <f>ROUND(Source!Y456,O483)</f>
        <v>0</v>
      </c>
      <c r="G483" s="4" t="s">
        <v>101</v>
      </c>
      <c r="H483" s="4" t="s">
        <v>102</v>
      </c>
      <c r="I483" s="4"/>
      <c r="J483" s="4"/>
      <c r="K483" s="4">
        <v>211</v>
      </c>
      <c r="L483" s="4">
        <v>26</v>
      </c>
      <c r="M483" s="4">
        <v>3</v>
      </c>
      <c r="N483" s="4" t="s">
        <v>5</v>
      </c>
      <c r="O483" s="4">
        <v>2</v>
      </c>
      <c r="P483" s="4"/>
      <c r="Q483" s="4"/>
      <c r="R483" s="4"/>
      <c r="S483" s="4"/>
      <c r="T483" s="4"/>
      <c r="U483" s="4"/>
      <c r="V483" s="4"/>
      <c r="W483" s="4"/>
    </row>
    <row r="484" spans="1:206" x14ac:dyDescent="0.2">
      <c r="A484" s="4">
        <v>50</v>
      </c>
      <c r="B484" s="4">
        <v>0</v>
      </c>
      <c r="C484" s="4">
        <v>0</v>
      </c>
      <c r="D484" s="4">
        <v>1</v>
      </c>
      <c r="E484" s="4">
        <v>224</v>
      </c>
      <c r="F484" s="4">
        <f>ROUND(Source!AR456,O484)</f>
        <v>14399761.6</v>
      </c>
      <c r="G484" s="4" t="s">
        <v>103</v>
      </c>
      <c r="H484" s="4" t="s">
        <v>104</v>
      </c>
      <c r="I484" s="4"/>
      <c r="J484" s="4"/>
      <c r="K484" s="4">
        <v>224</v>
      </c>
      <c r="L484" s="4">
        <v>27</v>
      </c>
      <c r="M484" s="4">
        <v>3</v>
      </c>
      <c r="N484" s="4" t="s">
        <v>5</v>
      </c>
      <c r="O484" s="4">
        <v>2</v>
      </c>
      <c r="P484" s="4"/>
      <c r="Q484" s="4"/>
      <c r="R484" s="4"/>
      <c r="S484" s="4"/>
      <c r="T484" s="4"/>
      <c r="U484" s="4"/>
      <c r="V484" s="4"/>
      <c r="W484" s="4"/>
    </row>
    <row r="486" spans="1:206" x14ac:dyDescent="0.2">
      <c r="A486" s="2">
        <v>51</v>
      </c>
      <c r="B486" s="2">
        <f>B396</f>
        <v>1</v>
      </c>
      <c r="C486" s="2">
        <f>A396</f>
        <v>3</v>
      </c>
      <c r="D486" s="2">
        <f>ROW(A396)</f>
        <v>396</v>
      </c>
      <c r="E486" s="2"/>
      <c r="F486" s="2" t="str">
        <f>IF(F396&lt;&gt;"",F396,"")</f>
        <v>Новая локальная смета</v>
      </c>
      <c r="G486" s="2" t="str">
        <f>IF(G396&lt;&gt;"",G396,"")</f>
        <v>Стоимость посадочного материала по объекту: "Озеленение особо охраняемых природных территорий города Москвы в рамках программы "Наше дерево" в весенний период 2021 года"</v>
      </c>
      <c r="H486" s="2">
        <v>0</v>
      </c>
      <c r="I486" s="2"/>
      <c r="J486" s="2"/>
      <c r="K486" s="2"/>
      <c r="L486" s="2"/>
      <c r="M486" s="2"/>
      <c r="N486" s="2"/>
      <c r="O486" s="2">
        <f t="shared" ref="O486:T486" si="278">ROUND(O414+O456+AB486,2)</f>
        <v>304047572</v>
      </c>
      <c r="P486" s="2">
        <f t="shared" si="278"/>
        <v>304047572</v>
      </c>
      <c r="Q486" s="2">
        <f t="shared" si="278"/>
        <v>0</v>
      </c>
      <c r="R486" s="2">
        <f t="shared" si="278"/>
        <v>0</v>
      </c>
      <c r="S486" s="2">
        <f t="shared" si="278"/>
        <v>0</v>
      </c>
      <c r="T486" s="2">
        <f t="shared" si="278"/>
        <v>0</v>
      </c>
      <c r="U486" s="2">
        <f>U414+U456+AH486</f>
        <v>0</v>
      </c>
      <c r="V486" s="2">
        <f>V414+V456+AI486</f>
        <v>0</v>
      </c>
      <c r="W486" s="2">
        <f>ROUND(W414+W456+AJ486,2)</f>
        <v>0</v>
      </c>
      <c r="X486" s="2">
        <f>ROUND(X414+X456+AK486,2)</f>
        <v>0</v>
      </c>
      <c r="Y486" s="2">
        <f>ROUND(Y414+Y456+AL486,2)</f>
        <v>0</v>
      </c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>
        <f t="shared" ref="AO486:BD486" si="279">ROUND(AO414+AO456+BX486,2)</f>
        <v>0</v>
      </c>
      <c r="AP486" s="2">
        <f t="shared" si="279"/>
        <v>0</v>
      </c>
      <c r="AQ486" s="2">
        <f t="shared" si="279"/>
        <v>0</v>
      </c>
      <c r="AR486" s="2">
        <f t="shared" si="279"/>
        <v>304047572</v>
      </c>
      <c r="AS486" s="2">
        <f t="shared" si="279"/>
        <v>304047572</v>
      </c>
      <c r="AT486" s="2">
        <f t="shared" si="279"/>
        <v>0</v>
      </c>
      <c r="AU486" s="2">
        <f t="shared" si="279"/>
        <v>0</v>
      </c>
      <c r="AV486" s="2">
        <f t="shared" si="279"/>
        <v>304047572</v>
      </c>
      <c r="AW486" s="2">
        <f t="shared" si="279"/>
        <v>304047572</v>
      </c>
      <c r="AX486" s="2">
        <f t="shared" si="279"/>
        <v>0</v>
      </c>
      <c r="AY486" s="2">
        <f t="shared" si="279"/>
        <v>304047572</v>
      </c>
      <c r="AZ486" s="2">
        <f t="shared" si="279"/>
        <v>0</v>
      </c>
      <c r="BA486" s="2">
        <f t="shared" si="279"/>
        <v>0</v>
      </c>
      <c r="BB486" s="2">
        <f t="shared" si="279"/>
        <v>0</v>
      </c>
      <c r="BC486" s="2">
        <f t="shared" si="279"/>
        <v>0</v>
      </c>
      <c r="BD486" s="2">
        <f t="shared" si="279"/>
        <v>0</v>
      </c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>
        <v>0</v>
      </c>
    </row>
    <row r="488" spans="1:206" x14ac:dyDescent="0.2">
      <c r="A488" s="4">
        <v>50</v>
      </c>
      <c r="B488" s="4">
        <v>0</v>
      </c>
      <c r="C488" s="4">
        <v>0</v>
      </c>
      <c r="D488" s="4">
        <v>1</v>
      </c>
      <c r="E488" s="4">
        <v>201</v>
      </c>
      <c r="F488" s="4">
        <f>ROUND(Source!O486,O488)</f>
        <v>304047572</v>
      </c>
      <c r="G488" s="4" t="s">
        <v>51</v>
      </c>
      <c r="H488" s="4" t="s">
        <v>52</v>
      </c>
      <c r="I488" s="4"/>
      <c r="J488" s="4"/>
      <c r="K488" s="4">
        <v>201</v>
      </c>
      <c r="L488" s="4">
        <v>1</v>
      </c>
      <c r="M488" s="4">
        <v>3</v>
      </c>
      <c r="N488" s="4" t="s">
        <v>5</v>
      </c>
      <c r="O488" s="4">
        <v>2</v>
      </c>
      <c r="P488" s="4"/>
      <c r="Q488" s="4"/>
      <c r="R488" s="4"/>
      <c r="S488" s="4"/>
      <c r="T488" s="4"/>
      <c r="U488" s="4"/>
      <c r="V488" s="4"/>
      <c r="W488" s="4"/>
    </row>
    <row r="489" spans="1:206" x14ac:dyDescent="0.2">
      <c r="A489" s="4">
        <v>50</v>
      </c>
      <c r="B489" s="4">
        <v>0</v>
      </c>
      <c r="C489" s="4">
        <v>0</v>
      </c>
      <c r="D489" s="4">
        <v>1</v>
      </c>
      <c r="E489" s="4">
        <v>202</v>
      </c>
      <c r="F489" s="4">
        <f>ROUND(Source!P486,O489)</f>
        <v>304047572</v>
      </c>
      <c r="G489" s="4" t="s">
        <v>53</v>
      </c>
      <c r="H489" s="4" t="s">
        <v>54</v>
      </c>
      <c r="I489" s="4"/>
      <c r="J489" s="4"/>
      <c r="K489" s="4">
        <v>202</v>
      </c>
      <c r="L489" s="4">
        <v>2</v>
      </c>
      <c r="M489" s="4">
        <v>3</v>
      </c>
      <c r="N489" s="4" t="s">
        <v>5</v>
      </c>
      <c r="O489" s="4">
        <v>2</v>
      </c>
      <c r="P489" s="4"/>
      <c r="Q489" s="4"/>
      <c r="R489" s="4"/>
      <c r="S489" s="4"/>
      <c r="T489" s="4"/>
      <c r="U489" s="4"/>
      <c r="V489" s="4"/>
      <c r="W489" s="4"/>
    </row>
    <row r="490" spans="1:206" x14ac:dyDescent="0.2">
      <c r="A490" s="4">
        <v>50</v>
      </c>
      <c r="B490" s="4">
        <v>0</v>
      </c>
      <c r="C490" s="4">
        <v>0</v>
      </c>
      <c r="D490" s="4">
        <v>1</v>
      </c>
      <c r="E490" s="4">
        <v>222</v>
      </c>
      <c r="F490" s="4">
        <f>ROUND(Source!AO486,O490)</f>
        <v>0</v>
      </c>
      <c r="G490" s="4" t="s">
        <v>55</v>
      </c>
      <c r="H490" s="4" t="s">
        <v>56</v>
      </c>
      <c r="I490" s="4"/>
      <c r="J490" s="4"/>
      <c r="K490" s="4">
        <v>222</v>
      </c>
      <c r="L490" s="4">
        <v>3</v>
      </c>
      <c r="M490" s="4">
        <v>3</v>
      </c>
      <c r="N490" s="4" t="s">
        <v>5</v>
      </c>
      <c r="O490" s="4">
        <v>2</v>
      </c>
      <c r="P490" s="4"/>
      <c r="Q490" s="4"/>
      <c r="R490" s="4"/>
      <c r="S490" s="4"/>
      <c r="T490" s="4"/>
      <c r="U490" s="4"/>
      <c r="V490" s="4"/>
      <c r="W490" s="4"/>
    </row>
    <row r="491" spans="1:206" x14ac:dyDescent="0.2">
      <c r="A491" s="4">
        <v>50</v>
      </c>
      <c r="B491" s="4">
        <v>0</v>
      </c>
      <c r="C491" s="4">
        <v>0</v>
      </c>
      <c r="D491" s="4">
        <v>1</v>
      </c>
      <c r="E491" s="4">
        <v>225</v>
      </c>
      <c r="F491" s="4">
        <f>ROUND(Source!AV486,O491)</f>
        <v>304047572</v>
      </c>
      <c r="G491" s="4" t="s">
        <v>57</v>
      </c>
      <c r="H491" s="4" t="s">
        <v>58</v>
      </c>
      <c r="I491" s="4"/>
      <c r="J491" s="4"/>
      <c r="K491" s="4">
        <v>225</v>
      </c>
      <c r="L491" s="4">
        <v>4</v>
      </c>
      <c r="M491" s="4">
        <v>3</v>
      </c>
      <c r="N491" s="4" t="s">
        <v>5</v>
      </c>
      <c r="O491" s="4">
        <v>2</v>
      </c>
      <c r="P491" s="4"/>
      <c r="Q491" s="4"/>
      <c r="R491" s="4"/>
      <c r="S491" s="4"/>
      <c r="T491" s="4"/>
      <c r="U491" s="4"/>
      <c r="V491" s="4"/>
      <c r="W491" s="4"/>
    </row>
    <row r="492" spans="1:206" x14ac:dyDescent="0.2">
      <c r="A492" s="4">
        <v>50</v>
      </c>
      <c r="B492" s="4">
        <v>0</v>
      </c>
      <c r="C492" s="4">
        <v>0</v>
      </c>
      <c r="D492" s="4">
        <v>1</v>
      </c>
      <c r="E492" s="4">
        <v>226</v>
      </c>
      <c r="F492" s="4">
        <f>ROUND(Source!AW486,O492)</f>
        <v>304047572</v>
      </c>
      <c r="G492" s="4" t="s">
        <v>59</v>
      </c>
      <c r="H492" s="4" t="s">
        <v>60</v>
      </c>
      <c r="I492" s="4"/>
      <c r="J492" s="4"/>
      <c r="K492" s="4">
        <v>226</v>
      </c>
      <c r="L492" s="4">
        <v>5</v>
      </c>
      <c r="M492" s="4">
        <v>3</v>
      </c>
      <c r="N492" s="4" t="s">
        <v>5</v>
      </c>
      <c r="O492" s="4">
        <v>2</v>
      </c>
      <c r="P492" s="4"/>
      <c r="Q492" s="4"/>
      <c r="R492" s="4"/>
      <c r="S492" s="4"/>
      <c r="T492" s="4"/>
      <c r="U492" s="4"/>
      <c r="V492" s="4"/>
      <c r="W492" s="4"/>
    </row>
    <row r="493" spans="1:206" x14ac:dyDescent="0.2">
      <c r="A493" s="4">
        <v>50</v>
      </c>
      <c r="B493" s="4">
        <v>0</v>
      </c>
      <c r="C493" s="4">
        <v>0</v>
      </c>
      <c r="D493" s="4">
        <v>1</v>
      </c>
      <c r="E493" s="4">
        <v>227</v>
      </c>
      <c r="F493" s="4">
        <f>ROUND(Source!AX486,O493)</f>
        <v>0</v>
      </c>
      <c r="G493" s="4" t="s">
        <v>61</v>
      </c>
      <c r="H493" s="4" t="s">
        <v>62</v>
      </c>
      <c r="I493" s="4"/>
      <c r="J493" s="4"/>
      <c r="K493" s="4">
        <v>227</v>
      </c>
      <c r="L493" s="4">
        <v>6</v>
      </c>
      <c r="M493" s="4">
        <v>3</v>
      </c>
      <c r="N493" s="4" t="s">
        <v>5</v>
      </c>
      <c r="O493" s="4">
        <v>2</v>
      </c>
      <c r="P493" s="4"/>
      <c r="Q493" s="4"/>
      <c r="R493" s="4"/>
      <c r="S493" s="4"/>
      <c r="T493" s="4"/>
      <c r="U493" s="4"/>
      <c r="V493" s="4"/>
      <c r="W493" s="4"/>
    </row>
    <row r="494" spans="1:206" x14ac:dyDescent="0.2">
      <c r="A494" s="4">
        <v>50</v>
      </c>
      <c r="B494" s="4">
        <v>0</v>
      </c>
      <c r="C494" s="4">
        <v>0</v>
      </c>
      <c r="D494" s="4">
        <v>1</v>
      </c>
      <c r="E494" s="4">
        <v>228</v>
      </c>
      <c r="F494" s="4">
        <f>ROUND(Source!AY486,O494)</f>
        <v>304047572</v>
      </c>
      <c r="G494" s="4" t="s">
        <v>63</v>
      </c>
      <c r="H494" s="4" t="s">
        <v>64</v>
      </c>
      <c r="I494" s="4"/>
      <c r="J494" s="4"/>
      <c r="K494" s="4">
        <v>228</v>
      </c>
      <c r="L494" s="4">
        <v>7</v>
      </c>
      <c r="M494" s="4">
        <v>3</v>
      </c>
      <c r="N494" s="4" t="s">
        <v>5</v>
      </c>
      <c r="O494" s="4">
        <v>2</v>
      </c>
      <c r="P494" s="4"/>
      <c r="Q494" s="4"/>
      <c r="R494" s="4"/>
      <c r="S494" s="4"/>
      <c r="T494" s="4"/>
      <c r="U494" s="4"/>
      <c r="V494" s="4"/>
      <c r="W494" s="4"/>
    </row>
    <row r="495" spans="1:206" x14ac:dyDescent="0.2">
      <c r="A495" s="4">
        <v>50</v>
      </c>
      <c r="B495" s="4">
        <v>0</v>
      </c>
      <c r="C495" s="4">
        <v>0</v>
      </c>
      <c r="D495" s="4">
        <v>1</v>
      </c>
      <c r="E495" s="4">
        <v>216</v>
      </c>
      <c r="F495" s="4">
        <f>ROUND(Source!AP486,O495)</f>
        <v>0</v>
      </c>
      <c r="G495" s="4" t="s">
        <v>65</v>
      </c>
      <c r="H495" s="4" t="s">
        <v>66</v>
      </c>
      <c r="I495" s="4"/>
      <c r="J495" s="4"/>
      <c r="K495" s="4">
        <v>216</v>
      </c>
      <c r="L495" s="4">
        <v>8</v>
      </c>
      <c r="M495" s="4">
        <v>3</v>
      </c>
      <c r="N495" s="4" t="s">
        <v>5</v>
      </c>
      <c r="O495" s="4">
        <v>2</v>
      </c>
      <c r="P495" s="4"/>
      <c r="Q495" s="4"/>
      <c r="R495" s="4"/>
      <c r="S495" s="4"/>
      <c r="T495" s="4"/>
      <c r="U495" s="4"/>
      <c r="V495" s="4"/>
      <c r="W495" s="4"/>
    </row>
    <row r="496" spans="1:206" x14ac:dyDescent="0.2">
      <c r="A496" s="4">
        <v>50</v>
      </c>
      <c r="B496" s="4">
        <v>0</v>
      </c>
      <c r="C496" s="4">
        <v>0</v>
      </c>
      <c r="D496" s="4">
        <v>1</v>
      </c>
      <c r="E496" s="4">
        <v>223</v>
      </c>
      <c r="F496" s="4">
        <f>ROUND(Source!AQ486,O496)</f>
        <v>0</v>
      </c>
      <c r="G496" s="4" t="s">
        <v>67</v>
      </c>
      <c r="H496" s="4" t="s">
        <v>68</v>
      </c>
      <c r="I496" s="4"/>
      <c r="J496" s="4"/>
      <c r="K496" s="4">
        <v>223</v>
      </c>
      <c r="L496" s="4">
        <v>9</v>
      </c>
      <c r="M496" s="4">
        <v>3</v>
      </c>
      <c r="N496" s="4" t="s">
        <v>5</v>
      </c>
      <c r="O496" s="4">
        <v>2</v>
      </c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4">
        <v>50</v>
      </c>
      <c r="B497" s="4">
        <v>0</v>
      </c>
      <c r="C497" s="4">
        <v>0</v>
      </c>
      <c r="D497" s="4">
        <v>1</v>
      </c>
      <c r="E497" s="4">
        <v>229</v>
      </c>
      <c r="F497" s="4">
        <f>ROUND(Source!AZ486,O497)</f>
        <v>0</v>
      </c>
      <c r="G497" s="4" t="s">
        <v>69</v>
      </c>
      <c r="H497" s="4" t="s">
        <v>70</v>
      </c>
      <c r="I497" s="4"/>
      <c r="J497" s="4"/>
      <c r="K497" s="4">
        <v>229</v>
      </c>
      <c r="L497" s="4">
        <v>10</v>
      </c>
      <c r="M497" s="4">
        <v>3</v>
      </c>
      <c r="N497" s="4" t="s">
        <v>5</v>
      </c>
      <c r="O497" s="4">
        <v>2</v>
      </c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4">
        <v>50</v>
      </c>
      <c r="B498" s="4">
        <v>0</v>
      </c>
      <c r="C498" s="4">
        <v>0</v>
      </c>
      <c r="D498" s="4">
        <v>1</v>
      </c>
      <c r="E498" s="4">
        <v>203</v>
      </c>
      <c r="F498" s="4">
        <f>ROUND(Source!Q486,O498)</f>
        <v>0</v>
      </c>
      <c r="G498" s="4" t="s">
        <v>71</v>
      </c>
      <c r="H498" s="4" t="s">
        <v>72</v>
      </c>
      <c r="I498" s="4"/>
      <c r="J498" s="4"/>
      <c r="K498" s="4">
        <v>203</v>
      </c>
      <c r="L498" s="4">
        <v>11</v>
      </c>
      <c r="M498" s="4">
        <v>3</v>
      </c>
      <c r="N498" s="4" t="s">
        <v>5</v>
      </c>
      <c r="O498" s="4">
        <v>2</v>
      </c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4">
        <v>50</v>
      </c>
      <c r="B499" s="4">
        <v>0</v>
      </c>
      <c r="C499" s="4">
        <v>0</v>
      </c>
      <c r="D499" s="4">
        <v>1</v>
      </c>
      <c r="E499" s="4">
        <v>231</v>
      </c>
      <c r="F499" s="4">
        <f>ROUND(Source!BB486,O499)</f>
        <v>0</v>
      </c>
      <c r="G499" s="4" t="s">
        <v>73</v>
      </c>
      <c r="H499" s="4" t="s">
        <v>74</v>
      </c>
      <c r="I499" s="4"/>
      <c r="J499" s="4"/>
      <c r="K499" s="4">
        <v>231</v>
      </c>
      <c r="L499" s="4">
        <v>12</v>
      </c>
      <c r="M499" s="4">
        <v>3</v>
      </c>
      <c r="N499" s="4" t="s">
        <v>5</v>
      </c>
      <c r="O499" s="4">
        <v>2</v>
      </c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4">
        <v>50</v>
      </c>
      <c r="B500" s="4">
        <v>0</v>
      </c>
      <c r="C500" s="4">
        <v>0</v>
      </c>
      <c r="D500" s="4">
        <v>1</v>
      </c>
      <c r="E500" s="4">
        <v>204</v>
      </c>
      <c r="F500" s="4">
        <f>ROUND(Source!R486,O500)</f>
        <v>0</v>
      </c>
      <c r="G500" s="4" t="s">
        <v>75</v>
      </c>
      <c r="H500" s="4" t="s">
        <v>76</v>
      </c>
      <c r="I500" s="4"/>
      <c r="J500" s="4"/>
      <c r="K500" s="4">
        <v>204</v>
      </c>
      <c r="L500" s="4">
        <v>13</v>
      </c>
      <c r="M500" s="4">
        <v>3</v>
      </c>
      <c r="N500" s="4" t="s">
        <v>5</v>
      </c>
      <c r="O500" s="4">
        <v>2</v>
      </c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4">
        <v>50</v>
      </c>
      <c r="B501" s="4">
        <v>0</v>
      </c>
      <c r="C501" s="4">
        <v>0</v>
      </c>
      <c r="D501" s="4">
        <v>1</v>
      </c>
      <c r="E501" s="4">
        <v>205</v>
      </c>
      <c r="F501" s="4">
        <f>ROUND(Source!S486,O501)</f>
        <v>0</v>
      </c>
      <c r="G501" s="4" t="s">
        <v>77</v>
      </c>
      <c r="H501" s="4" t="s">
        <v>78</v>
      </c>
      <c r="I501" s="4"/>
      <c r="J501" s="4"/>
      <c r="K501" s="4">
        <v>205</v>
      </c>
      <c r="L501" s="4">
        <v>14</v>
      </c>
      <c r="M501" s="4">
        <v>3</v>
      </c>
      <c r="N501" s="4" t="s">
        <v>5</v>
      </c>
      <c r="O501" s="4">
        <v>2</v>
      </c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4">
        <v>50</v>
      </c>
      <c r="B502" s="4">
        <v>0</v>
      </c>
      <c r="C502" s="4">
        <v>0</v>
      </c>
      <c r="D502" s="4">
        <v>1</v>
      </c>
      <c r="E502" s="4">
        <v>232</v>
      </c>
      <c r="F502" s="4">
        <f>ROUND(Source!BC486,O502)</f>
        <v>0</v>
      </c>
      <c r="G502" s="4" t="s">
        <v>79</v>
      </c>
      <c r="H502" s="4" t="s">
        <v>80</v>
      </c>
      <c r="I502" s="4"/>
      <c r="J502" s="4"/>
      <c r="K502" s="4">
        <v>232</v>
      </c>
      <c r="L502" s="4">
        <v>15</v>
      </c>
      <c r="M502" s="4">
        <v>3</v>
      </c>
      <c r="N502" s="4" t="s">
        <v>5</v>
      </c>
      <c r="O502" s="4">
        <v>2</v>
      </c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4">
        <v>50</v>
      </c>
      <c r="B503" s="4">
        <v>0</v>
      </c>
      <c r="C503" s="4">
        <v>0</v>
      </c>
      <c r="D503" s="4">
        <v>1</v>
      </c>
      <c r="E503" s="4">
        <v>214</v>
      </c>
      <c r="F503" s="4">
        <f>ROUND(Source!AS486,O503)</f>
        <v>304047572</v>
      </c>
      <c r="G503" s="4" t="s">
        <v>81</v>
      </c>
      <c r="H503" s="4" t="s">
        <v>82</v>
      </c>
      <c r="I503" s="4"/>
      <c r="J503" s="4"/>
      <c r="K503" s="4">
        <v>214</v>
      </c>
      <c r="L503" s="4">
        <v>16</v>
      </c>
      <c r="M503" s="4">
        <v>3</v>
      </c>
      <c r="N503" s="4" t="s">
        <v>5</v>
      </c>
      <c r="O503" s="4">
        <v>2</v>
      </c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4">
        <v>50</v>
      </c>
      <c r="B504" s="4">
        <v>0</v>
      </c>
      <c r="C504" s="4">
        <v>0</v>
      </c>
      <c r="D504" s="4">
        <v>1</v>
      </c>
      <c r="E504" s="4">
        <v>215</v>
      </c>
      <c r="F504" s="4">
        <f>ROUND(Source!AT486,O504)</f>
        <v>0</v>
      </c>
      <c r="G504" s="4" t="s">
        <v>83</v>
      </c>
      <c r="H504" s="4" t="s">
        <v>84</v>
      </c>
      <c r="I504" s="4"/>
      <c r="J504" s="4"/>
      <c r="K504" s="4">
        <v>215</v>
      </c>
      <c r="L504" s="4">
        <v>17</v>
      </c>
      <c r="M504" s="4">
        <v>3</v>
      </c>
      <c r="N504" s="4" t="s">
        <v>5</v>
      </c>
      <c r="O504" s="4">
        <v>2</v>
      </c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4">
        <v>50</v>
      </c>
      <c r="B505" s="4">
        <v>0</v>
      </c>
      <c r="C505" s="4">
        <v>0</v>
      </c>
      <c r="D505" s="4">
        <v>1</v>
      </c>
      <c r="E505" s="4">
        <v>217</v>
      </c>
      <c r="F505" s="4">
        <f>ROUND(Source!AU486,O505)</f>
        <v>0</v>
      </c>
      <c r="G505" s="4" t="s">
        <v>85</v>
      </c>
      <c r="H505" s="4" t="s">
        <v>86</v>
      </c>
      <c r="I505" s="4"/>
      <c r="J505" s="4"/>
      <c r="K505" s="4">
        <v>217</v>
      </c>
      <c r="L505" s="4">
        <v>18</v>
      </c>
      <c r="M505" s="4">
        <v>3</v>
      </c>
      <c r="N505" s="4" t="s">
        <v>5</v>
      </c>
      <c r="O505" s="4">
        <v>2</v>
      </c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4">
        <v>50</v>
      </c>
      <c r="B506" s="4">
        <v>0</v>
      </c>
      <c r="C506" s="4">
        <v>0</v>
      </c>
      <c r="D506" s="4">
        <v>1</v>
      </c>
      <c r="E506" s="4">
        <v>230</v>
      </c>
      <c r="F506" s="4">
        <f>ROUND(Source!BA486,O506)</f>
        <v>0</v>
      </c>
      <c r="G506" s="4" t="s">
        <v>87</v>
      </c>
      <c r="H506" s="4" t="s">
        <v>88</v>
      </c>
      <c r="I506" s="4"/>
      <c r="J506" s="4"/>
      <c r="K506" s="4">
        <v>230</v>
      </c>
      <c r="L506" s="4">
        <v>19</v>
      </c>
      <c r="M506" s="4">
        <v>3</v>
      </c>
      <c r="N506" s="4" t="s">
        <v>5</v>
      </c>
      <c r="O506" s="4">
        <v>2</v>
      </c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4">
        <v>50</v>
      </c>
      <c r="B507" s="4">
        <v>0</v>
      </c>
      <c r="C507" s="4">
        <v>0</v>
      </c>
      <c r="D507" s="4">
        <v>1</v>
      </c>
      <c r="E507" s="4">
        <v>206</v>
      </c>
      <c r="F507" s="4">
        <f>ROUND(Source!T486,O507)</f>
        <v>0</v>
      </c>
      <c r="G507" s="4" t="s">
        <v>89</v>
      </c>
      <c r="H507" s="4" t="s">
        <v>90</v>
      </c>
      <c r="I507" s="4"/>
      <c r="J507" s="4"/>
      <c r="K507" s="4">
        <v>206</v>
      </c>
      <c r="L507" s="4">
        <v>20</v>
      </c>
      <c r="M507" s="4">
        <v>3</v>
      </c>
      <c r="N507" s="4" t="s">
        <v>5</v>
      </c>
      <c r="O507" s="4">
        <v>2</v>
      </c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4">
        <v>50</v>
      </c>
      <c r="B508" s="4">
        <v>0</v>
      </c>
      <c r="C508" s="4">
        <v>0</v>
      </c>
      <c r="D508" s="4">
        <v>1</v>
      </c>
      <c r="E508" s="4">
        <v>207</v>
      </c>
      <c r="F508" s="4">
        <f>Source!U486</f>
        <v>0</v>
      </c>
      <c r="G508" s="4" t="s">
        <v>91</v>
      </c>
      <c r="H508" s="4" t="s">
        <v>92</v>
      </c>
      <c r="I508" s="4"/>
      <c r="J508" s="4"/>
      <c r="K508" s="4">
        <v>207</v>
      </c>
      <c r="L508" s="4">
        <v>21</v>
      </c>
      <c r="M508" s="4">
        <v>3</v>
      </c>
      <c r="N508" s="4" t="s">
        <v>5</v>
      </c>
      <c r="O508" s="4">
        <v>-1</v>
      </c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4">
        <v>50</v>
      </c>
      <c r="B509" s="4">
        <v>0</v>
      </c>
      <c r="C509" s="4">
        <v>0</v>
      </c>
      <c r="D509" s="4">
        <v>1</v>
      </c>
      <c r="E509" s="4">
        <v>208</v>
      </c>
      <c r="F509" s="4">
        <f>Source!V486</f>
        <v>0</v>
      </c>
      <c r="G509" s="4" t="s">
        <v>93</v>
      </c>
      <c r="H509" s="4" t="s">
        <v>94</v>
      </c>
      <c r="I509" s="4"/>
      <c r="J509" s="4"/>
      <c r="K509" s="4">
        <v>208</v>
      </c>
      <c r="L509" s="4">
        <v>22</v>
      </c>
      <c r="M509" s="4">
        <v>3</v>
      </c>
      <c r="N509" s="4" t="s">
        <v>5</v>
      </c>
      <c r="O509" s="4">
        <v>-1</v>
      </c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4">
        <v>50</v>
      </c>
      <c r="B510" s="4">
        <v>0</v>
      </c>
      <c r="C510" s="4">
        <v>0</v>
      </c>
      <c r="D510" s="4">
        <v>1</v>
      </c>
      <c r="E510" s="4">
        <v>209</v>
      </c>
      <c r="F510" s="4">
        <f>ROUND(Source!W486,O510)</f>
        <v>0</v>
      </c>
      <c r="G510" s="4" t="s">
        <v>95</v>
      </c>
      <c r="H510" s="4" t="s">
        <v>96</v>
      </c>
      <c r="I510" s="4"/>
      <c r="J510" s="4"/>
      <c r="K510" s="4">
        <v>209</v>
      </c>
      <c r="L510" s="4">
        <v>23</v>
      </c>
      <c r="M510" s="4">
        <v>3</v>
      </c>
      <c r="N510" s="4" t="s">
        <v>5</v>
      </c>
      <c r="O510" s="4">
        <v>2</v>
      </c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4">
        <v>50</v>
      </c>
      <c r="B511" s="4">
        <v>0</v>
      </c>
      <c r="C511" s="4">
        <v>0</v>
      </c>
      <c r="D511" s="4">
        <v>1</v>
      </c>
      <c r="E511" s="4">
        <v>233</v>
      </c>
      <c r="F511" s="4">
        <f>ROUND(Source!BD486,O511)</f>
        <v>0</v>
      </c>
      <c r="G511" s="4" t="s">
        <v>97</v>
      </c>
      <c r="H511" s="4" t="s">
        <v>98</v>
      </c>
      <c r="I511" s="4"/>
      <c r="J511" s="4"/>
      <c r="K511" s="4">
        <v>233</v>
      </c>
      <c r="L511" s="4">
        <v>24</v>
      </c>
      <c r="M511" s="4">
        <v>3</v>
      </c>
      <c r="N511" s="4" t="s">
        <v>5</v>
      </c>
      <c r="O511" s="4">
        <v>2</v>
      </c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4">
        <v>50</v>
      </c>
      <c r="B512" s="4">
        <v>0</v>
      </c>
      <c r="C512" s="4">
        <v>0</v>
      </c>
      <c r="D512" s="4">
        <v>1</v>
      </c>
      <c r="E512" s="4">
        <v>210</v>
      </c>
      <c r="F512" s="4">
        <f>ROUND(Source!X486,O512)</f>
        <v>0</v>
      </c>
      <c r="G512" s="4" t="s">
        <v>99</v>
      </c>
      <c r="H512" s="4" t="s">
        <v>100</v>
      </c>
      <c r="I512" s="4"/>
      <c r="J512" s="4"/>
      <c r="K512" s="4">
        <v>210</v>
      </c>
      <c r="L512" s="4">
        <v>25</v>
      </c>
      <c r="M512" s="4">
        <v>3</v>
      </c>
      <c r="N512" s="4" t="s">
        <v>5</v>
      </c>
      <c r="O512" s="4">
        <v>2</v>
      </c>
      <c r="P512" s="4"/>
      <c r="Q512" s="4"/>
      <c r="R512" s="4"/>
      <c r="S512" s="4"/>
      <c r="T512" s="4"/>
      <c r="U512" s="4"/>
      <c r="V512" s="4"/>
      <c r="W512" s="4"/>
    </row>
    <row r="513" spans="1:206" x14ac:dyDescent="0.2">
      <c r="A513" s="4">
        <v>50</v>
      </c>
      <c r="B513" s="4">
        <v>0</v>
      </c>
      <c r="C513" s="4">
        <v>0</v>
      </c>
      <c r="D513" s="4">
        <v>1</v>
      </c>
      <c r="E513" s="4">
        <v>211</v>
      </c>
      <c r="F513" s="4">
        <f>ROUND(Source!Y486,O513)</f>
        <v>0</v>
      </c>
      <c r="G513" s="4" t="s">
        <v>101</v>
      </c>
      <c r="H513" s="4" t="s">
        <v>102</v>
      </c>
      <c r="I513" s="4"/>
      <c r="J513" s="4"/>
      <c r="K513" s="4">
        <v>211</v>
      </c>
      <c r="L513" s="4">
        <v>26</v>
      </c>
      <c r="M513" s="4">
        <v>3</v>
      </c>
      <c r="N513" s="4" t="s">
        <v>5</v>
      </c>
      <c r="O513" s="4">
        <v>2</v>
      </c>
      <c r="P513" s="4"/>
      <c r="Q513" s="4"/>
      <c r="R513" s="4"/>
      <c r="S513" s="4"/>
      <c r="T513" s="4"/>
      <c r="U513" s="4"/>
      <c r="V513" s="4"/>
      <c r="W513" s="4"/>
    </row>
    <row r="514" spans="1:206" x14ac:dyDescent="0.2">
      <c r="A514" s="4">
        <v>50</v>
      </c>
      <c r="B514" s="4">
        <v>0</v>
      </c>
      <c r="C514" s="4">
        <v>0</v>
      </c>
      <c r="D514" s="4">
        <v>1</v>
      </c>
      <c r="E514" s="4">
        <v>224</v>
      </c>
      <c r="F514" s="4">
        <f>ROUND(Source!AR486,O514)</f>
        <v>304047572</v>
      </c>
      <c r="G514" s="4" t="s">
        <v>103</v>
      </c>
      <c r="H514" s="4" t="s">
        <v>104</v>
      </c>
      <c r="I514" s="4"/>
      <c r="J514" s="4"/>
      <c r="K514" s="4">
        <v>224</v>
      </c>
      <c r="L514" s="4">
        <v>27</v>
      </c>
      <c r="M514" s="4">
        <v>3</v>
      </c>
      <c r="N514" s="4" t="s">
        <v>5</v>
      </c>
      <c r="O514" s="4">
        <v>2</v>
      </c>
      <c r="P514" s="4"/>
      <c r="Q514" s="4"/>
      <c r="R514" s="4"/>
      <c r="S514" s="4"/>
      <c r="T514" s="4"/>
      <c r="U514" s="4"/>
      <c r="V514" s="4"/>
      <c r="W514" s="4"/>
    </row>
    <row r="515" spans="1:206" x14ac:dyDescent="0.2">
      <c r="A515" s="4">
        <v>50</v>
      </c>
      <c r="B515" s="4">
        <v>1</v>
      </c>
      <c r="C515" s="4">
        <v>0</v>
      </c>
      <c r="D515" s="4">
        <v>2</v>
      </c>
      <c r="E515" s="4">
        <v>0</v>
      </c>
      <c r="F515" s="4">
        <f>ROUND(F514/1.2*0.2,O515)</f>
        <v>50674595.329999998</v>
      </c>
      <c r="G515" s="4" t="s">
        <v>203</v>
      </c>
      <c r="H515" s="4" t="s">
        <v>204</v>
      </c>
      <c r="I515" s="4"/>
      <c r="J515" s="4"/>
      <c r="K515" s="4">
        <v>212</v>
      </c>
      <c r="L515" s="4">
        <v>28</v>
      </c>
      <c r="M515" s="4">
        <v>0</v>
      </c>
      <c r="N515" s="4" t="s">
        <v>5</v>
      </c>
      <c r="O515" s="4">
        <v>2</v>
      </c>
      <c r="P515" s="4"/>
      <c r="Q515" s="4"/>
      <c r="R515" s="4"/>
      <c r="S515" s="4"/>
      <c r="T515" s="4"/>
      <c r="U515" s="4"/>
      <c r="V515" s="4"/>
      <c r="W515" s="4"/>
    </row>
    <row r="517" spans="1:206" x14ac:dyDescent="0.2">
      <c r="A517" s="2">
        <v>51</v>
      </c>
      <c r="B517" s="2">
        <f>B12</f>
        <v>550</v>
      </c>
      <c r="C517" s="2">
        <f>A12</f>
        <v>1</v>
      </c>
      <c r="D517" s="2">
        <f>ROW(A12)</f>
        <v>12</v>
      </c>
      <c r="E517" s="2"/>
      <c r="F517" s="2" t="str">
        <f>IF(F12&lt;&gt;"",F12,"")</f>
        <v>Новый объект</v>
      </c>
      <c r="G517" s="2" t="str">
        <f>IF(G12&lt;&gt;"",G12,"")</f>
        <v>Озеленение особо охраняемых природных территорий города Москвы в рамках программы "Наше дерево" в весенний период 2021 года</v>
      </c>
      <c r="H517" s="2">
        <v>0</v>
      </c>
      <c r="I517" s="2"/>
      <c r="J517" s="2"/>
      <c r="K517" s="2"/>
      <c r="L517" s="2"/>
      <c r="M517" s="2"/>
      <c r="N517" s="2"/>
      <c r="O517" s="2">
        <f t="shared" ref="O517:T517" si="280">ROUND(O258+O366+O486,2)</f>
        <v>347107454.89999998</v>
      </c>
      <c r="P517" s="2">
        <f t="shared" si="280"/>
        <v>313005744.29000002</v>
      </c>
      <c r="Q517" s="2">
        <f t="shared" si="280"/>
        <v>9049711.6199999992</v>
      </c>
      <c r="R517" s="2">
        <f t="shared" si="280"/>
        <v>2133171.54</v>
      </c>
      <c r="S517" s="2">
        <f t="shared" si="280"/>
        <v>25051998.989999998</v>
      </c>
      <c r="T517" s="2">
        <f t="shared" si="280"/>
        <v>0</v>
      </c>
      <c r="U517" s="2">
        <f>U258+U366+U486</f>
        <v>91515.808717000007</v>
      </c>
      <c r="V517" s="2">
        <f>V258+V366+V486</f>
        <v>0</v>
      </c>
      <c r="W517" s="2">
        <f>ROUND(W258+W366+W486,2)</f>
        <v>0</v>
      </c>
      <c r="X517" s="2">
        <f>ROUND(X258+X366+X486,2)</f>
        <v>25547606.870000001</v>
      </c>
      <c r="Y517" s="2">
        <f>ROUND(Y258+Y366+Y486,2)</f>
        <v>11776069.17</v>
      </c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>
        <f t="shared" ref="AO517:BD517" si="281">ROUND(AO258+AO366+AO486,2)</f>
        <v>0</v>
      </c>
      <c r="AP517" s="2">
        <f t="shared" si="281"/>
        <v>0</v>
      </c>
      <c r="AQ517" s="2">
        <f t="shared" si="281"/>
        <v>0</v>
      </c>
      <c r="AR517" s="2">
        <f t="shared" si="281"/>
        <v>387780210.25999999</v>
      </c>
      <c r="AS517" s="2">
        <f t="shared" si="281"/>
        <v>386462673.17000002</v>
      </c>
      <c r="AT517" s="2">
        <f t="shared" si="281"/>
        <v>0</v>
      </c>
      <c r="AU517" s="2">
        <f t="shared" si="281"/>
        <v>1317537.0900000001</v>
      </c>
      <c r="AV517" s="2">
        <f t="shared" si="281"/>
        <v>313005744.29000002</v>
      </c>
      <c r="AW517" s="2">
        <f t="shared" si="281"/>
        <v>313005744.29000002</v>
      </c>
      <c r="AX517" s="2">
        <f t="shared" si="281"/>
        <v>0</v>
      </c>
      <c r="AY517" s="2">
        <f t="shared" si="281"/>
        <v>313005744.29000002</v>
      </c>
      <c r="AZ517" s="2">
        <f t="shared" si="281"/>
        <v>0</v>
      </c>
      <c r="BA517" s="2">
        <f t="shared" si="281"/>
        <v>0</v>
      </c>
      <c r="BB517" s="2">
        <f t="shared" si="281"/>
        <v>0</v>
      </c>
      <c r="BC517" s="2">
        <f t="shared" si="281"/>
        <v>0</v>
      </c>
      <c r="BD517" s="2">
        <f t="shared" si="281"/>
        <v>0</v>
      </c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>
        <v>0</v>
      </c>
    </row>
    <row r="519" spans="1:206" x14ac:dyDescent="0.2">
      <c r="A519" s="4">
        <v>50</v>
      </c>
      <c r="B519" s="4">
        <v>0</v>
      </c>
      <c r="C519" s="4">
        <v>0</v>
      </c>
      <c r="D519" s="4">
        <v>1</v>
      </c>
      <c r="E519" s="4">
        <v>201</v>
      </c>
      <c r="F519" s="4">
        <f>ROUND(Source!O517,O519)</f>
        <v>347107454.89999998</v>
      </c>
      <c r="G519" s="4" t="s">
        <v>51</v>
      </c>
      <c r="H519" s="4" t="s">
        <v>52</v>
      </c>
      <c r="I519" s="4"/>
      <c r="J519" s="4"/>
      <c r="K519" s="4">
        <v>201</v>
      </c>
      <c r="L519" s="4">
        <v>1</v>
      </c>
      <c r="M519" s="4">
        <v>3</v>
      </c>
      <c r="N519" s="4" t="s">
        <v>5</v>
      </c>
      <c r="O519" s="4">
        <v>2</v>
      </c>
      <c r="P519" s="4"/>
      <c r="Q519" s="4"/>
      <c r="R519" s="4"/>
      <c r="S519" s="4"/>
      <c r="T519" s="4"/>
      <c r="U519" s="4"/>
      <c r="V519" s="4"/>
      <c r="W519" s="4"/>
    </row>
    <row r="520" spans="1:206" x14ac:dyDescent="0.2">
      <c r="A520" s="4">
        <v>50</v>
      </c>
      <c r="B520" s="4">
        <v>0</v>
      </c>
      <c r="C520" s="4">
        <v>0</v>
      </c>
      <c r="D520" s="4">
        <v>1</v>
      </c>
      <c r="E520" s="4">
        <v>202</v>
      </c>
      <c r="F520" s="4">
        <f>ROUND(Source!P517,O520)</f>
        <v>313005744.29000002</v>
      </c>
      <c r="G520" s="4" t="s">
        <v>53</v>
      </c>
      <c r="H520" s="4" t="s">
        <v>54</v>
      </c>
      <c r="I520" s="4"/>
      <c r="J520" s="4"/>
      <c r="K520" s="4">
        <v>202</v>
      </c>
      <c r="L520" s="4">
        <v>2</v>
      </c>
      <c r="M520" s="4">
        <v>3</v>
      </c>
      <c r="N520" s="4" t="s">
        <v>5</v>
      </c>
      <c r="O520" s="4">
        <v>2</v>
      </c>
      <c r="P520" s="4"/>
      <c r="Q520" s="4"/>
      <c r="R520" s="4"/>
      <c r="S520" s="4"/>
      <c r="T520" s="4"/>
      <c r="U520" s="4"/>
      <c r="V520" s="4"/>
      <c r="W520" s="4"/>
    </row>
    <row r="521" spans="1:206" x14ac:dyDescent="0.2">
      <c r="A521" s="4">
        <v>50</v>
      </c>
      <c r="B521" s="4">
        <v>0</v>
      </c>
      <c r="C521" s="4">
        <v>0</v>
      </c>
      <c r="D521" s="4">
        <v>1</v>
      </c>
      <c r="E521" s="4">
        <v>222</v>
      </c>
      <c r="F521" s="4">
        <f>ROUND(Source!AO517,O521)</f>
        <v>0</v>
      </c>
      <c r="G521" s="4" t="s">
        <v>55</v>
      </c>
      <c r="H521" s="4" t="s">
        <v>56</v>
      </c>
      <c r="I521" s="4"/>
      <c r="J521" s="4"/>
      <c r="K521" s="4">
        <v>222</v>
      </c>
      <c r="L521" s="4">
        <v>3</v>
      </c>
      <c r="M521" s="4">
        <v>3</v>
      </c>
      <c r="N521" s="4" t="s">
        <v>5</v>
      </c>
      <c r="O521" s="4">
        <v>2</v>
      </c>
      <c r="P521" s="4"/>
      <c r="Q521" s="4"/>
      <c r="R521" s="4"/>
      <c r="S521" s="4"/>
      <c r="T521" s="4"/>
      <c r="U521" s="4"/>
      <c r="V521" s="4"/>
      <c r="W521" s="4"/>
    </row>
    <row r="522" spans="1:206" x14ac:dyDescent="0.2">
      <c r="A522" s="4">
        <v>50</v>
      </c>
      <c r="B522" s="4">
        <v>0</v>
      </c>
      <c r="C522" s="4">
        <v>0</v>
      </c>
      <c r="D522" s="4">
        <v>1</v>
      </c>
      <c r="E522" s="4">
        <v>225</v>
      </c>
      <c r="F522" s="4">
        <f>ROUND(Source!AV517,O522)</f>
        <v>313005744.29000002</v>
      </c>
      <c r="G522" s="4" t="s">
        <v>57</v>
      </c>
      <c r="H522" s="4" t="s">
        <v>58</v>
      </c>
      <c r="I522" s="4"/>
      <c r="J522" s="4"/>
      <c r="K522" s="4">
        <v>225</v>
      </c>
      <c r="L522" s="4">
        <v>4</v>
      </c>
      <c r="M522" s="4">
        <v>3</v>
      </c>
      <c r="N522" s="4" t="s">
        <v>5</v>
      </c>
      <c r="O522" s="4">
        <v>2</v>
      </c>
      <c r="P522" s="4"/>
      <c r="Q522" s="4"/>
      <c r="R522" s="4"/>
      <c r="S522" s="4"/>
      <c r="T522" s="4"/>
      <c r="U522" s="4"/>
      <c r="V522" s="4"/>
      <c r="W522" s="4"/>
    </row>
    <row r="523" spans="1:206" x14ac:dyDescent="0.2">
      <c r="A523" s="4">
        <v>50</v>
      </c>
      <c r="B523" s="4">
        <v>0</v>
      </c>
      <c r="C523" s="4">
        <v>0</v>
      </c>
      <c r="D523" s="4">
        <v>1</v>
      </c>
      <c r="E523" s="4">
        <v>226</v>
      </c>
      <c r="F523" s="4">
        <f>ROUND(Source!AW517,O523)</f>
        <v>313005744.29000002</v>
      </c>
      <c r="G523" s="4" t="s">
        <v>59</v>
      </c>
      <c r="H523" s="4" t="s">
        <v>60</v>
      </c>
      <c r="I523" s="4"/>
      <c r="J523" s="4"/>
      <c r="K523" s="4">
        <v>226</v>
      </c>
      <c r="L523" s="4">
        <v>5</v>
      </c>
      <c r="M523" s="4">
        <v>3</v>
      </c>
      <c r="N523" s="4" t="s">
        <v>5</v>
      </c>
      <c r="O523" s="4">
        <v>2</v>
      </c>
      <c r="P523" s="4"/>
      <c r="Q523" s="4"/>
      <c r="R523" s="4"/>
      <c r="S523" s="4"/>
      <c r="T523" s="4"/>
      <c r="U523" s="4"/>
      <c r="V523" s="4"/>
      <c r="W523" s="4"/>
    </row>
    <row r="524" spans="1:206" x14ac:dyDescent="0.2">
      <c r="A524" s="4">
        <v>50</v>
      </c>
      <c r="B524" s="4">
        <v>0</v>
      </c>
      <c r="C524" s="4">
        <v>0</v>
      </c>
      <c r="D524" s="4">
        <v>1</v>
      </c>
      <c r="E524" s="4">
        <v>227</v>
      </c>
      <c r="F524" s="4">
        <f>ROUND(Source!AX517,O524)</f>
        <v>0</v>
      </c>
      <c r="G524" s="4" t="s">
        <v>61</v>
      </c>
      <c r="H524" s="4" t="s">
        <v>62</v>
      </c>
      <c r="I524" s="4"/>
      <c r="J524" s="4"/>
      <c r="K524" s="4">
        <v>227</v>
      </c>
      <c r="L524" s="4">
        <v>6</v>
      </c>
      <c r="M524" s="4">
        <v>3</v>
      </c>
      <c r="N524" s="4" t="s">
        <v>5</v>
      </c>
      <c r="O524" s="4">
        <v>2</v>
      </c>
      <c r="P524" s="4"/>
      <c r="Q524" s="4"/>
      <c r="R524" s="4"/>
      <c r="S524" s="4"/>
      <c r="T524" s="4"/>
      <c r="U524" s="4"/>
      <c r="V524" s="4"/>
      <c r="W524" s="4"/>
    </row>
    <row r="525" spans="1:206" x14ac:dyDescent="0.2">
      <c r="A525" s="4">
        <v>50</v>
      </c>
      <c r="B525" s="4">
        <v>0</v>
      </c>
      <c r="C525" s="4">
        <v>0</v>
      </c>
      <c r="D525" s="4">
        <v>1</v>
      </c>
      <c r="E525" s="4">
        <v>228</v>
      </c>
      <c r="F525" s="4">
        <f>ROUND(Source!AY517,O525)</f>
        <v>313005744.29000002</v>
      </c>
      <c r="G525" s="4" t="s">
        <v>63</v>
      </c>
      <c r="H525" s="4" t="s">
        <v>64</v>
      </c>
      <c r="I525" s="4"/>
      <c r="J525" s="4"/>
      <c r="K525" s="4">
        <v>228</v>
      </c>
      <c r="L525" s="4">
        <v>7</v>
      </c>
      <c r="M525" s="4">
        <v>3</v>
      </c>
      <c r="N525" s="4" t="s">
        <v>5</v>
      </c>
      <c r="O525" s="4">
        <v>2</v>
      </c>
      <c r="P525" s="4"/>
      <c r="Q525" s="4"/>
      <c r="R525" s="4"/>
      <c r="S525" s="4"/>
      <c r="T525" s="4"/>
      <c r="U525" s="4"/>
      <c r="V525" s="4"/>
      <c r="W525" s="4"/>
    </row>
    <row r="526" spans="1:206" x14ac:dyDescent="0.2">
      <c r="A526" s="4">
        <v>50</v>
      </c>
      <c r="B526" s="4">
        <v>0</v>
      </c>
      <c r="C526" s="4">
        <v>0</v>
      </c>
      <c r="D526" s="4">
        <v>1</v>
      </c>
      <c r="E526" s="4">
        <v>216</v>
      </c>
      <c r="F526" s="4">
        <f>ROUND(Source!AP517,O526)</f>
        <v>0</v>
      </c>
      <c r="G526" s="4" t="s">
        <v>65</v>
      </c>
      <c r="H526" s="4" t="s">
        <v>66</v>
      </c>
      <c r="I526" s="4"/>
      <c r="J526" s="4"/>
      <c r="K526" s="4">
        <v>216</v>
      </c>
      <c r="L526" s="4">
        <v>8</v>
      </c>
      <c r="M526" s="4">
        <v>3</v>
      </c>
      <c r="N526" s="4" t="s">
        <v>5</v>
      </c>
      <c r="O526" s="4">
        <v>2</v>
      </c>
      <c r="P526" s="4"/>
      <c r="Q526" s="4"/>
      <c r="R526" s="4"/>
      <c r="S526" s="4"/>
      <c r="T526" s="4"/>
      <c r="U526" s="4"/>
      <c r="V526" s="4"/>
      <c r="W526" s="4"/>
    </row>
    <row r="527" spans="1:206" x14ac:dyDescent="0.2">
      <c r="A527" s="4">
        <v>50</v>
      </c>
      <c r="B527" s="4">
        <v>0</v>
      </c>
      <c r="C527" s="4">
        <v>0</v>
      </c>
      <c r="D527" s="4">
        <v>1</v>
      </c>
      <c r="E527" s="4">
        <v>223</v>
      </c>
      <c r="F527" s="4">
        <f>ROUND(Source!AQ517,O527)</f>
        <v>0</v>
      </c>
      <c r="G527" s="4" t="s">
        <v>67</v>
      </c>
      <c r="H527" s="4" t="s">
        <v>68</v>
      </c>
      <c r="I527" s="4"/>
      <c r="J527" s="4"/>
      <c r="K527" s="4">
        <v>223</v>
      </c>
      <c r="L527" s="4">
        <v>9</v>
      </c>
      <c r="M527" s="4">
        <v>3</v>
      </c>
      <c r="N527" s="4" t="s">
        <v>5</v>
      </c>
      <c r="O527" s="4">
        <v>2</v>
      </c>
      <c r="P527" s="4"/>
      <c r="Q527" s="4"/>
      <c r="R527" s="4"/>
      <c r="S527" s="4"/>
      <c r="T527" s="4"/>
      <c r="U527" s="4"/>
      <c r="V527" s="4"/>
      <c r="W527" s="4"/>
    </row>
    <row r="528" spans="1:206" x14ac:dyDescent="0.2">
      <c r="A528" s="4">
        <v>50</v>
      </c>
      <c r="B528" s="4">
        <v>0</v>
      </c>
      <c r="C528" s="4">
        <v>0</v>
      </c>
      <c r="D528" s="4">
        <v>1</v>
      </c>
      <c r="E528" s="4">
        <v>229</v>
      </c>
      <c r="F528" s="4">
        <f>ROUND(Source!AZ517,O528)</f>
        <v>0</v>
      </c>
      <c r="G528" s="4" t="s">
        <v>69</v>
      </c>
      <c r="H528" s="4" t="s">
        <v>70</v>
      </c>
      <c r="I528" s="4"/>
      <c r="J528" s="4"/>
      <c r="K528" s="4">
        <v>229</v>
      </c>
      <c r="L528" s="4">
        <v>10</v>
      </c>
      <c r="M528" s="4">
        <v>3</v>
      </c>
      <c r="N528" s="4" t="s">
        <v>5</v>
      </c>
      <c r="O528" s="4">
        <v>2</v>
      </c>
      <c r="P528" s="4"/>
      <c r="Q528" s="4"/>
      <c r="R528" s="4"/>
      <c r="S528" s="4"/>
      <c r="T528" s="4"/>
      <c r="U528" s="4"/>
      <c r="V528" s="4"/>
      <c r="W528" s="4"/>
    </row>
    <row r="529" spans="1:23" x14ac:dyDescent="0.2">
      <c r="A529" s="4">
        <v>50</v>
      </c>
      <c r="B529" s="4">
        <v>0</v>
      </c>
      <c r="C529" s="4">
        <v>0</v>
      </c>
      <c r="D529" s="4">
        <v>1</v>
      </c>
      <c r="E529" s="4">
        <v>203</v>
      </c>
      <c r="F529" s="4">
        <f>ROUND(Source!Q517,O529)</f>
        <v>9049711.6199999992</v>
      </c>
      <c r="G529" s="4" t="s">
        <v>71</v>
      </c>
      <c r="H529" s="4" t="s">
        <v>72</v>
      </c>
      <c r="I529" s="4"/>
      <c r="J529" s="4"/>
      <c r="K529" s="4">
        <v>203</v>
      </c>
      <c r="L529" s="4">
        <v>11</v>
      </c>
      <c r="M529" s="4">
        <v>3</v>
      </c>
      <c r="N529" s="4" t="s">
        <v>5</v>
      </c>
      <c r="O529" s="4">
        <v>2</v>
      </c>
      <c r="P529" s="4"/>
      <c r="Q529" s="4"/>
      <c r="R529" s="4"/>
      <c r="S529" s="4"/>
      <c r="T529" s="4"/>
      <c r="U529" s="4"/>
      <c r="V529" s="4"/>
      <c r="W529" s="4"/>
    </row>
    <row r="530" spans="1:23" x14ac:dyDescent="0.2">
      <c r="A530" s="4">
        <v>50</v>
      </c>
      <c r="B530" s="4">
        <v>0</v>
      </c>
      <c r="C530" s="4">
        <v>0</v>
      </c>
      <c r="D530" s="4">
        <v>1</v>
      </c>
      <c r="E530" s="4">
        <v>231</v>
      </c>
      <c r="F530" s="4">
        <f>ROUND(Source!BB517,O530)</f>
        <v>0</v>
      </c>
      <c r="G530" s="4" t="s">
        <v>73</v>
      </c>
      <c r="H530" s="4" t="s">
        <v>74</v>
      </c>
      <c r="I530" s="4"/>
      <c r="J530" s="4"/>
      <c r="K530" s="4">
        <v>231</v>
      </c>
      <c r="L530" s="4">
        <v>12</v>
      </c>
      <c r="M530" s="4">
        <v>3</v>
      </c>
      <c r="N530" s="4" t="s">
        <v>5</v>
      </c>
      <c r="O530" s="4">
        <v>2</v>
      </c>
      <c r="P530" s="4"/>
      <c r="Q530" s="4"/>
      <c r="R530" s="4"/>
      <c r="S530" s="4"/>
      <c r="T530" s="4"/>
      <c r="U530" s="4"/>
      <c r="V530" s="4"/>
      <c r="W530" s="4"/>
    </row>
    <row r="531" spans="1:23" x14ac:dyDescent="0.2">
      <c r="A531" s="4">
        <v>50</v>
      </c>
      <c r="B531" s="4">
        <v>0</v>
      </c>
      <c r="C531" s="4">
        <v>0</v>
      </c>
      <c r="D531" s="4">
        <v>1</v>
      </c>
      <c r="E531" s="4">
        <v>204</v>
      </c>
      <c r="F531" s="4">
        <f>ROUND(Source!R517,O531)</f>
        <v>2133171.54</v>
      </c>
      <c r="G531" s="4" t="s">
        <v>75</v>
      </c>
      <c r="H531" s="4" t="s">
        <v>76</v>
      </c>
      <c r="I531" s="4"/>
      <c r="J531" s="4"/>
      <c r="K531" s="4">
        <v>204</v>
      </c>
      <c r="L531" s="4">
        <v>13</v>
      </c>
      <c r="M531" s="4">
        <v>3</v>
      </c>
      <c r="N531" s="4" t="s">
        <v>5</v>
      </c>
      <c r="O531" s="4">
        <v>2</v>
      </c>
      <c r="P531" s="4"/>
      <c r="Q531" s="4"/>
      <c r="R531" s="4"/>
      <c r="S531" s="4"/>
      <c r="T531" s="4"/>
      <c r="U531" s="4"/>
      <c r="V531" s="4"/>
      <c r="W531" s="4"/>
    </row>
    <row r="532" spans="1:23" x14ac:dyDescent="0.2">
      <c r="A532" s="4">
        <v>50</v>
      </c>
      <c r="B532" s="4">
        <v>0</v>
      </c>
      <c r="C532" s="4">
        <v>0</v>
      </c>
      <c r="D532" s="4">
        <v>1</v>
      </c>
      <c r="E532" s="4">
        <v>205</v>
      </c>
      <c r="F532" s="4">
        <f>ROUND(Source!S517,O532)</f>
        <v>25051998.989999998</v>
      </c>
      <c r="G532" s="4" t="s">
        <v>77</v>
      </c>
      <c r="H532" s="4" t="s">
        <v>78</v>
      </c>
      <c r="I532" s="4"/>
      <c r="J532" s="4"/>
      <c r="K532" s="4">
        <v>205</v>
      </c>
      <c r="L532" s="4">
        <v>14</v>
      </c>
      <c r="M532" s="4">
        <v>3</v>
      </c>
      <c r="N532" s="4" t="s">
        <v>5</v>
      </c>
      <c r="O532" s="4">
        <v>2</v>
      </c>
      <c r="P532" s="4"/>
      <c r="Q532" s="4"/>
      <c r="R532" s="4"/>
      <c r="S532" s="4"/>
      <c r="T532" s="4"/>
      <c r="U532" s="4"/>
      <c r="V532" s="4"/>
      <c r="W532" s="4"/>
    </row>
    <row r="533" spans="1:23" x14ac:dyDescent="0.2">
      <c r="A533" s="4">
        <v>50</v>
      </c>
      <c r="B533" s="4">
        <v>0</v>
      </c>
      <c r="C533" s="4">
        <v>0</v>
      </c>
      <c r="D533" s="4">
        <v>1</v>
      </c>
      <c r="E533" s="4">
        <v>232</v>
      </c>
      <c r="F533" s="4">
        <f>ROUND(Source!BC517,O533)</f>
        <v>0</v>
      </c>
      <c r="G533" s="4" t="s">
        <v>79</v>
      </c>
      <c r="H533" s="4" t="s">
        <v>80</v>
      </c>
      <c r="I533" s="4"/>
      <c r="J533" s="4"/>
      <c r="K533" s="4">
        <v>232</v>
      </c>
      <c r="L533" s="4">
        <v>15</v>
      </c>
      <c r="M533" s="4">
        <v>3</v>
      </c>
      <c r="N533" s="4" t="s">
        <v>5</v>
      </c>
      <c r="O533" s="4">
        <v>2</v>
      </c>
      <c r="P533" s="4"/>
      <c r="Q533" s="4"/>
      <c r="R533" s="4"/>
      <c r="S533" s="4"/>
      <c r="T533" s="4"/>
      <c r="U533" s="4"/>
      <c r="V533" s="4"/>
      <c r="W533" s="4"/>
    </row>
    <row r="534" spans="1:23" x14ac:dyDescent="0.2">
      <c r="A534" s="4">
        <v>50</v>
      </c>
      <c r="B534" s="4">
        <v>0</v>
      </c>
      <c r="C534" s="4">
        <v>0</v>
      </c>
      <c r="D534" s="4">
        <v>1</v>
      </c>
      <c r="E534" s="4">
        <v>214</v>
      </c>
      <c r="F534" s="4">
        <f>ROUND(Source!AS517,O534)</f>
        <v>386462673.17000002</v>
      </c>
      <c r="G534" s="4" t="s">
        <v>81</v>
      </c>
      <c r="H534" s="4" t="s">
        <v>82</v>
      </c>
      <c r="I534" s="4"/>
      <c r="J534" s="4"/>
      <c r="K534" s="4">
        <v>214</v>
      </c>
      <c r="L534" s="4">
        <v>16</v>
      </c>
      <c r="M534" s="4">
        <v>3</v>
      </c>
      <c r="N534" s="4" t="s">
        <v>5</v>
      </c>
      <c r="O534" s="4">
        <v>2</v>
      </c>
      <c r="P534" s="4"/>
      <c r="Q534" s="4"/>
      <c r="R534" s="4"/>
      <c r="S534" s="4"/>
      <c r="T534" s="4"/>
      <c r="U534" s="4"/>
      <c r="V534" s="4"/>
      <c r="W534" s="4"/>
    </row>
    <row r="535" spans="1:23" x14ac:dyDescent="0.2">
      <c r="A535" s="4">
        <v>50</v>
      </c>
      <c r="B535" s="4">
        <v>0</v>
      </c>
      <c r="C535" s="4">
        <v>0</v>
      </c>
      <c r="D535" s="4">
        <v>1</v>
      </c>
      <c r="E535" s="4">
        <v>215</v>
      </c>
      <c r="F535" s="4">
        <f>ROUND(Source!AT517,O535)</f>
        <v>0</v>
      </c>
      <c r="G535" s="4" t="s">
        <v>83</v>
      </c>
      <c r="H535" s="4" t="s">
        <v>84</v>
      </c>
      <c r="I535" s="4"/>
      <c r="J535" s="4"/>
      <c r="K535" s="4">
        <v>215</v>
      </c>
      <c r="L535" s="4">
        <v>17</v>
      </c>
      <c r="M535" s="4">
        <v>3</v>
      </c>
      <c r="N535" s="4" t="s">
        <v>5</v>
      </c>
      <c r="O535" s="4">
        <v>2</v>
      </c>
      <c r="P535" s="4"/>
      <c r="Q535" s="4"/>
      <c r="R535" s="4"/>
      <c r="S535" s="4"/>
      <c r="T535" s="4"/>
      <c r="U535" s="4"/>
      <c r="V535" s="4"/>
      <c r="W535" s="4"/>
    </row>
    <row r="536" spans="1:23" x14ac:dyDescent="0.2">
      <c r="A536" s="4">
        <v>50</v>
      </c>
      <c r="B536" s="4">
        <v>0</v>
      </c>
      <c r="C536" s="4">
        <v>0</v>
      </c>
      <c r="D536" s="4">
        <v>1</v>
      </c>
      <c r="E536" s="4">
        <v>217</v>
      </c>
      <c r="F536" s="4">
        <f>ROUND(Source!AU517,O536)</f>
        <v>1317537.0900000001</v>
      </c>
      <c r="G536" s="4" t="s">
        <v>85</v>
      </c>
      <c r="H536" s="4" t="s">
        <v>86</v>
      </c>
      <c r="I536" s="4"/>
      <c r="J536" s="4"/>
      <c r="K536" s="4">
        <v>217</v>
      </c>
      <c r="L536" s="4">
        <v>18</v>
      </c>
      <c r="M536" s="4">
        <v>3</v>
      </c>
      <c r="N536" s="4" t="s">
        <v>5</v>
      </c>
      <c r="O536" s="4">
        <v>2</v>
      </c>
      <c r="P536" s="4"/>
      <c r="Q536" s="4"/>
      <c r="R536" s="4"/>
      <c r="S536" s="4"/>
      <c r="T536" s="4"/>
      <c r="U536" s="4"/>
      <c r="V536" s="4"/>
      <c r="W536" s="4"/>
    </row>
    <row r="537" spans="1:23" x14ac:dyDescent="0.2">
      <c r="A537" s="4">
        <v>50</v>
      </c>
      <c r="B537" s="4">
        <v>0</v>
      </c>
      <c r="C537" s="4">
        <v>0</v>
      </c>
      <c r="D537" s="4">
        <v>1</v>
      </c>
      <c r="E537" s="4">
        <v>230</v>
      </c>
      <c r="F537" s="4">
        <f>ROUND(Source!BA517,O537)</f>
        <v>0</v>
      </c>
      <c r="G537" s="4" t="s">
        <v>87</v>
      </c>
      <c r="H537" s="4" t="s">
        <v>88</v>
      </c>
      <c r="I537" s="4"/>
      <c r="J537" s="4"/>
      <c r="K537" s="4">
        <v>230</v>
      </c>
      <c r="L537" s="4">
        <v>19</v>
      </c>
      <c r="M537" s="4">
        <v>3</v>
      </c>
      <c r="N537" s="4" t="s">
        <v>5</v>
      </c>
      <c r="O537" s="4">
        <v>2</v>
      </c>
      <c r="P537" s="4"/>
      <c r="Q537" s="4"/>
      <c r="R537" s="4"/>
      <c r="S537" s="4"/>
      <c r="T537" s="4"/>
      <c r="U537" s="4"/>
      <c r="V537" s="4"/>
      <c r="W537" s="4"/>
    </row>
    <row r="538" spans="1:23" x14ac:dyDescent="0.2">
      <c r="A538" s="4">
        <v>50</v>
      </c>
      <c r="B538" s="4">
        <v>0</v>
      </c>
      <c r="C538" s="4">
        <v>0</v>
      </c>
      <c r="D538" s="4">
        <v>1</v>
      </c>
      <c r="E538" s="4">
        <v>206</v>
      </c>
      <c r="F538" s="4">
        <f>ROUND(Source!T517,O538)</f>
        <v>0</v>
      </c>
      <c r="G538" s="4" t="s">
        <v>89</v>
      </c>
      <c r="H538" s="4" t="s">
        <v>90</v>
      </c>
      <c r="I538" s="4"/>
      <c r="J538" s="4"/>
      <c r="K538" s="4">
        <v>206</v>
      </c>
      <c r="L538" s="4">
        <v>20</v>
      </c>
      <c r="M538" s="4">
        <v>3</v>
      </c>
      <c r="N538" s="4" t="s">
        <v>5</v>
      </c>
      <c r="O538" s="4">
        <v>2</v>
      </c>
      <c r="P538" s="4"/>
      <c r="Q538" s="4"/>
      <c r="R538" s="4"/>
      <c r="S538" s="4"/>
      <c r="T538" s="4"/>
      <c r="U538" s="4"/>
      <c r="V538" s="4"/>
      <c r="W538" s="4"/>
    </row>
    <row r="539" spans="1:23" x14ac:dyDescent="0.2">
      <c r="A539" s="4">
        <v>50</v>
      </c>
      <c r="B539" s="4">
        <v>0</v>
      </c>
      <c r="C539" s="4">
        <v>0</v>
      </c>
      <c r="D539" s="4">
        <v>1</v>
      </c>
      <c r="E539" s="4">
        <v>207</v>
      </c>
      <c r="F539" s="4">
        <f>Source!U517</f>
        <v>91515.808717000007</v>
      </c>
      <c r="G539" s="4" t="s">
        <v>91</v>
      </c>
      <c r="H539" s="4" t="s">
        <v>92</v>
      </c>
      <c r="I539" s="4"/>
      <c r="J539" s="4"/>
      <c r="K539" s="4">
        <v>207</v>
      </c>
      <c r="L539" s="4">
        <v>21</v>
      </c>
      <c r="M539" s="4">
        <v>3</v>
      </c>
      <c r="N539" s="4" t="s">
        <v>5</v>
      </c>
      <c r="O539" s="4">
        <v>-1</v>
      </c>
      <c r="P539" s="4"/>
      <c r="Q539" s="4"/>
      <c r="R539" s="4"/>
      <c r="S539" s="4"/>
      <c r="T539" s="4"/>
      <c r="U539" s="4"/>
      <c r="V539" s="4"/>
      <c r="W539" s="4"/>
    </row>
    <row r="540" spans="1:23" x14ac:dyDescent="0.2">
      <c r="A540" s="4">
        <v>50</v>
      </c>
      <c r="B540" s="4">
        <v>0</v>
      </c>
      <c r="C540" s="4">
        <v>0</v>
      </c>
      <c r="D540" s="4">
        <v>1</v>
      </c>
      <c r="E540" s="4">
        <v>208</v>
      </c>
      <c r="F540" s="4">
        <f>Source!V517</f>
        <v>0</v>
      </c>
      <c r="G540" s="4" t="s">
        <v>93</v>
      </c>
      <c r="H540" s="4" t="s">
        <v>94</v>
      </c>
      <c r="I540" s="4"/>
      <c r="J540" s="4"/>
      <c r="K540" s="4">
        <v>208</v>
      </c>
      <c r="L540" s="4">
        <v>22</v>
      </c>
      <c r="M540" s="4">
        <v>3</v>
      </c>
      <c r="N540" s="4" t="s">
        <v>5</v>
      </c>
      <c r="O540" s="4">
        <v>-1</v>
      </c>
      <c r="P540" s="4"/>
      <c r="Q540" s="4"/>
      <c r="R540" s="4"/>
      <c r="S540" s="4"/>
      <c r="T540" s="4"/>
      <c r="U540" s="4"/>
      <c r="V540" s="4"/>
      <c r="W540" s="4"/>
    </row>
    <row r="541" spans="1:23" x14ac:dyDescent="0.2">
      <c r="A541" s="4">
        <v>50</v>
      </c>
      <c r="B541" s="4">
        <v>0</v>
      </c>
      <c r="C541" s="4">
        <v>0</v>
      </c>
      <c r="D541" s="4">
        <v>1</v>
      </c>
      <c r="E541" s="4">
        <v>209</v>
      </c>
      <c r="F541" s="4">
        <f>ROUND(Source!W517,O541)</f>
        <v>0</v>
      </c>
      <c r="G541" s="4" t="s">
        <v>95</v>
      </c>
      <c r="H541" s="4" t="s">
        <v>96</v>
      </c>
      <c r="I541" s="4"/>
      <c r="J541" s="4"/>
      <c r="K541" s="4">
        <v>209</v>
      </c>
      <c r="L541" s="4">
        <v>23</v>
      </c>
      <c r="M541" s="4">
        <v>3</v>
      </c>
      <c r="N541" s="4" t="s">
        <v>5</v>
      </c>
      <c r="O541" s="4">
        <v>2</v>
      </c>
      <c r="P541" s="4"/>
      <c r="Q541" s="4"/>
      <c r="R541" s="4"/>
      <c r="S541" s="4"/>
      <c r="T541" s="4"/>
      <c r="U541" s="4"/>
      <c r="V541" s="4"/>
      <c r="W541" s="4"/>
    </row>
    <row r="542" spans="1:23" x14ac:dyDescent="0.2">
      <c r="A542" s="4">
        <v>50</v>
      </c>
      <c r="B542" s="4">
        <v>0</v>
      </c>
      <c r="C542" s="4">
        <v>0</v>
      </c>
      <c r="D542" s="4">
        <v>1</v>
      </c>
      <c r="E542" s="4">
        <v>233</v>
      </c>
      <c r="F542" s="4">
        <f>ROUND(Source!BD517,O542)</f>
        <v>0</v>
      </c>
      <c r="G542" s="4" t="s">
        <v>97</v>
      </c>
      <c r="H542" s="4" t="s">
        <v>98</v>
      </c>
      <c r="I542" s="4"/>
      <c r="J542" s="4"/>
      <c r="K542" s="4">
        <v>233</v>
      </c>
      <c r="L542" s="4">
        <v>24</v>
      </c>
      <c r="M542" s="4">
        <v>3</v>
      </c>
      <c r="N542" s="4" t="s">
        <v>5</v>
      </c>
      <c r="O542" s="4">
        <v>2</v>
      </c>
      <c r="P542" s="4"/>
      <c r="Q542" s="4"/>
      <c r="R542" s="4"/>
      <c r="S542" s="4"/>
      <c r="T542" s="4"/>
      <c r="U542" s="4"/>
      <c r="V542" s="4"/>
      <c r="W542" s="4"/>
    </row>
    <row r="543" spans="1:23" x14ac:dyDescent="0.2">
      <c r="A543" s="4">
        <v>50</v>
      </c>
      <c r="B543" s="4">
        <v>0</v>
      </c>
      <c r="C543" s="4">
        <v>0</v>
      </c>
      <c r="D543" s="4">
        <v>1</v>
      </c>
      <c r="E543" s="4">
        <v>210</v>
      </c>
      <c r="F543" s="4">
        <f>ROUND(Source!X517,O543)</f>
        <v>25547606.870000001</v>
      </c>
      <c r="G543" s="4" t="s">
        <v>99</v>
      </c>
      <c r="H543" s="4" t="s">
        <v>100</v>
      </c>
      <c r="I543" s="4"/>
      <c r="J543" s="4"/>
      <c r="K543" s="4">
        <v>210</v>
      </c>
      <c r="L543" s="4">
        <v>25</v>
      </c>
      <c r="M543" s="4">
        <v>3</v>
      </c>
      <c r="N543" s="4" t="s">
        <v>5</v>
      </c>
      <c r="O543" s="4">
        <v>2</v>
      </c>
      <c r="P543" s="4"/>
      <c r="Q543" s="4"/>
      <c r="R543" s="4"/>
      <c r="S543" s="4"/>
      <c r="T543" s="4"/>
      <c r="U543" s="4"/>
      <c r="V543" s="4"/>
      <c r="W543" s="4"/>
    </row>
    <row r="544" spans="1:23" x14ac:dyDescent="0.2">
      <c r="A544" s="4">
        <v>50</v>
      </c>
      <c r="B544" s="4">
        <v>0</v>
      </c>
      <c r="C544" s="4">
        <v>0</v>
      </c>
      <c r="D544" s="4">
        <v>1</v>
      </c>
      <c r="E544" s="4">
        <v>211</v>
      </c>
      <c r="F544" s="4">
        <f>ROUND(Source!Y517,O544)</f>
        <v>11776069.17</v>
      </c>
      <c r="G544" s="4" t="s">
        <v>101</v>
      </c>
      <c r="H544" s="4" t="s">
        <v>102</v>
      </c>
      <c r="I544" s="4"/>
      <c r="J544" s="4"/>
      <c r="K544" s="4">
        <v>211</v>
      </c>
      <c r="L544" s="4">
        <v>26</v>
      </c>
      <c r="M544" s="4">
        <v>3</v>
      </c>
      <c r="N544" s="4" t="s">
        <v>5</v>
      </c>
      <c r="O544" s="4">
        <v>2</v>
      </c>
      <c r="P544" s="4"/>
      <c r="Q544" s="4"/>
      <c r="R544" s="4"/>
      <c r="S544" s="4"/>
      <c r="T544" s="4"/>
      <c r="U544" s="4"/>
      <c r="V544" s="4"/>
      <c r="W544" s="4"/>
    </row>
    <row r="545" spans="1:40" x14ac:dyDescent="0.2">
      <c r="A545" s="4">
        <v>50</v>
      </c>
      <c r="B545" s="4">
        <v>0</v>
      </c>
      <c r="C545" s="4">
        <v>0</v>
      </c>
      <c r="D545" s="4">
        <v>1</v>
      </c>
      <c r="E545" s="4">
        <v>224</v>
      </c>
      <c r="F545" s="4">
        <f>ROUND(Source!AR517,O545)</f>
        <v>387780210.25999999</v>
      </c>
      <c r="G545" s="4" t="s">
        <v>103</v>
      </c>
      <c r="H545" s="4" t="s">
        <v>104</v>
      </c>
      <c r="I545" s="4"/>
      <c r="J545" s="4"/>
      <c r="K545" s="4">
        <v>224</v>
      </c>
      <c r="L545" s="4">
        <v>27</v>
      </c>
      <c r="M545" s="4">
        <v>3</v>
      </c>
      <c r="N545" s="4" t="s">
        <v>5</v>
      </c>
      <c r="O545" s="4">
        <v>2</v>
      </c>
      <c r="P545" s="4"/>
      <c r="Q545" s="4"/>
      <c r="R545" s="4"/>
      <c r="S545" s="4"/>
      <c r="T545" s="4"/>
      <c r="U545" s="4"/>
      <c r="V545" s="4"/>
      <c r="W545" s="4"/>
    </row>
    <row r="548" spans="1:40" x14ac:dyDescent="0.2">
      <c r="A548">
        <v>-1</v>
      </c>
    </row>
    <row r="550" spans="1:40" x14ac:dyDescent="0.2">
      <c r="A550" s="3">
        <v>75</v>
      </c>
      <c r="B550" s="3" t="s">
        <v>205</v>
      </c>
      <c r="C550" s="3">
        <v>2021</v>
      </c>
      <c r="D550" s="3">
        <v>0</v>
      </c>
      <c r="E550" s="3">
        <v>1</v>
      </c>
      <c r="F550" s="3"/>
      <c r="G550" s="3">
        <v>0</v>
      </c>
      <c r="H550" s="3">
        <v>2</v>
      </c>
      <c r="I550" s="3">
        <v>1</v>
      </c>
      <c r="J550" s="3">
        <v>1</v>
      </c>
      <c r="K550" s="3">
        <v>93</v>
      </c>
      <c r="L550" s="3">
        <v>64</v>
      </c>
      <c r="M550" s="3">
        <v>0</v>
      </c>
      <c r="N550" s="3">
        <v>49688178</v>
      </c>
      <c r="O550" s="3">
        <v>1</v>
      </c>
    </row>
    <row r="551" spans="1:40" x14ac:dyDescent="0.2">
      <c r="A551" s="5">
        <v>1</v>
      </c>
      <c r="B551" s="5" t="s">
        <v>206</v>
      </c>
      <c r="C551" s="5" t="s">
        <v>207</v>
      </c>
      <c r="D551" s="5">
        <v>2021</v>
      </c>
      <c r="E551" s="5">
        <v>1</v>
      </c>
      <c r="F551" s="5">
        <v>1</v>
      </c>
      <c r="G551" s="5">
        <v>1</v>
      </c>
      <c r="H551" s="5">
        <v>0</v>
      </c>
      <c r="I551" s="5">
        <v>2</v>
      </c>
      <c r="J551" s="5">
        <v>1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 t="s">
        <v>5</v>
      </c>
      <c r="S551" s="5" t="s">
        <v>5</v>
      </c>
      <c r="T551" s="5" t="s">
        <v>5</v>
      </c>
      <c r="U551" s="5" t="s">
        <v>5</v>
      </c>
      <c r="V551" s="5" t="s">
        <v>5</v>
      </c>
      <c r="W551" s="5" t="s">
        <v>5</v>
      </c>
      <c r="X551" s="5" t="s">
        <v>5</v>
      </c>
      <c r="Y551" s="5" t="s">
        <v>5</v>
      </c>
      <c r="Z551" s="5" t="s">
        <v>5</v>
      </c>
      <c r="AA551" s="5" t="s">
        <v>208</v>
      </c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>
        <v>49688179</v>
      </c>
    </row>
    <row r="555" spans="1:40" x14ac:dyDescent="0.2">
      <c r="A555">
        <v>65</v>
      </c>
      <c r="C555">
        <v>1</v>
      </c>
      <c r="D555">
        <v>0</v>
      </c>
      <c r="E555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workbookViewId="0">
      <selection activeCell="G12" sqref="G12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209</v>
      </c>
      <c r="F1">
        <v>0</v>
      </c>
      <c r="G1">
        <v>0</v>
      </c>
      <c r="H1">
        <v>0</v>
      </c>
      <c r="I1" t="s">
        <v>2</v>
      </c>
      <c r="M1">
        <v>10</v>
      </c>
      <c r="N1">
        <v>11</v>
      </c>
      <c r="O1">
        <v>3</v>
      </c>
      <c r="P1">
        <v>0</v>
      </c>
      <c r="Q1">
        <v>0</v>
      </c>
    </row>
    <row r="12" spans="1:133" x14ac:dyDescent="0.2">
      <c r="A12" s="1">
        <v>1</v>
      </c>
      <c r="B12" s="1">
        <v>53</v>
      </c>
      <c r="C12" s="1">
        <v>0</v>
      </c>
      <c r="D12" s="1"/>
      <c r="E12" s="1">
        <v>0</v>
      </c>
      <c r="F12" s="1" t="s">
        <v>3</v>
      </c>
      <c r="G12" s="1" t="s">
        <v>4</v>
      </c>
      <c r="H12" s="1" t="s">
        <v>5</v>
      </c>
      <c r="I12" s="1">
        <v>0</v>
      </c>
      <c r="J12" s="1" t="s">
        <v>5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157</v>
      </c>
      <c r="S12" s="1"/>
      <c r="T12" s="1">
        <v>1</v>
      </c>
      <c r="U12" s="1" t="s">
        <v>5</v>
      </c>
      <c r="V12" s="1">
        <v>0</v>
      </c>
      <c r="W12" s="1" t="s">
        <v>5</v>
      </c>
      <c r="X12" s="1" t="s">
        <v>5</v>
      </c>
      <c r="Y12" s="1" t="s">
        <v>5</v>
      </c>
      <c r="Z12" s="1" t="s">
        <v>5</v>
      </c>
      <c r="AA12" s="1" t="s">
        <v>5</v>
      </c>
      <c r="AB12" s="1" t="s">
        <v>5</v>
      </c>
      <c r="AC12" s="1" t="s">
        <v>5</v>
      </c>
      <c r="AD12" s="1" t="s">
        <v>5</v>
      </c>
      <c r="AE12" s="1" t="s">
        <v>5</v>
      </c>
      <c r="AF12" s="1" t="s">
        <v>5</v>
      </c>
      <c r="AG12" s="1" t="s">
        <v>5</v>
      </c>
      <c r="AH12" s="1" t="s">
        <v>5</v>
      </c>
      <c r="AI12" s="1" t="s">
        <v>5</v>
      </c>
      <c r="AJ12" s="1" t="s">
        <v>5</v>
      </c>
      <c r="AK12" s="1"/>
      <c r="AL12" s="1" t="s">
        <v>5</v>
      </c>
      <c r="AM12" s="1" t="s">
        <v>5</v>
      </c>
      <c r="AN12" s="1" t="s">
        <v>5</v>
      </c>
      <c r="AO12" s="1"/>
      <c r="AP12" s="1" t="s">
        <v>5</v>
      </c>
      <c r="AQ12" s="1" t="s">
        <v>5</v>
      </c>
      <c r="AR12" s="1" t="s">
        <v>5</v>
      </c>
      <c r="AS12" s="1"/>
      <c r="AT12" s="1"/>
      <c r="AU12" s="1"/>
      <c r="AV12" s="1"/>
      <c r="AW12" s="1"/>
      <c r="AX12" s="1" t="s">
        <v>5</v>
      </c>
      <c r="AY12" s="1" t="s">
        <v>5</v>
      </c>
      <c r="AZ12" s="1" t="s">
        <v>5</v>
      </c>
      <c r="BA12" s="1"/>
      <c r="BB12" s="1">
        <v>0</v>
      </c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16785416</v>
      </c>
      <c r="CI12" s="1" t="s">
        <v>5</v>
      </c>
      <c r="CJ12" s="1" t="s">
        <v>5</v>
      </c>
      <c r="CK12" s="1">
        <v>59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49688178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6">
        <v>3</v>
      </c>
      <c r="B16" s="6">
        <v>1</v>
      </c>
      <c r="C16" s="6" t="s">
        <v>12</v>
      </c>
      <c r="D16" s="6" t="s">
        <v>13</v>
      </c>
      <c r="E16" s="7">
        <f>(Source!F275)/1000</f>
        <v>82415.101170000009</v>
      </c>
      <c r="F16" s="7">
        <f>(Source!F276)/1000</f>
        <v>0</v>
      </c>
      <c r="G16" s="7">
        <f>(Source!F267)/1000</f>
        <v>0</v>
      </c>
      <c r="H16" s="7">
        <f>(Source!F277)/1000+(Source!F278)/1000</f>
        <v>0</v>
      </c>
      <c r="I16" s="7">
        <f>E16+F16+G16+H16</f>
        <v>82415.101170000009</v>
      </c>
      <c r="J16" s="7">
        <f>(Source!F273)/1000</f>
        <v>25051.99899</v>
      </c>
      <c r="AI16" s="6">
        <v>0</v>
      </c>
      <c r="AJ16" s="6">
        <v>0</v>
      </c>
      <c r="AK16" s="6" t="s">
        <v>5</v>
      </c>
      <c r="AL16" s="6" t="s">
        <v>5</v>
      </c>
      <c r="AM16" s="6" t="s">
        <v>5</v>
      </c>
      <c r="AN16" s="6">
        <v>0</v>
      </c>
      <c r="AO16" s="6" t="s">
        <v>5</v>
      </c>
      <c r="AP16" s="6" t="s">
        <v>5</v>
      </c>
      <c r="AT16" s="7">
        <v>41742345.810000002</v>
      </c>
      <c r="AU16" s="7">
        <v>8958172.2899999991</v>
      </c>
      <c r="AV16" s="7">
        <v>0</v>
      </c>
      <c r="AW16" s="7">
        <v>0</v>
      </c>
      <c r="AX16" s="7">
        <v>0</v>
      </c>
      <c r="AY16" s="7">
        <v>7732174.5300000003</v>
      </c>
      <c r="AZ16" s="7">
        <v>2133171.54</v>
      </c>
      <c r="BA16" s="7">
        <v>25051998.989999998</v>
      </c>
      <c r="BB16" s="7">
        <v>82415101.170000002</v>
      </c>
      <c r="BC16" s="7">
        <v>0</v>
      </c>
      <c r="BD16" s="7">
        <v>0</v>
      </c>
      <c r="BE16" s="7">
        <v>0</v>
      </c>
      <c r="BF16" s="7">
        <v>91515.808716999978</v>
      </c>
      <c r="BG16" s="7">
        <v>0</v>
      </c>
      <c r="BH16" s="7">
        <v>0</v>
      </c>
      <c r="BI16" s="7">
        <v>25547606.870000001</v>
      </c>
      <c r="BJ16" s="7">
        <v>11776069.17</v>
      </c>
      <c r="BK16" s="7">
        <v>82415101.170000002</v>
      </c>
    </row>
    <row r="17" spans="1:63" x14ac:dyDescent="0.2">
      <c r="A17" s="6">
        <v>3</v>
      </c>
      <c r="B17" s="6">
        <v>2</v>
      </c>
      <c r="C17" s="6" t="s">
        <v>12</v>
      </c>
      <c r="D17" s="6" t="s">
        <v>164</v>
      </c>
      <c r="E17" s="7">
        <f>(Source!F383)/1000</f>
        <v>0</v>
      </c>
      <c r="F17" s="7">
        <f>(Source!F384)/1000</f>
        <v>0</v>
      </c>
      <c r="G17" s="7">
        <f>(Source!F375)/1000</f>
        <v>0</v>
      </c>
      <c r="H17" s="7">
        <f>(Source!F385)/1000+(Source!F386)/1000</f>
        <v>1317.53709</v>
      </c>
      <c r="I17" s="7">
        <f>E17+F17+G17+H17</f>
        <v>1317.53709</v>
      </c>
      <c r="J17" s="7">
        <f>(Source!F381)/1000</f>
        <v>0</v>
      </c>
      <c r="AI17" s="6">
        <v>0</v>
      </c>
      <c r="AJ17" s="6">
        <v>0</v>
      </c>
      <c r="AK17" s="6" t="s">
        <v>5</v>
      </c>
      <c r="AL17" s="6" t="s">
        <v>5</v>
      </c>
      <c r="AM17" s="6" t="s">
        <v>5</v>
      </c>
      <c r="AN17" s="6">
        <v>0</v>
      </c>
      <c r="AO17" s="6" t="s">
        <v>5</v>
      </c>
      <c r="AP17" s="6" t="s">
        <v>5</v>
      </c>
      <c r="AT17" s="7">
        <v>1317537.0900000001</v>
      </c>
      <c r="AU17" s="7">
        <v>0</v>
      </c>
      <c r="AV17" s="7">
        <v>0</v>
      </c>
      <c r="AW17" s="7">
        <v>0</v>
      </c>
      <c r="AX17" s="7">
        <v>0</v>
      </c>
      <c r="AY17" s="7">
        <v>1317537.0900000001</v>
      </c>
      <c r="AZ17" s="7">
        <v>0</v>
      </c>
      <c r="BA17" s="7">
        <v>0</v>
      </c>
      <c r="BB17" s="7">
        <v>0</v>
      </c>
      <c r="BC17" s="7">
        <v>0</v>
      </c>
      <c r="BD17" s="7">
        <v>1317537.0900000001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1317537.0900000001</v>
      </c>
    </row>
    <row r="18" spans="1:63" x14ac:dyDescent="0.2">
      <c r="A18" s="6">
        <v>3</v>
      </c>
      <c r="B18" s="6">
        <v>3</v>
      </c>
      <c r="C18" s="6" t="s">
        <v>12</v>
      </c>
      <c r="D18" s="6" t="s">
        <v>174</v>
      </c>
      <c r="E18" s="7">
        <f>(Source!F503)/1000</f>
        <v>304047.57199999999</v>
      </c>
      <c r="F18" s="7">
        <f>(Source!F504)/1000</f>
        <v>0</v>
      </c>
      <c r="G18" s="7">
        <f>(Source!F495)/1000</f>
        <v>0</v>
      </c>
      <c r="H18" s="7">
        <f>(Source!F505)/1000+(Source!F506)/1000</f>
        <v>0</v>
      </c>
      <c r="I18" s="7">
        <f>E18+F18+G18+H18</f>
        <v>304047.57199999999</v>
      </c>
      <c r="J18" s="7">
        <f>(Source!F501)/1000</f>
        <v>0</v>
      </c>
      <c r="AI18" s="6">
        <v>0</v>
      </c>
      <c r="AJ18" s="6">
        <v>0</v>
      </c>
      <c r="AK18" s="6" t="s">
        <v>5</v>
      </c>
      <c r="AL18" s="6" t="s">
        <v>5</v>
      </c>
      <c r="AM18" s="6" t="s">
        <v>5</v>
      </c>
      <c r="AN18" s="6">
        <v>0</v>
      </c>
      <c r="AO18" s="6" t="s">
        <v>5</v>
      </c>
      <c r="AP18" s="6" t="s">
        <v>5</v>
      </c>
      <c r="AT18" s="7">
        <v>304047572</v>
      </c>
      <c r="AU18" s="7">
        <v>304047572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304047572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304047572</v>
      </c>
    </row>
    <row r="20" spans="1:63" x14ac:dyDescent="0.2">
      <c r="A20">
        <v>51</v>
      </c>
      <c r="E20" s="8">
        <f>SUMIF(A16:A19,3,E16:E19)</f>
        <v>386462.67316999997</v>
      </c>
      <c r="F20" s="8">
        <f>SUMIF(A16:A19,3,F16:F19)</f>
        <v>0</v>
      </c>
      <c r="G20" s="8">
        <f>SUMIF(A16:A19,3,G16:G19)</f>
        <v>0</v>
      </c>
      <c r="H20" s="8">
        <f>SUMIF(A16:A19,3,H16:H19)</f>
        <v>1317.53709</v>
      </c>
      <c r="I20" s="8">
        <f>SUMIF(A16:A19,3,I16:I19)</f>
        <v>387780.21025999996</v>
      </c>
      <c r="J20" s="8">
        <f>SUMIF(A16:A19,3,J16:J19)</f>
        <v>25051.99899</v>
      </c>
      <c r="K20" s="8"/>
      <c r="L20" s="8"/>
      <c r="M20" s="8"/>
      <c r="N20" s="8"/>
      <c r="O20" s="8"/>
      <c r="P20" s="8"/>
      <c r="Q20" s="8"/>
      <c r="R20" s="8"/>
      <c r="S20" s="8"/>
    </row>
    <row r="22" spans="1:63" x14ac:dyDescent="0.2">
      <c r="A22" s="4">
        <v>50</v>
      </c>
      <c r="B22" s="4">
        <v>0</v>
      </c>
      <c r="C22" s="4">
        <v>0</v>
      </c>
      <c r="D22" s="4">
        <v>1</v>
      </c>
      <c r="E22" s="4">
        <v>201</v>
      </c>
      <c r="F22" s="4">
        <v>347107454.89999998</v>
      </c>
      <c r="G22" s="4" t="s">
        <v>51</v>
      </c>
      <c r="H22" s="4" t="s">
        <v>52</v>
      </c>
      <c r="I22" s="4"/>
      <c r="J22" s="4"/>
      <c r="K22" s="4">
        <v>201</v>
      </c>
      <c r="L22" s="4">
        <v>1</v>
      </c>
      <c r="M22" s="4">
        <v>3</v>
      </c>
      <c r="N22" s="4" t="s">
        <v>5</v>
      </c>
      <c r="O22" s="4">
        <v>2</v>
      </c>
      <c r="P22" s="4"/>
    </row>
    <row r="23" spans="1:63" x14ac:dyDescent="0.2">
      <c r="A23" s="4">
        <v>50</v>
      </c>
      <c r="B23" s="4">
        <v>0</v>
      </c>
      <c r="C23" s="4">
        <v>0</v>
      </c>
      <c r="D23" s="4">
        <v>1</v>
      </c>
      <c r="E23" s="4">
        <v>202</v>
      </c>
      <c r="F23" s="4">
        <v>313005744.29000002</v>
      </c>
      <c r="G23" s="4" t="s">
        <v>53</v>
      </c>
      <c r="H23" s="4" t="s">
        <v>54</v>
      </c>
      <c r="I23" s="4"/>
      <c r="J23" s="4"/>
      <c r="K23" s="4">
        <v>202</v>
      </c>
      <c r="L23" s="4">
        <v>2</v>
      </c>
      <c r="M23" s="4">
        <v>3</v>
      </c>
      <c r="N23" s="4" t="s">
        <v>5</v>
      </c>
      <c r="O23" s="4">
        <v>2</v>
      </c>
      <c r="P23" s="4"/>
    </row>
    <row r="24" spans="1:63" x14ac:dyDescent="0.2">
      <c r="A24" s="4">
        <v>50</v>
      </c>
      <c r="B24" s="4">
        <v>0</v>
      </c>
      <c r="C24" s="4">
        <v>0</v>
      </c>
      <c r="D24" s="4">
        <v>1</v>
      </c>
      <c r="E24" s="4">
        <v>222</v>
      </c>
      <c r="F24" s="4">
        <v>0</v>
      </c>
      <c r="G24" s="4" t="s">
        <v>55</v>
      </c>
      <c r="H24" s="4" t="s">
        <v>56</v>
      </c>
      <c r="I24" s="4"/>
      <c r="J24" s="4"/>
      <c r="K24" s="4">
        <v>222</v>
      </c>
      <c r="L24" s="4">
        <v>3</v>
      </c>
      <c r="M24" s="4">
        <v>3</v>
      </c>
      <c r="N24" s="4" t="s">
        <v>5</v>
      </c>
      <c r="O24" s="4">
        <v>2</v>
      </c>
      <c r="P24" s="4"/>
    </row>
    <row r="25" spans="1:63" x14ac:dyDescent="0.2">
      <c r="A25" s="4">
        <v>50</v>
      </c>
      <c r="B25" s="4">
        <v>0</v>
      </c>
      <c r="C25" s="4">
        <v>0</v>
      </c>
      <c r="D25" s="4">
        <v>1</v>
      </c>
      <c r="E25" s="4">
        <v>225</v>
      </c>
      <c r="F25" s="4">
        <v>313005744.29000002</v>
      </c>
      <c r="G25" s="4" t="s">
        <v>57</v>
      </c>
      <c r="H25" s="4" t="s">
        <v>58</v>
      </c>
      <c r="I25" s="4"/>
      <c r="J25" s="4"/>
      <c r="K25" s="4">
        <v>225</v>
      </c>
      <c r="L25" s="4">
        <v>4</v>
      </c>
      <c r="M25" s="4">
        <v>3</v>
      </c>
      <c r="N25" s="4" t="s">
        <v>5</v>
      </c>
      <c r="O25" s="4">
        <v>2</v>
      </c>
      <c r="P25" s="4"/>
    </row>
    <row r="26" spans="1:63" x14ac:dyDescent="0.2">
      <c r="A26" s="4">
        <v>50</v>
      </c>
      <c r="B26" s="4">
        <v>0</v>
      </c>
      <c r="C26" s="4">
        <v>0</v>
      </c>
      <c r="D26" s="4">
        <v>1</v>
      </c>
      <c r="E26" s="4">
        <v>226</v>
      </c>
      <c r="F26" s="4">
        <v>313005744.29000002</v>
      </c>
      <c r="G26" s="4" t="s">
        <v>59</v>
      </c>
      <c r="H26" s="4" t="s">
        <v>60</v>
      </c>
      <c r="I26" s="4"/>
      <c r="J26" s="4"/>
      <c r="K26" s="4">
        <v>226</v>
      </c>
      <c r="L26" s="4">
        <v>5</v>
      </c>
      <c r="M26" s="4">
        <v>3</v>
      </c>
      <c r="N26" s="4" t="s">
        <v>5</v>
      </c>
      <c r="O26" s="4">
        <v>2</v>
      </c>
      <c r="P26" s="4"/>
    </row>
    <row r="27" spans="1:63" x14ac:dyDescent="0.2">
      <c r="A27" s="4">
        <v>50</v>
      </c>
      <c r="B27" s="4">
        <v>0</v>
      </c>
      <c r="C27" s="4">
        <v>0</v>
      </c>
      <c r="D27" s="4">
        <v>1</v>
      </c>
      <c r="E27" s="4">
        <v>227</v>
      </c>
      <c r="F27" s="4">
        <v>0</v>
      </c>
      <c r="G27" s="4" t="s">
        <v>61</v>
      </c>
      <c r="H27" s="4" t="s">
        <v>62</v>
      </c>
      <c r="I27" s="4"/>
      <c r="J27" s="4"/>
      <c r="K27" s="4">
        <v>227</v>
      </c>
      <c r="L27" s="4">
        <v>6</v>
      </c>
      <c r="M27" s="4">
        <v>3</v>
      </c>
      <c r="N27" s="4" t="s">
        <v>5</v>
      </c>
      <c r="O27" s="4">
        <v>2</v>
      </c>
      <c r="P27" s="4"/>
    </row>
    <row r="28" spans="1:63" x14ac:dyDescent="0.2">
      <c r="A28" s="4">
        <v>50</v>
      </c>
      <c r="B28" s="4">
        <v>0</v>
      </c>
      <c r="C28" s="4">
        <v>0</v>
      </c>
      <c r="D28" s="4">
        <v>1</v>
      </c>
      <c r="E28" s="4">
        <v>228</v>
      </c>
      <c r="F28" s="4">
        <v>313005744.29000002</v>
      </c>
      <c r="G28" s="4" t="s">
        <v>63</v>
      </c>
      <c r="H28" s="4" t="s">
        <v>64</v>
      </c>
      <c r="I28" s="4"/>
      <c r="J28" s="4"/>
      <c r="K28" s="4">
        <v>228</v>
      </c>
      <c r="L28" s="4">
        <v>7</v>
      </c>
      <c r="M28" s="4">
        <v>3</v>
      </c>
      <c r="N28" s="4" t="s">
        <v>5</v>
      </c>
      <c r="O28" s="4">
        <v>2</v>
      </c>
      <c r="P28" s="4"/>
    </row>
    <row r="29" spans="1:63" x14ac:dyDescent="0.2">
      <c r="A29" s="4">
        <v>50</v>
      </c>
      <c r="B29" s="4">
        <v>0</v>
      </c>
      <c r="C29" s="4">
        <v>0</v>
      </c>
      <c r="D29" s="4">
        <v>1</v>
      </c>
      <c r="E29" s="4">
        <v>216</v>
      </c>
      <c r="F29" s="4">
        <v>0</v>
      </c>
      <c r="G29" s="4" t="s">
        <v>65</v>
      </c>
      <c r="H29" s="4" t="s">
        <v>66</v>
      </c>
      <c r="I29" s="4"/>
      <c r="J29" s="4"/>
      <c r="K29" s="4">
        <v>216</v>
      </c>
      <c r="L29" s="4">
        <v>8</v>
      </c>
      <c r="M29" s="4">
        <v>3</v>
      </c>
      <c r="N29" s="4" t="s">
        <v>5</v>
      </c>
      <c r="O29" s="4">
        <v>2</v>
      </c>
      <c r="P29" s="4"/>
    </row>
    <row r="30" spans="1:63" x14ac:dyDescent="0.2">
      <c r="A30" s="4">
        <v>50</v>
      </c>
      <c r="B30" s="4">
        <v>0</v>
      </c>
      <c r="C30" s="4">
        <v>0</v>
      </c>
      <c r="D30" s="4">
        <v>1</v>
      </c>
      <c r="E30" s="4">
        <v>223</v>
      </c>
      <c r="F30" s="4">
        <v>0</v>
      </c>
      <c r="G30" s="4" t="s">
        <v>67</v>
      </c>
      <c r="H30" s="4" t="s">
        <v>68</v>
      </c>
      <c r="I30" s="4"/>
      <c r="J30" s="4"/>
      <c r="K30" s="4">
        <v>223</v>
      </c>
      <c r="L30" s="4">
        <v>9</v>
      </c>
      <c r="M30" s="4">
        <v>3</v>
      </c>
      <c r="N30" s="4" t="s">
        <v>5</v>
      </c>
      <c r="O30" s="4">
        <v>2</v>
      </c>
      <c r="P30" s="4"/>
    </row>
    <row r="31" spans="1:63" x14ac:dyDescent="0.2">
      <c r="A31" s="4">
        <v>50</v>
      </c>
      <c r="B31" s="4">
        <v>0</v>
      </c>
      <c r="C31" s="4">
        <v>0</v>
      </c>
      <c r="D31" s="4">
        <v>1</v>
      </c>
      <c r="E31" s="4">
        <v>229</v>
      </c>
      <c r="F31" s="4">
        <v>0</v>
      </c>
      <c r="G31" s="4" t="s">
        <v>69</v>
      </c>
      <c r="H31" s="4" t="s">
        <v>70</v>
      </c>
      <c r="I31" s="4"/>
      <c r="J31" s="4"/>
      <c r="K31" s="4">
        <v>229</v>
      </c>
      <c r="L31" s="4">
        <v>10</v>
      </c>
      <c r="M31" s="4">
        <v>3</v>
      </c>
      <c r="N31" s="4" t="s">
        <v>5</v>
      </c>
      <c r="O31" s="4">
        <v>2</v>
      </c>
      <c r="P31" s="4"/>
    </row>
    <row r="32" spans="1:63" x14ac:dyDescent="0.2">
      <c r="A32" s="4">
        <v>50</v>
      </c>
      <c r="B32" s="4">
        <v>0</v>
      </c>
      <c r="C32" s="4">
        <v>0</v>
      </c>
      <c r="D32" s="4">
        <v>1</v>
      </c>
      <c r="E32" s="4">
        <v>203</v>
      </c>
      <c r="F32" s="4">
        <v>9049711.6199999992</v>
      </c>
      <c r="G32" s="4" t="s">
        <v>71</v>
      </c>
      <c r="H32" s="4" t="s">
        <v>72</v>
      </c>
      <c r="I32" s="4"/>
      <c r="J32" s="4"/>
      <c r="K32" s="4">
        <v>203</v>
      </c>
      <c r="L32" s="4">
        <v>11</v>
      </c>
      <c r="M32" s="4">
        <v>3</v>
      </c>
      <c r="N32" s="4" t="s">
        <v>5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231</v>
      </c>
      <c r="F33" s="4">
        <v>0</v>
      </c>
      <c r="G33" s="4" t="s">
        <v>73</v>
      </c>
      <c r="H33" s="4" t="s">
        <v>74</v>
      </c>
      <c r="I33" s="4"/>
      <c r="J33" s="4"/>
      <c r="K33" s="4">
        <v>231</v>
      </c>
      <c r="L33" s="4">
        <v>12</v>
      </c>
      <c r="M33" s="4">
        <v>3</v>
      </c>
      <c r="N33" s="4" t="s">
        <v>5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204</v>
      </c>
      <c r="F34" s="4">
        <v>2133171.54</v>
      </c>
      <c r="G34" s="4" t="s">
        <v>75</v>
      </c>
      <c r="H34" s="4" t="s">
        <v>76</v>
      </c>
      <c r="I34" s="4"/>
      <c r="J34" s="4"/>
      <c r="K34" s="4">
        <v>204</v>
      </c>
      <c r="L34" s="4">
        <v>13</v>
      </c>
      <c r="M34" s="4">
        <v>3</v>
      </c>
      <c r="N34" s="4" t="s">
        <v>5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205</v>
      </c>
      <c r="F35" s="4">
        <v>25051998.989999998</v>
      </c>
      <c r="G35" s="4" t="s">
        <v>77</v>
      </c>
      <c r="H35" s="4" t="s">
        <v>78</v>
      </c>
      <c r="I35" s="4"/>
      <c r="J35" s="4"/>
      <c r="K35" s="4">
        <v>205</v>
      </c>
      <c r="L35" s="4">
        <v>14</v>
      </c>
      <c r="M35" s="4">
        <v>3</v>
      </c>
      <c r="N35" s="4" t="s">
        <v>5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232</v>
      </c>
      <c r="F36" s="4">
        <v>0</v>
      </c>
      <c r="G36" s="4" t="s">
        <v>79</v>
      </c>
      <c r="H36" s="4" t="s">
        <v>80</v>
      </c>
      <c r="I36" s="4"/>
      <c r="J36" s="4"/>
      <c r="K36" s="4">
        <v>232</v>
      </c>
      <c r="L36" s="4">
        <v>15</v>
      </c>
      <c r="M36" s="4">
        <v>3</v>
      </c>
      <c r="N36" s="4" t="s">
        <v>5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214</v>
      </c>
      <c r="F37" s="4">
        <v>386462673.17000002</v>
      </c>
      <c r="G37" s="4" t="s">
        <v>81</v>
      </c>
      <c r="H37" s="4" t="s">
        <v>82</v>
      </c>
      <c r="I37" s="4"/>
      <c r="J37" s="4"/>
      <c r="K37" s="4">
        <v>214</v>
      </c>
      <c r="L37" s="4">
        <v>16</v>
      </c>
      <c r="M37" s="4">
        <v>3</v>
      </c>
      <c r="N37" s="4" t="s">
        <v>5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215</v>
      </c>
      <c r="F38" s="4">
        <v>0</v>
      </c>
      <c r="G38" s="4" t="s">
        <v>83</v>
      </c>
      <c r="H38" s="4" t="s">
        <v>84</v>
      </c>
      <c r="I38" s="4"/>
      <c r="J38" s="4"/>
      <c r="K38" s="4">
        <v>215</v>
      </c>
      <c r="L38" s="4">
        <v>17</v>
      </c>
      <c r="M38" s="4">
        <v>3</v>
      </c>
      <c r="N38" s="4" t="s">
        <v>5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217</v>
      </c>
      <c r="F39" s="4">
        <v>1317537.0900000001</v>
      </c>
      <c r="G39" s="4" t="s">
        <v>85</v>
      </c>
      <c r="H39" s="4" t="s">
        <v>86</v>
      </c>
      <c r="I39" s="4"/>
      <c r="J39" s="4"/>
      <c r="K39" s="4">
        <v>217</v>
      </c>
      <c r="L39" s="4">
        <v>18</v>
      </c>
      <c r="M39" s="4">
        <v>3</v>
      </c>
      <c r="N39" s="4" t="s">
        <v>5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230</v>
      </c>
      <c r="F40" s="4">
        <v>0</v>
      </c>
      <c r="G40" s="4" t="s">
        <v>87</v>
      </c>
      <c r="H40" s="4" t="s">
        <v>88</v>
      </c>
      <c r="I40" s="4"/>
      <c r="J40" s="4"/>
      <c r="K40" s="4">
        <v>230</v>
      </c>
      <c r="L40" s="4">
        <v>19</v>
      </c>
      <c r="M40" s="4">
        <v>3</v>
      </c>
      <c r="N40" s="4" t="s">
        <v>5</v>
      </c>
      <c r="O40" s="4">
        <v>2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206</v>
      </c>
      <c r="F41" s="4">
        <v>0</v>
      </c>
      <c r="G41" s="4" t="s">
        <v>89</v>
      </c>
      <c r="H41" s="4" t="s">
        <v>90</v>
      </c>
      <c r="I41" s="4"/>
      <c r="J41" s="4"/>
      <c r="K41" s="4">
        <v>206</v>
      </c>
      <c r="L41" s="4">
        <v>20</v>
      </c>
      <c r="M41" s="4">
        <v>3</v>
      </c>
      <c r="N41" s="4" t="s">
        <v>5</v>
      </c>
      <c r="O41" s="4">
        <v>2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207</v>
      </c>
      <c r="F42" s="4">
        <v>91515.808716999978</v>
      </c>
      <c r="G42" s="4" t="s">
        <v>91</v>
      </c>
      <c r="H42" s="4" t="s">
        <v>92</v>
      </c>
      <c r="I42" s="4"/>
      <c r="J42" s="4"/>
      <c r="K42" s="4">
        <v>207</v>
      </c>
      <c r="L42" s="4">
        <v>21</v>
      </c>
      <c r="M42" s="4">
        <v>3</v>
      </c>
      <c r="N42" s="4" t="s">
        <v>5</v>
      </c>
      <c r="O42" s="4">
        <v>-1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208</v>
      </c>
      <c r="F43" s="4">
        <v>0</v>
      </c>
      <c r="G43" s="4" t="s">
        <v>93</v>
      </c>
      <c r="H43" s="4" t="s">
        <v>94</v>
      </c>
      <c r="I43" s="4"/>
      <c r="J43" s="4"/>
      <c r="K43" s="4">
        <v>208</v>
      </c>
      <c r="L43" s="4">
        <v>22</v>
      </c>
      <c r="M43" s="4">
        <v>3</v>
      </c>
      <c r="N43" s="4" t="s">
        <v>5</v>
      </c>
      <c r="O43" s="4">
        <v>-1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209</v>
      </c>
      <c r="F44" s="4">
        <v>0</v>
      </c>
      <c r="G44" s="4" t="s">
        <v>95</v>
      </c>
      <c r="H44" s="4" t="s">
        <v>96</v>
      </c>
      <c r="I44" s="4"/>
      <c r="J44" s="4"/>
      <c r="K44" s="4">
        <v>209</v>
      </c>
      <c r="L44" s="4">
        <v>23</v>
      </c>
      <c r="M44" s="4">
        <v>3</v>
      </c>
      <c r="N44" s="4" t="s">
        <v>5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233</v>
      </c>
      <c r="F45" s="4">
        <v>0</v>
      </c>
      <c r="G45" s="4" t="s">
        <v>97</v>
      </c>
      <c r="H45" s="4" t="s">
        <v>98</v>
      </c>
      <c r="I45" s="4"/>
      <c r="J45" s="4"/>
      <c r="K45" s="4">
        <v>233</v>
      </c>
      <c r="L45" s="4">
        <v>24</v>
      </c>
      <c r="M45" s="4">
        <v>3</v>
      </c>
      <c r="N45" s="4" t="s">
        <v>5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210</v>
      </c>
      <c r="F46" s="4">
        <v>25547606.870000001</v>
      </c>
      <c r="G46" s="4" t="s">
        <v>99</v>
      </c>
      <c r="H46" s="4" t="s">
        <v>100</v>
      </c>
      <c r="I46" s="4"/>
      <c r="J46" s="4"/>
      <c r="K46" s="4">
        <v>210</v>
      </c>
      <c r="L46" s="4">
        <v>25</v>
      </c>
      <c r="M46" s="4">
        <v>3</v>
      </c>
      <c r="N46" s="4" t="s">
        <v>5</v>
      </c>
      <c r="O46" s="4">
        <v>2</v>
      </c>
      <c r="P46" s="4"/>
    </row>
    <row r="47" spans="1:16" x14ac:dyDescent="0.2">
      <c r="A47" s="4">
        <v>50</v>
      </c>
      <c r="B47" s="4">
        <v>0</v>
      </c>
      <c r="C47" s="4">
        <v>0</v>
      </c>
      <c r="D47" s="4">
        <v>1</v>
      </c>
      <c r="E47" s="4">
        <v>211</v>
      </c>
      <c r="F47" s="4">
        <v>11776069.17</v>
      </c>
      <c r="G47" s="4" t="s">
        <v>101</v>
      </c>
      <c r="H47" s="4" t="s">
        <v>102</v>
      </c>
      <c r="I47" s="4"/>
      <c r="J47" s="4"/>
      <c r="K47" s="4">
        <v>211</v>
      </c>
      <c r="L47" s="4">
        <v>26</v>
      </c>
      <c r="M47" s="4">
        <v>3</v>
      </c>
      <c r="N47" s="4" t="s">
        <v>5</v>
      </c>
      <c r="O47" s="4">
        <v>2</v>
      </c>
      <c r="P47" s="4"/>
    </row>
    <row r="48" spans="1:16" x14ac:dyDescent="0.2">
      <c r="A48" s="4">
        <v>50</v>
      </c>
      <c r="B48" s="4">
        <v>0</v>
      </c>
      <c r="C48" s="4">
        <v>0</v>
      </c>
      <c r="D48" s="4">
        <v>1</v>
      </c>
      <c r="E48" s="4">
        <v>224</v>
      </c>
      <c r="F48" s="4">
        <v>387780210.25999999</v>
      </c>
      <c r="G48" s="4" t="s">
        <v>103</v>
      </c>
      <c r="H48" s="4" t="s">
        <v>104</v>
      </c>
      <c r="I48" s="4"/>
      <c r="J48" s="4"/>
      <c r="K48" s="4">
        <v>224</v>
      </c>
      <c r="L48" s="4">
        <v>27</v>
      </c>
      <c r="M48" s="4">
        <v>3</v>
      </c>
      <c r="N48" s="4" t="s">
        <v>5</v>
      </c>
      <c r="O48" s="4">
        <v>2</v>
      </c>
      <c r="P48" s="4"/>
    </row>
    <row r="50" spans="1:40" x14ac:dyDescent="0.2">
      <c r="A50">
        <v>-1</v>
      </c>
    </row>
    <row r="53" spans="1:40" x14ac:dyDescent="0.2">
      <c r="A53" s="3">
        <v>75</v>
      </c>
      <c r="B53" s="3" t="s">
        <v>205</v>
      </c>
      <c r="C53" s="3">
        <v>2021</v>
      </c>
      <c r="D53" s="3">
        <v>0</v>
      </c>
      <c r="E53" s="3">
        <v>1</v>
      </c>
      <c r="F53" s="3"/>
      <c r="G53" s="3">
        <v>0</v>
      </c>
      <c r="H53" s="3">
        <v>2</v>
      </c>
      <c r="I53" s="3">
        <v>1</v>
      </c>
      <c r="J53" s="3">
        <v>1</v>
      </c>
      <c r="K53" s="3">
        <v>93</v>
      </c>
      <c r="L53" s="3">
        <v>64</v>
      </c>
      <c r="M53" s="3">
        <v>0</v>
      </c>
      <c r="N53" s="3">
        <v>49688178</v>
      </c>
      <c r="O53" s="3">
        <v>1</v>
      </c>
    </row>
    <row r="54" spans="1:40" x14ac:dyDescent="0.2">
      <c r="A54" s="5">
        <v>1</v>
      </c>
      <c r="B54" s="5" t="s">
        <v>206</v>
      </c>
      <c r="C54" s="5" t="s">
        <v>207</v>
      </c>
      <c r="D54" s="5">
        <v>2021</v>
      </c>
      <c r="E54" s="5">
        <v>1</v>
      </c>
      <c r="F54" s="5">
        <v>1</v>
      </c>
      <c r="G54" s="5">
        <v>1</v>
      </c>
      <c r="H54" s="5">
        <v>0</v>
      </c>
      <c r="I54" s="5">
        <v>2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 t="s">
        <v>5</v>
      </c>
      <c r="S54" s="5" t="s">
        <v>5</v>
      </c>
      <c r="T54" s="5" t="s">
        <v>5</v>
      </c>
      <c r="U54" s="5" t="s">
        <v>5</v>
      </c>
      <c r="V54" s="5" t="s">
        <v>5</v>
      </c>
      <c r="W54" s="5" t="s">
        <v>5</v>
      </c>
      <c r="X54" s="5" t="s">
        <v>5</v>
      </c>
      <c r="Y54" s="5" t="s">
        <v>5</v>
      </c>
      <c r="Z54" s="5" t="s">
        <v>5</v>
      </c>
      <c r="AA54" s="5" t="s">
        <v>208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>
        <v>49688179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15</vt:i4>
      </vt:variant>
    </vt:vector>
  </HeadingPairs>
  <TitlesOfParts>
    <vt:vector size="29" baseType="lpstr">
      <vt:lpstr>ПНЦ</vt:lpstr>
      <vt:lpstr>Смета по ТСН-2001</vt:lpstr>
      <vt:lpstr>Ведомость объемов работ</vt:lpstr>
      <vt:lpstr>Дефектная ведомость</vt:lpstr>
      <vt:lpstr>Локальная ресурсная ведом.1</vt:lpstr>
      <vt:lpstr>Локальная ресурсная ведом.2</vt:lpstr>
      <vt:lpstr>Локальная ресурсная ведом.3</vt:lpstr>
      <vt:lpstr>Source</vt:lpstr>
      <vt:lpstr>SourceObSm</vt:lpstr>
      <vt:lpstr>SmtRes</vt:lpstr>
      <vt:lpstr>EtalonRes</vt:lpstr>
      <vt:lpstr>ВОР</vt:lpstr>
      <vt:lpstr>Конъюнктурный анализ</vt:lpstr>
      <vt:lpstr>Породный состав</vt:lpstr>
      <vt:lpstr>'Ведомость объемов работ'!Заголовки_для_печати</vt:lpstr>
      <vt:lpstr>'Дефектная ведомость'!Заголовки_для_печати</vt:lpstr>
      <vt:lpstr>'Локальная ресурсная ведом.1'!Заголовки_для_печати</vt:lpstr>
      <vt:lpstr>'Локальная ресурсная ведом.2'!Заголовки_для_печати</vt:lpstr>
      <vt:lpstr>'Локальная ресурсная ведом.3'!Заголовки_для_печати</vt:lpstr>
      <vt:lpstr>'Смета по ТСН-2001'!Заголовки_для_печати</vt:lpstr>
      <vt:lpstr>'Ведомость объемов работ'!Область_печати</vt:lpstr>
      <vt:lpstr>ВОР!Область_печати</vt:lpstr>
      <vt:lpstr>'Дефектная ведомость'!Область_печати</vt:lpstr>
      <vt:lpstr>'Локальная ресурсная ведом.1'!Область_печати</vt:lpstr>
      <vt:lpstr>'Локальная ресурсная ведом.2'!Область_печати</vt:lpstr>
      <vt:lpstr>'Локальная ресурсная ведом.3'!Область_печати</vt:lpstr>
      <vt:lpstr>ПНЦ!Область_печати</vt:lpstr>
      <vt:lpstr>'Породный состав'!Область_печати</vt:lpstr>
      <vt:lpstr>'Смета по ТСН-2001'!Область_печати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Алексеев Алексей В.</dc:creator>
  <cp:lastModifiedBy>Алексеев Алексей В.</cp:lastModifiedBy>
  <cp:lastPrinted>2021-03-17T13:30:00Z</cp:lastPrinted>
  <dcterms:created xsi:type="dcterms:W3CDTF">2021-03-16T12:01:18Z</dcterms:created>
  <dcterms:modified xsi:type="dcterms:W3CDTF">2021-04-05T10:18:23Z</dcterms:modified>
</cp:coreProperties>
</file>