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ДД\Desktop\ТОРГИ ДГП143\Торги 2021\РЕМОНТЫ\РЕМОНТ АСФАЛЬТА\"/>
    </mc:Choice>
  </mc:AlternateContent>
  <bookViews>
    <workbookView xWindow="0" yWindow="0" windowWidth="11325" windowHeight="4995"/>
  </bookViews>
  <sheets>
    <sheet name="Смета СН-2012 по гл. 1-5" sheetId="5" r:id="rId1"/>
    <sheet name="Дефектная ведомость" sheetId="6" r:id="rId2"/>
    <sheet name="Ведомость объемов работ" sheetId="7" r:id="rId3"/>
    <sheet name="RV_DATA" sheetId="9" state="hidden" r:id="rId4"/>
    <sheet name="Расчет стоимости ресурсов" sheetId="8" r:id="rId5"/>
    <sheet name="Source" sheetId="1" r:id="rId6"/>
    <sheet name="SourceObSm" sheetId="2" r:id="rId7"/>
    <sheet name="SmtRes" sheetId="3" r:id="rId8"/>
    <sheet name="EtalonRes" sheetId="4" r:id="rId9"/>
  </sheets>
  <definedNames>
    <definedName name="_xlnm.Print_Titles" localSheetId="2">'Ведомость объемов работ'!$14:$14</definedName>
    <definedName name="_xlnm.Print_Titles" localSheetId="1">'Дефектная ведомость'!$16:$16</definedName>
    <definedName name="_xlnm.Print_Titles" localSheetId="4">'Расчет стоимости ресурсов'!$4:$7</definedName>
    <definedName name="_xlnm.Print_Titles" localSheetId="0">'Смета СН-2012 по гл. 1-5'!$28:$28</definedName>
    <definedName name="_xlnm.Print_Area" localSheetId="2">'Ведомость объемов работ'!$A$1:$E$34</definedName>
    <definedName name="_xlnm.Print_Area" localSheetId="1">'Дефектная ведомость'!$A$1:$E$36</definedName>
    <definedName name="_xlnm.Print_Area" localSheetId="4">'Расчет стоимости ресурсов'!$A$1:$G$30</definedName>
    <definedName name="_xlnm.Print_Area" localSheetId="0">'Смета СН-2012 по гл. 1-5'!$A$1:$K$184</definedName>
  </definedNames>
  <calcPr calcId="152511"/>
</workbook>
</file>

<file path=xl/calcChain.xml><?xml version="1.0" encoding="utf-8"?>
<calcChain xmlns="http://schemas.openxmlformats.org/spreadsheetml/2006/main">
  <c r="G5" i="5" l="1"/>
  <c r="G25" i="9" l="1"/>
  <c r="A25" i="9"/>
  <c r="U24" i="9"/>
  <c r="S24" i="9"/>
  <c r="P24" i="9"/>
  <c r="N24" i="9"/>
  <c r="K24" i="9"/>
  <c r="J24" i="9"/>
  <c r="H24" i="9"/>
  <c r="G24" i="9"/>
  <c r="F24" i="9"/>
  <c r="E24" i="9"/>
  <c r="U23" i="9"/>
  <c r="S23" i="9"/>
  <c r="P23" i="9"/>
  <c r="N23" i="9"/>
  <c r="K23" i="9"/>
  <c r="E27" i="8" s="1"/>
  <c r="J23" i="9"/>
  <c r="H23" i="9"/>
  <c r="G23" i="9"/>
  <c r="F23" i="9"/>
  <c r="E23" i="9"/>
  <c r="U22" i="9"/>
  <c r="S22" i="9"/>
  <c r="P22" i="9"/>
  <c r="N22" i="9"/>
  <c r="K22" i="9"/>
  <c r="E25" i="8" s="1"/>
  <c r="J22" i="9"/>
  <c r="H22" i="9"/>
  <c r="G22" i="9"/>
  <c r="F22" i="9"/>
  <c r="E22" i="9"/>
  <c r="U21" i="9"/>
  <c r="S21" i="9"/>
  <c r="P21" i="9"/>
  <c r="N21" i="9"/>
  <c r="K21" i="9"/>
  <c r="E26" i="8" s="1"/>
  <c r="J21" i="9"/>
  <c r="H21" i="9"/>
  <c r="G21" i="9"/>
  <c r="F21" i="9"/>
  <c r="E21" i="9"/>
  <c r="G20" i="9"/>
  <c r="A20" i="9"/>
  <c r="U19" i="9"/>
  <c r="S19" i="9"/>
  <c r="P19" i="9"/>
  <c r="N19" i="9"/>
  <c r="K19" i="9"/>
  <c r="J19" i="9"/>
  <c r="H19" i="9"/>
  <c r="G19" i="9"/>
  <c r="F19" i="9"/>
  <c r="E19" i="9"/>
  <c r="U18" i="9"/>
  <c r="S18" i="9"/>
  <c r="P18" i="9"/>
  <c r="N18" i="9"/>
  <c r="K18" i="9"/>
  <c r="E20" i="8" s="1"/>
  <c r="J18" i="9"/>
  <c r="H18" i="9"/>
  <c r="G18" i="9"/>
  <c r="F18" i="9"/>
  <c r="E18" i="9"/>
  <c r="U17" i="9"/>
  <c r="S17" i="9"/>
  <c r="P17" i="9"/>
  <c r="N17" i="9"/>
  <c r="K17" i="9"/>
  <c r="E16" i="8" s="1"/>
  <c r="J17" i="9"/>
  <c r="H17" i="9"/>
  <c r="G17" i="9"/>
  <c r="F17" i="9"/>
  <c r="E17" i="9"/>
  <c r="U16" i="9"/>
  <c r="S16" i="9"/>
  <c r="P16" i="9"/>
  <c r="N16" i="9"/>
  <c r="K16" i="9"/>
  <c r="E19" i="8" s="1"/>
  <c r="J16" i="9"/>
  <c r="H16" i="9"/>
  <c r="G16" i="9"/>
  <c r="F16" i="9"/>
  <c r="E16" i="9"/>
  <c r="U15" i="9"/>
  <c r="S15" i="9"/>
  <c r="P15" i="9"/>
  <c r="N15" i="9"/>
  <c r="K15" i="9"/>
  <c r="E11" i="8" s="1"/>
  <c r="J15" i="9"/>
  <c r="H15" i="9"/>
  <c r="G15" i="9"/>
  <c r="F15" i="9"/>
  <c r="E15" i="9"/>
  <c r="U14" i="9"/>
  <c r="S14" i="9"/>
  <c r="P14" i="9"/>
  <c r="N14" i="9"/>
  <c r="K14" i="9"/>
  <c r="E12" i="8" s="1"/>
  <c r="J14" i="9"/>
  <c r="H14" i="9"/>
  <c r="G14" i="9"/>
  <c r="F14" i="9"/>
  <c r="E14" i="9"/>
  <c r="U13" i="9"/>
  <c r="S13" i="9"/>
  <c r="P13" i="9"/>
  <c r="N13" i="9"/>
  <c r="K13" i="9"/>
  <c r="E13" i="8" s="1"/>
  <c r="J13" i="9"/>
  <c r="H13" i="9"/>
  <c r="G13" i="9"/>
  <c r="F13" i="9"/>
  <c r="E13" i="9"/>
  <c r="U12" i="9"/>
  <c r="S12" i="9"/>
  <c r="P12" i="9"/>
  <c r="N12" i="9"/>
  <c r="K12" i="9"/>
  <c r="E14" i="8" s="1"/>
  <c r="J12" i="9"/>
  <c r="H12" i="9"/>
  <c r="G12" i="9"/>
  <c r="F12" i="9"/>
  <c r="E12" i="9"/>
  <c r="U11" i="9"/>
  <c r="S11" i="9"/>
  <c r="P11" i="9"/>
  <c r="N11" i="9"/>
  <c r="K11" i="9"/>
  <c r="E15" i="8" s="1"/>
  <c r="J11" i="9"/>
  <c r="H11" i="9"/>
  <c r="G11" i="9"/>
  <c r="F11" i="9"/>
  <c r="E11" i="9"/>
  <c r="U10" i="9"/>
  <c r="S10" i="9"/>
  <c r="P10" i="9"/>
  <c r="N10" i="9"/>
  <c r="K10" i="9"/>
  <c r="E17" i="8" s="1"/>
  <c r="J10" i="9"/>
  <c r="H10" i="9"/>
  <c r="G10" i="9"/>
  <c r="F10" i="9"/>
  <c r="E10" i="9"/>
  <c r="U9" i="9"/>
  <c r="S9" i="9"/>
  <c r="P9" i="9"/>
  <c r="N9" i="9"/>
  <c r="K9" i="9"/>
  <c r="E21" i="8" s="1"/>
  <c r="J9" i="9"/>
  <c r="H9" i="9"/>
  <c r="G9" i="9"/>
  <c r="F9" i="9"/>
  <c r="E9" i="9"/>
  <c r="U8" i="9"/>
  <c r="S8" i="9"/>
  <c r="P8" i="9"/>
  <c r="N8" i="9"/>
  <c r="K8" i="9"/>
  <c r="E18" i="8" s="1"/>
  <c r="J8" i="9"/>
  <c r="H8" i="9"/>
  <c r="G8" i="9"/>
  <c r="F8" i="9"/>
  <c r="E8" i="9"/>
  <c r="G7" i="9"/>
  <c r="A7" i="9"/>
  <c r="G6" i="9"/>
  <c r="A6" i="9"/>
  <c r="D30" i="7"/>
  <c r="C30" i="7"/>
  <c r="B30" i="7"/>
  <c r="A30" i="7"/>
  <c r="D29" i="7"/>
  <c r="C29" i="7"/>
  <c r="B29" i="7"/>
  <c r="A29" i="7"/>
  <c r="A28" i="7"/>
  <c r="C27" i="7"/>
  <c r="B27" i="7"/>
  <c r="A27" i="7"/>
  <c r="C26" i="7"/>
  <c r="B26" i="7"/>
  <c r="A26" i="7"/>
  <c r="C25" i="7"/>
  <c r="B25" i="7"/>
  <c r="A25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AE15" i="7"/>
  <c r="A15" i="7"/>
  <c r="A11" i="7"/>
  <c r="A1" i="7"/>
  <c r="D32" i="6"/>
  <c r="C32" i="6"/>
  <c r="B32" i="6"/>
  <c r="A32" i="6"/>
  <c r="D31" i="6"/>
  <c r="C31" i="6"/>
  <c r="B31" i="6"/>
  <c r="A31" i="6"/>
  <c r="A30" i="6"/>
  <c r="C29" i="6"/>
  <c r="B29" i="6"/>
  <c r="A29" i="6"/>
  <c r="C28" i="6"/>
  <c r="B28" i="6"/>
  <c r="A28" i="6"/>
  <c r="C27" i="6"/>
  <c r="B27" i="6"/>
  <c r="A27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AE17" i="6"/>
  <c r="A17" i="6"/>
  <c r="A10" i="6"/>
  <c r="H182" i="5"/>
  <c r="H179" i="5"/>
  <c r="C182" i="5"/>
  <c r="C179" i="5"/>
  <c r="H167" i="5"/>
  <c r="G167" i="5"/>
  <c r="E167" i="5"/>
  <c r="E166" i="5"/>
  <c r="E165" i="5"/>
  <c r="I164" i="5"/>
  <c r="H164" i="5"/>
  <c r="G164" i="5"/>
  <c r="F164" i="5"/>
  <c r="I163" i="5"/>
  <c r="H163" i="5"/>
  <c r="G163" i="5"/>
  <c r="F163" i="5"/>
  <c r="I162" i="5"/>
  <c r="H162" i="5"/>
  <c r="G162" i="5"/>
  <c r="F162" i="5"/>
  <c r="I161" i="5"/>
  <c r="H161" i="5"/>
  <c r="G161" i="5"/>
  <c r="F161" i="5"/>
  <c r="E160" i="5"/>
  <c r="D160" i="5"/>
  <c r="C160" i="5"/>
  <c r="B160" i="5"/>
  <c r="A160" i="5"/>
  <c r="H158" i="5"/>
  <c r="G158" i="5"/>
  <c r="E158" i="5"/>
  <c r="E157" i="5"/>
  <c r="E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I152" i="5"/>
  <c r="H152" i="5"/>
  <c r="G152" i="5"/>
  <c r="F152" i="5"/>
  <c r="E151" i="5"/>
  <c r="D151" i="5"/>
  <c r="C151" i="5"/>
  <c r="B151" i="5"/>
  <c r="A151" i="5"/>
  <c r="A150" i="5"/>
  <c r="H144" i="5"/>
  <c r="G144" i="5"/>
  <c r="E144" i="5"/>
  <c r="E143" i="5"/>
  <c r="E142" i="5"/>
  <c r="E141" i="5"/>
  <c r="I140" i="5"/>
  <c r="H140" i="5"/>
  <c r="G140" i="5"/>
  <c r="F140" i="5"/>
  <c r="I139" i="5"/>
  <c r="H139" i="5"/>
  <c r="G139" i="5"/>
  <c r="F139" i="5"/>
  <c r="I138" i="5"/>
  <c r="H138" i="5"/>
  <c r="G138" i="5"/>
  <c r="F138" i="5"/>
  <c r="I137" i="5"/>
  <c r="H137" i="5"/>
  <c r="G137" i="5"/>
  <c r="F137" i="5"/>
  <c r="D135" i="5"/>
  <c r="C135" i="5"/>
  <c r="B135" i="5"/>
  <c r="A135" i="5"/>
  <c r="H133" i="5"/>
  <c r="G133" i="5"/>
  <c r="E133" i="5"/>
  <c r="E132" i="5"/>
  <c r="E131" i="5"/>
  <c r="E130" i="5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D124" i="5"/>
  <c r="C124" i="5"/>
  <c r="B124" i="5"/>
  <c r="A124" i="5"/>
  <c r="H122" i="5"/>
  <c r="G122" i="5"/>
  <c r="E122" i="5"/>
  <c r="E121" i="5"/>
  <c r="E120" i="5"/>
  <c r="E119" i="5"/>
  <c r="I118" i="5"/>
  <c r="H118" i="5"/>
  <c r="G118" i="5"/>
  <c r="F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D114" i="5"/>
  <c r="C114" i="5"/>
  <c r="B114" i="5"/>
  <c r="A114" i="5"/>
  <c r="A113" i="5"/>
  <c r="H107" i="5"/>
  <c r="G107" i="5"/>
  <c r="E107" i="5"/>
  <c r="E106" i="5"/>
  <c r="E105" i="5"/>
  <c r="E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D98" i="5"/>
  <c r="C98" i="5"/>
  <c r="B98" i="5"/>
  <c r="A98" i="5"/>
  <c r="H96" i="5"/>
  <c r="G96" i="5"/>
  <c r="E96" i="5"/>
  <c r="E95" i="5"/>
  <c r="E94" i="5"/>
  <c r="E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D87" i="5"/>
  <c r="C87" i="5"/>
  <c r="B87" i="5"/>
  <c r="A87" i="5"/>
  <c r="H85" i="5"/>
  <c r="G85" i="5"/>
  <c r="E85" i="5"/>
  <c r="E84" i="5"/>
  <c r="E83" i="5"/>
  <c r="E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D77" i="5"/>
  <c r="C77" i="5"/>
  <c r="B77" i="5"/>
  <c r="A77" i="5"/>
  <c r="H75" i="5"/>
  <c r="G75" i="5"/>
  <c r="E75" i="5"/>
  <c r="E74" i="5"/>
  <c r="E73" i="5"/>
  <c r="E72" i="5"/>
  <c r="I71" i="5"/>
  <c r="H71" i="5"/>
  <c r="F71" i="5"/>
  <c r="D71" i="5"/>
  <c r="C71" i="5"/>
  <c r="B71" i="5"/>
  <c r="A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D65" i="5"/>
  <c r="C65" i="5"/>
  <c r="B65" i="5"/>
  <c r="A65" i="5"/>
  <c r="H63" i="5"/>
  <c r="G63" i="5"/>
  <c r="E63" i="5"/>
  <c r="E62" i="5"/>
  <c r="E61" i="5"/>
  <c r="E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D54" i="5"/>
  <c r="C54" i="5"/>
  <c r="A54" i="5"/>
  <c r="H52" i="5"/>
  <c r="G52" i="5"/>
  <c r="E52" i="5"/>
  <c r="E51" i="5"/>
  <c r="E50" i="5"/>
  <c r="E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D43" i="5"/>
  <c r="C43" i="5"/>
  <c r="B43" i="5"/>
  <c r="A43" i="5"/>
  <c r="H41" i="5"/>
  <c r="G41" i="5"/>
  <c r="E41" i="5"/>
  <c r="E40" i="5"/>
  <c r="E39" i="5"/>
  <c r="E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D32" i="5"/>
  <c r="C32" i="5"/>
  <c r="B32" i="5"/>
  <c r="A32" i="5"/>
  <c r="A31" i="5"/>
  <c r="A14" i="5"/>
  <c r="A9" i="5"/>
  <c r="B5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1" i="3"/>
  <c r="CY1" i="3"/>
  <c r="CZ1" i="3"/>
  <c r="DB1" i="3" s="1"/>
  <c r="DA1" i="3"/>
  <c r="DC1" i="3"/>
  <c r="A2" i="3"/>
  <c r="CY2" i="3"/>
  <c r="CZ2" i="3"/>
  <c r="DB2" i="3" s="1"/>
  <c r="DA2" i="3"/>
  <c r="DC2" i="3"/>
  <c r="A3" i="3"/>
  <c r="CY3" i="3"/>
  <c r="CZ3" i="3"/>
  <c r="DA3" i="3"/>
  <c r="DB3" i="3"/>
  <c r="DC3" i="3"/>
  <c r="A4" i="3"/>
  <c r="CY4" i="3"/>
  <c r="CZ4" i="3"/>
  <c r="DB4" i="3" s="1"/>
  <c r="DA4" i="3"/>
  <c r="DC4" i="3"/>
  <c r="A5" i="3"/>
  <c r="CY5" i="3"/>
  <c r="CZ5" i="3"/>
  <c r="DB5" i="3" s="1"/>
  <c r="L8" i="9" s="1"/>
  <c r="DA5" i="3"/>
  <c r="DC5" i="3"/>
  <c r="Q8" i="9" s="1"/>
  <c r="A6" i="3"/>
  <c r="CY6" i="3"/>
  <c r="CZ6" i="3"/>
  <c r="DB6" i="3" s="1"/>
  <c r="DA6" i="3"/>
  <c r="DC6" i="3"/>
  <c r="A7" i="3"/>
  <c r="CY7" i="3"/>
  <c r="CZ7" i="3"/>
  <c r="DA7" i="3"/>
  <c r="DB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X18" i="3"/>
  <c r="CY18" i="3"/>
  <c r="CZ18" i="3"/>
  <c r="DB18" i="3" s="1"/>
  <c r="DA18" i="3"/>
  <c r="DC18" i="3"/>
  <c r="A19" i="3"/>
  <c r="CY19" i="3"/>
  <c r="CZ19" i="3"/>
  <c r="DA19" i="3"/>
  <c r="DB19" i="3"/>
  <c r="DC19" i="3"/>
  <c r="A20" i="3"/>
  <c r="CY20" i="3"/>
  <c r="CZ20" i="3"/>
  <c r="DB20" i="3" s="1"/>
  <c r="L15" i="9" s="1"/>
  <c r="M15" i="9" s="1"/>
  <c r="F11" i="8" s="1"/>
  <c r="DA20" i="3"/>
  <c r="DC20" i="3"/>
  <c r="Q15" i="9" s="1"/>
  <c r="A21" i="3"/>
  <c r="CY21" i="3"/>
  <c r="CZ21" i="3"/>
  <c r="DB21" i="3" s="1"/>
  <c r="L14" i="9" s="1"/>
  <c r="DA21" i="3"/>
  <c r="DC21" i="3"/>
  <c r="Q14" i="9" s="1"/>
  <c r="A22" i="3"/>
  <c r="CY22" i="3"/>
  <c r="CZ22" i="3"/>
  <c r="DB22" i="3" s="1"/>
  <c r="L13" i="9" s="1"/>
  <c r="DA22" i="3"/>
  <c r="DC22" i="3"/>
  <c r="Q13" i="9" s="1"/>
  <c r="A23" i="3"/>
  <c r="CY23" i="3"/>
  <c r="CZ23" i="3"/>
  <c r="DA23" i="3"/>
  <c r="DB23" i="3"/>
  <c r="L12" i="9" s="1"/>
  <c r="DC23" i="3"/>
  <c r="Q12" i="9" s="1"/>
  <c r="A24" i="3"/>
  <c r="CY24" i="3"/>
  <c r="CZ24" i="3"/>
  <c r="DB24" i="3" s="1"/>
  <c r="L11" i="9" s="1"/>
  <c r="DA24" i="3"/>
  <c r="DC24" i="3"/>
  <c r="Q11" i="9" s="1"/>
  <c r="A25" i="3"/>
  <c r="CY25" i="3"/>
  <c r="CZ25" i="3"/>
  <c r="DB25" i="3" s="1"/>
  <c r="L10" i="9" s="1"/>
  <c r="DA25" i="3"/>
  <c r="DC25" i="3"/>
  <c r="Q10" i="9" s="1"/>
  <c r="T10" i="9" s="1"/>
  <c r="A26" i="3"/>
  <c r="CX26" i="3"/>
  <c r="CY26" i="3"/>
  <c r="CZ26" i="3"/>
  <c r="DA26" i="3"/>
  <c r="DB26" i="3"/>
  <c r="DC26" i="3"/>
  <c r="A27" i="3"/>
  <c r="CY27" i="3"/>
  <c r="CZ27" i="3"/>
  <c r="DA27" i="3"/>
  <c r="DB27" i="3"/>
  <c r="L9" i="9" s="1"/>
  <c r="DC27" i="3"/>
  <c r="Q9" i="9" s="1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DC30" i="3"/>
  <c r="A31" i="3"/>
  <c r="CY31" i="3"/>
  <c r="CZ31" i="3"/>
  <c r="DB31" i="3" s="1"/>
  <c r="DA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B34" i="3" s="1"/>
  <c r="L17" i="9" s="1"/>
  <c r="DA34" i="3"/>
  <c r="DC34" i="3"/>
  <c r="Q17" i="9" s="1"/>
  <c r="A35" i="3"/>
  <c r="CY35" i="3"/>
  <c r="CZ35" i="3"/>
  <c r="DA35" i="3"/>
  <c r="DB35" i="3"/>
  <c r="L16" i="9" s="1"/>
  <c r="DC35" i="3"/>
  <c r="Q16" i="9" s="1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A38" i="3"/>
  <c r="DB38" i="3"/>
  <c r="L19" i="9" s="1"/>
  <c r="M19" i="9" s="1"/>
  <c r="DC38" i="3"/>
  <c r="Q19" i="9" s="1"/>
  <c r="A39" i="3"/>
  <c r="CY39" i="3"/>
  <c r="CZ39" i="3"/>
  <c r="DB39" i="3" s="1"/>
  <c r="L18" i="9" s="1"/>
  <c r="DA39" i="3"/>
  <c r="DC39" i="3"/>
  <c r="Q18" i="9" s="1"/>
  <c r="T18" i="9" s="1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A46" i="3"/>
  <c r="DB46" i="3"/>
  <c r="L22" i="9" s="1"/>
  <c r="DC46" i="3"/>
  <c r="Q22" i="9" s="1"/>
  <c r="A47" i="3"/>
  <c r="CY47" i="3"/>
  <c r="CZ47" i="3"/>
  <c r="DB47" i="3" s="1"/>
  <c r="L21" i="9" s="1"/>
  <c r="DA47" i="3"/>
  <c r="DC47" i="3"/>
  <c r="Q21" i="9" s="1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B50" i="3" s="1"/>
  <c r="L24" i="9" s="1"/>
  <c r="DA50" i="3"/>
  <c r="DC50" i="3"/>
  <c r="Q24" i="9" s="1"/>
  <c r="A51" i="3"/>
  <c r="CY51" i="3"/>
  <c r="CZ51" i="3"/>
  <c r="DB51" i="3" s="1"/>
  <c r="L23" i="9" s="1"/>
  <c r="DA51" i="3"/>
  <c r="DC51" i="3"/>
  <c r="Q23" i="9" s="1"/>
  <c r="A52" i="3"/>
  <c r="CX52" i="3"/>
  <c r="CY52" i="3"/>
  <c r="CZ52" i="3"/>
  <c r="DB52" i="3" s="1"/>
  <c r="DA52" i="3"/>
  <c r="DC52" i="3"/>
  <c r="A53" i="3"/>
  <c r="CX53" i="3"/>
  <c r="CY53" i="3"/>
  <c r="CZ53" i="3"/>
  <c r="DB53" i="3" s="1"/>
  <c r="DA53" i="3"/>
  <c r="DC53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P28" i="1" s="1"/>
  <c r="J37" i="5" s="1"/>
  <c r="AC28" i="1"/>
  <c r="AD28" i="1"/>
  <c r="AE28" i="1"/>
  <c r="AF28" i="1"/>
  <c r="AG28" i="1"/>
  <c r="AH28" i="1"/>
  <c r="CV28" i="1" s="1"/>
  <c r="U28" i="1" s="1"/>
  <c r="K41" i="5" s="1"/>
  <c r="AI28" i="1"/>
  <c r="AJ28" i="1"/>
  <c r="CX28" i="1" s="1"/>
  <c r="W28" i="1" s="1"/>
  <c r="CQ28" i="1"/>
  <c r="CR28" i="1"/>
  <c r="Q28" i="1" s="1"/>
  <c r="J35" i="5" s="1"/>
  <c r="CS28" i="1"/>
  <c r="CT28" i="1"/>
  <c r="S28" i="1" s="1"/>
  <c r="J34" i="5" s="1"/>
  <c r="CU28" i="1"/>
  <c r="CW28" i="1"/>
  <c r="V28" i="1" s="1"/>
  <c r="FR28" i="1"/>
  <c r="GL28" i="1"/>
  <c r="GN28" i="1"/>
  <c r="GO28" i="1"/>
  <c r="GV28" i="1"/>
  <c r="HC28" i="1" s="1"/>
  <c r="GX28" i="1" s="1"/>
  <c r="C29" i="1"/>
  <c r="D29" i="1"/>
  <c r="I29" i="1"/>
  <c r="AC29" i="1"/>
  <c r="AD29" i="1"/>
  <c r="AE29" i="1"/>
  <c r="AF29" i="1"/>
  <c r="AG29" i="1"/>
  <c r="CU29" i="1" s="1"/>
  <c r="AH29" i="1"/>
  <c r="CV29" i="1" s="1"/>
  <c r="AI29" i="1"/>
  <c r="AJ29" i="1"/>
  <c r="CX29" i="1" s="1"/>
  <c r="W29" i="1" s="1"/>
  <c r="CS29" i="1"/>
  <c r="CW29" i="1"/>
  <c r="V29" i="1" s="1"/>
  <c r="FR29" i="1"/>
  <c r="GL29" i="1"/>
  <c r="GN29" i="1"/>
  <c r="GO29" i="1"/>
  <c r="GV29" i="1"/>
  <c r="HC29" i="1" s="1"/>
  <c r="GX29" i="1" s="1"/>
  <c r="C30" i="1"/>
  <c r="D30" i="1"/>
  <c r="I30" i="1"/>
  <c r="CX14" i="3" s="1"/>
  <c r="AC30" i="1"/>
  <c r="AD30" i="1"/>
  <c r="AE30" i="1"/>
  <c r="AF30" i="1"/>
  <c r="AG30" i="1"/>
  <c r="AH30" i="1"/>
  <c r="CV30" i="1" s="1"/>
  <c r="U30" i="1" s="1"/>
  <c r="K63" i="5" s="1"/>
  <c r="AI30" i="1"/>
  <c r="AJ30" i="1"/>
  <c r="CX30" i="1" s="1"/>
  <c r="W30" i="1" s="1"/>
  <c r="CQ30" i="1"/>
  <c r="CR30" i="1"/>
  <c r="Q30" i="1" s="1"/>
  <c r="J57" i="5" s="1"/>
  <c r="CS30" i="1"/>
  <c r="CT30" i="1"/>
  <c r="S30" i="1" s="1"/>
  <c r="J56" i="5" s="1"/>
  <c r="CU30" i="1"/>
  <c r="CW30" i="1"/>
  <c r="V30" i="1" s="1"/>
  <c r="FR30" i="1"/>
  <c r="GL30" i="1"/>
  <c r="GN30" i="1"/>
  <c r="GO30" i="1"/>
  <c r="GV30" i="1"/>
  <c r="HC30" i="1"/>
  <c r="GX30" i="1" s="1"/>
  <c r="C31" i="1"/>
  <c r="D31" i="1"/>
  <c r="I31" i="1"/>
  <c r="AC31" i="1"/>
  <c r="AE31" i="1"/>
  <c r="U65" i="5" s="1"/>
  <c r="AF31" i="1"/>
  <c r="AG31" i="1"/>
  <c r="CU31" i="1" s="1"/>
  <c r="T31" i="1" s="1"/>
  <c r="AH31" i="1"/>
  <c r="CV31" i="1" s="1"/>
  <c r="U31" i="1" s="1"/>
  <c r="K75" i="5" s="1"/>
  <c r="AI31" i="1"/>
  <c r="CW31" i="1" s="1"/>
  <c r="V31" i="1" s="1"/>
  <c r="AJ31" i="1"/>
  <c r="CT31" i="1"/>
  <c r="S31" i="1" s="1"/>
  <c r="J67" i="5" s="1"/>
  <c r="CX31" i="1"/>
  <c r="W31" i="1" s="1"/>
  <c r="FR31" i="1"/>
  <c r="GL31" i="1"/>
  <c r="GN31" i="1"/>
  <c r="GO31" i="1"/>
  <c r="GV31" i="1"/>
  <c r="HC31" i="1"/>
  <c r="GX31" i="1" s="1"/>
  <c r="I32" i="1"/>
  <c r="AC32" i="1"/>
  <c r="AE32" i="1"/>
  <c r="AF32" i="1"/>
  <c r="AG32" i="1"/>
  <c r="CU32" i="1" s="1"/>
  <c r="AH32" i="1"/>
  <c r="AI32" i="1"/>
  <c r="CW32" i="1" s="1"/>
  <c r="V32" i="1" s="1"/>
  <c r="AJ32" i="1"/>
  <c r="CX32" i="1" s="1"/>
  <c r="CQ32" i="1"/>
  <c r="CS32" i="1"/>
  <c r="CV32" i="1"/>
  <c r="U32" i="1" s="1"/>
  <c r="FR32" i="1"/>
  <c r="GL32" i="1"/>
  <c r="GN32" i="1"/>
  <c r="GO32" i="1"/>
  <c r="GV32" i="1"/>
  <c r="HC32" i="1" s="1"/>
  <c r="GX32" i="1" s="1"/>
  <c r="C33" i="1"/>
  <c r="D33" i="1"/>
  <c r="I33" i="1"/>
  <c r="AC33" i="1"/>
  <c r="CQ33" i="1" s="1"/>
  <c r="P33" i="1" s="1"/>
  <c r="J81" i="5" s="1"/>
  <c r="AE33" i="1"/>
  <c r="AF33" i="1"/>
  <c r="AG33" i="1"/>
  <c r="AH33" i="1"/>
  <c r="AI33" i="1"/>
  <c r="CW33" i="1" s="1"/>
  <c r="AJ33" i="1"/>
  <c r="CX33" i="1" s="1"/>
  <c r="W33" i="1" s="1"/>
  <c r="CS33" i="1"/>
  <c r="CU33" i="1"/>
  <c r="CV33" i="1"/>
  <c r="U33" i="1" s="1"/>
  <c r="K85" i="5" s="1"/>
  <c r="FR33" i="1"/>
  <c r="GL33" i="1"/>
  <c r="GN33" i="1"/>
  <c r="GO33" i="1"/>
  <c r="GV33" i="1"/>
  <c r="HC33" i="1" s="1"/>
  <c r="C34" i="1"/>
  <c r="D34" i="1"/>
  <c r="I34" i="1"/>
  <c r="AC34" i="1"/>
  <c r="CQ34" i="1" s="1"/>
  <c r="AE34" i="1"/>
  <c r="AF34" i="1"/>
  <c r="AG34" i="1"/>
  <c r="AH34" i="1"/>
  <c r="CV34" i="1" s="1"/>
  <c r="U34" i="1" s="1"/>
  <c r="K96" i="5" s="1"/>
  <c r="AI34" i="1"/>
  <c r="AJ34" i="1"/>
  <c r="CX34" i="1" s="1"/>
  <c r="CR34" i="1"/>
  <c r="CS34" i="1"/>
  <c r="CU34" i="1"/>
  <c r="CW34" i="1"/>
  <c r="FR34" i="1"/>
  <c r="GL34" i="1"/>
  <c r="GN34" i="1"/>
  <c r="GO34" i="1"/>
  <c r="GV34" i="1"/>
  <c r="HC34" i="1" s="1"/>
  <c r="GX34" i="1"/>
  <c r="C35" i="1"/>
  <c r="D35" i="1"/>
  <c r="I35" i="1"/>
  <c r="AC35" i="1"/>
  <c r="AE35" i="1"/>
  <c r="AF35" i="1"/>
  <c r="AG35" i="1"/>
  <c r="CU35" i="1" s="1"/>
  <c r="T35" i="1" s="1"/>
  <c r="AH35" i="1"/>
  <c r="AI35" i="1"/>
  <c r="CW35" i="1" s="1"/>
  <c r="V35" i="1" s="1"/>
  <c r="AJ35" i="1"/>
  <c r="CX35" i="1" s="1"/>
  <c r="W35" i="1" s="1"/>
  <c r="CQ35" i="1"/>
  <c r="P35" i="1" s="1"/>
  <c r="J103" i="5" s="1"/>
  <c r="CV35" i="1"/>
  <c r="U35" i="1" s="1"/>
  <c r="K107" i="5" s="1"/>
  <c r="FR35" i="1"/>
  <c r="GL35" i="1"/>
  <c r="GN35" i="1"/>
  <c r="GO35" i="1"/>
  <c r="GV35" i="1"/>
  <c r="HC35" i="1" s="1"/>
  <c r="GX35" i="1" s="1"/>
  <c r="B37" i="1"/>
  <c r="B26" i="1" s="1"/>
  <c r="C37" i="1"/>
  <c r="C26" i="1" s="1"/>
  <c r="D37" i="1"/>
  <c r="D26" i="1" s="1"/>
  <c r="F37" i="1"/>
  <c r="F26" i="1" s="1"/>
  <c r="G37" i="1"/>
  <c r="BX37" i="1"/>
  <c r="BX26" i="1" s="1"/>
  <c r="BZ37" i="1"/>
  <c r="CK37" i="1"/>
  <c r="CK26" i="1" s="1"/>
  <c r="CL37" i="1"/>
  <c r="CL26" i="1" s="1"/>
  <c r="CM37" i="1"/>
  <c r="BD37" i="1" s="1"/>
  <c r="D67" i="1"/>
  <c r="E69" i="1"/>
  <c r="Z69" i="1"/>
  <c r="AA69" i="1"/>
  <c r="AM69" i="1"/>
  <c r="AN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C71" i="1"/>
  <c r="D71" i="1"/>
  <c r="I71" i="1"/>
  <c r="AC71" i="1"/>
  <c r="AD71" i="1"/>
  <c r="AE71" i="1"/>
  <c r="AF71" i="1"/>
  <c r="AG71" i="1"/>
  <c r="CU71" i="1" s="1"/>
  <c r="T71" i="1" s="1"/>
  <c r="AH71" i="1"/>
  <c r="CV71" i="1" s="1"/>
  <c r="U71" i="1" s="1"/>
  <c r="K122" i="5" s="1"/>
  <c r="AI71" i="1"/>
  <c r="CW71" i="1" s="1"/>
  <c r="AJ71" i="1"/>
  <c r="CQ71" i="1"/>
  <c r="P71" i="1" s="1"/>
  <c r="J118" i="5" s="1"/>
  <c r="CR71" i="1"/>
  <c r="Q71" i="1" s="1"/>
  <c r="J116" i="5" s="1"/>
  <c r="CT71" i="1"/>
  <c r="S71" i="1" s="1"/>
  <c r="CX71" i="1"/>
  <c r="W71" i="1" s="1"/>
  <c r="FR71" i="1"/>
  <c r="GL71" i="1"/>
  <c r="BZ75" i="1" s="1"/>
  <c r="AQ75" i="1" s="1"/>
  <c r="GN71" i="1"/>
  <c r="CB75" i="1" s="1"/>
  <c r="CB69" i="1" s="1"/>
  <c r="GO71" i="1"/>
  <c r="GV71" i="1"/>
  <c r="HC71" i="1"/>
  <c r="GX71" i="1" s="1"/>
  <c r="C72" i="1"/>
  <c r="D72" i="1"/>
  <c r="I72" i="1"/>
  <c r="CX46" i="3" s="1"/>
  <c r="U72" i="1"/>
  <c r="K133" i="5" s="1"/>
  <c r="AC72" i="1"/>
  <c r="AE72" i="1"/>
  <c r="AF72" i="1"/>
  <c r="CT72" i="1" s="1"/>
  <c r="S72" i="1" s="1"/>
  <c r="J126" i="5" s="1"/>
  <c r="AG72" i="1"/>
  <c r="CU72" i="1" s="1"/>
  <c r="T72" i="1" s="1"/>
  <c r="AH72" i="1"/>
  <c r="AI72" i="1"/>
  <c r="CW72" i="1" s="1"/>
  <c r="V72" i="1" s="1"/>
  <c r="AJ72" i="1"/>
  <c r="CR72" i="1"/>
  <c r="Q72" i="1" s="1"/>
  <c r="J127" i="5" s="1"/>
  <c r="CV72" i="1"/>
  <c r="CX72" i="1"/>
  <c r="W72" i="1" s="1"/>
  <c r="FR72" i="1"/>
  <c r="GL72" i="1"/>
  <c r="GN72" i="1"/>
  <c r="GO72" i="1"/>
  <c r="GV72" i="1"/>
  <c r="HC72" i="1" s="1"/>
  <c r="GX72" i="1" s="1"/>
  <c r="C73" i="1"/>
  <c r="D73" i="1"/>
  <c r="I73" i="1"/>
  <c r="AC73" i="1"/>
  <c r="AE73" i="1"/>
  <c r="AF73" i="1"/>
  <c r="AG73" i="1"/>
  <c r="AH73" i="1"/>
  <c r="AI73" i="1"/>
  <c r="CW73" i="1" s="1"/>
  <c r="V73" i="1" s="1"/>
  <c r="AJ73" i="1"/>
  <c r="CX73" i="1" s="1"/>
  <c r="W73" i="1" s="1"/>
  <c r="CQ73" i="1"/>
  <c r="P73" i="1" s="1"/>
  <c r="CU73" i="1"/>
  <c r="T73" i="1" s="1"/>
  <c r="CV73" i="1"/>
  <c r="U73" i="1" s="1"/>
  <c r="K144" i="5" s="1"/>
  <c r="FR73" i="1"/>
  <c r="BY75" i="1" s="1"/>
  <c r="GL73" i="1"/>
  <c r="GN73" i="1"/>
  <c r="GO73" i="1"/>
  <c r="GV73" i="1"/>
  <c r="HC73" i="1" s="1"/>
  <c r="GX73" i="1" s="1"/>
  <c r="B75" i="1"/>
  <c r="B69" i="1" s="1"/>
  <c r="C75" i="1"/>
  <c r="C69" i="1" s="1"/>
  <c r="D75" i="1"/>
  <c r="D69" i="1" s="1"/>
  <c r="F75" i="1"/>
  <c r="F69" i="1" s="1"/>
  <c r="G75" i="1"/>
  <c r="BX75" i="1"/>
  <c r="AO75" i="1" s="1"/>
  <c r="CK75" i="1"/>
  <c r="CK69" i="1" s="1"/>
  <c r="CL75" i="1"/>
  <c r="CL69" i="1" s="1"/>
  <c r="CM75" i="1"/>
  <c r="BD75" i="1" s="1"/>
  <c r="F100" i="1" s="1"/>
  <c r="D105" i="1"/>
  <c r="B107" i="1"/>
  <c r="E107" i="1"/>
  <c r="Z107" i="1"/>
  <c r="AA107" i="1"/>
  <c r="AM107" i="1"/>
  <c r="AN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CK107" i="1"/>
  <c r="CL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C109" i="1"/>
  <c r="D109" i="1"/>
  <c r="AC109" i="1"/>
  <c r="AE109" i="1"/>
  <c r="CR109" i="1" s="1"/>
  <c r="Q109" i="1" s="1"/>
  <c r="J153" i="5" s="1"/>
  <c r="AF109" i="1"/>
  <c r="AG109" i="1"/>
  <c r="AH109" i="1"/>
  <c r="AI109" i="1"/>
  <c r="CW109" i="1" s="1"/>
  <c r="V109" i="1" s="1"/>
  <c r="AJ109" i="1"/>
  <c r="CX109" i="1" s="1"/>
  <c r="W109" i="1" s="1"/>
  <c r="CU109" i="1"/>
  <c r="T109" i="1" s="1"/>
  <c r="AG112" i="1" s="1"/>
  <c r="CV109" i="1"/>
  <c r="U109" i="1" s="1"/>
  <c r="K158" i="5" s="1"/>
  <c r="FR109" i="1"/>
  <c r="GL109" i="1"/>
  <c r="GN109" i="1"/>
  <c r="GO109" i="1"/>
  <c r="GV109" i="1"/>
  <c r="HC109" i="1" s="1"/>
  <c r="GX109" i="1"/>
  <c r="C110" i="1"/>
  <c r="D110" i="1"/>
  <c r="AC110" i="1"/>
  <c r="CQ110" i="1" s="1"/>
  <c r="P110" i="1" s="1"/>
  <c r="J164" i="5" s="1"/>
  <c r="AE110" i="1"/>
  <c r="CR110" i="1" s="1"/>
  <c r="Q110" i="1" s="1"/>
  <c r="AF110" i="1"/>
  <c r="AG110" i="1"/>
  <c r="CU110" i="1" s="1"/>
  <c r="T110" i="1" s="1"/>
  <c r="AH110" i="1"/>
  <c r="AI110" i="1"/>
  <c r="AJ110" i="1"/>
  <c r="CX110" i="1" s="1"/>
  <c r="W110" i="1" s="1"/>
  <c r="CV110" i="1"/>
  <c r="U110" i="1" s="1"/>
  <c r="CW110" i="1"/>
  <c r="V110" i="1" s="1"/>
  <c r="AI112" i="1" s="1"/>
  <c r="FR110" i="1"/>
  <c r="GL110" i="1"/>
  <c r="GN110" i="1"/>
  <c r="GO110" i="1"/>
  <c r="GV110" i="1"/>
  <c r="HC110" i="1"/>
  <c r="GX110" i="1" s="1"/>
  <c r="B112" i="1"/>
  <c r="C112" i="1"/>
  <c r="C107" i="1" s="1"/>
  <c r="D112" i="1"/>
  <c r="D107" i="1" s="1"/>
  <c r="F112" i="1"/>
  <c r="F107" i="1" s="1"/>
  <c r="G112" i="1"/>
  <c r="BX112" i="1"/>
  <c r="BX107" i="1" s="1"/>
  <c r="BY112" i="1"/>
  <c r="AP112" i="1" s="1"/>
  <c r="CC112" i="1"/>
  <c r="CC107" i="1" s="1"/>
  <c r="CK112" i="1"/>
  <c r="BB112" i="1" s="1"/>
  <c r="CL112" i="1"/>
  <c r="BC112" i="1" s="1"/>
  <c r="F128" i="1" s="1"/>
  <c r="CM112" i="1"/>
  <c r="BD112" i="1" s="1"/>
  <c r="B142" i="1"/>
  <c r="B22" i="1" s="1"/>
  <c r="C142" i="1"/>
  <c r="C22" i="1" s="1"/>
  <c r="D142" i="1"/>
  <c r="D22" i="1" s="1"/>
  <c r="F142" i="1"/>
  <c r="F22" i="1" s="1"/>
  <c r="G142" i="1"/>
  <c r="A173" i="5" s="1"/>
  <c r="B172" i="1"/>
  <c r="B18" i="1" s="1"/>
  <c r="C172" i="1"/>
  <c r="C18" i="1" s="1"/>
  <c r="D172" i="1"/>
  <c r="D18" i="1" s="1"/>
  <c r="F172" i="1"/>
  <c r="F18" i="1" s="1"/>
  <c r="G172" i="1"/>
  <c r="O24" i="9" l="1"/>
  <c r="M24" i="9"/>
  <c r="AD112" i="1"/>
  <c r="Q112" i="1" s="1"/>
  <c r="J162" i="5"/>
  <c r="I168" i="5" s="1"/>
  <c r="AJ112" i="1"/>
  <c r="M13" i="9"/>
  <c r="F13" i="8" s="1"/>
  <c r="O13" i="9"/>
  <c r="G13" i="8" s="1"/>
  <c r="CZ71" i="1"/>
  <c r="Y71" i="1" s="1"/>
  <c r="T114" i="5" s="1"/>
  <c r="J120" i="5" s="1"/>
  <c r="J115" i="5"/>
  <c r="CB112" i="1"/>
  <c r="S135" i="5"/>
  <c r="Q135" i="5"/>
  <c r="CJ112" i="1"/>
  <c r="CX40" i="3"/>
  <c r="D27" i="6"/>
  <c r="CX43" i="3"/>
  <c r="E114" i="5"/>
  <c r="D25" i="7"/>
  <c r="G18" i="1"/>
  <c r="A3" i="8"/>
  <c r="G107" i="1"/>
  <c r="A29" i="8" s="1"/>
  <c r="A170" i="5"/>
  <c r="J140" i="5"/>
  <c r="CX48" i="3"/>
  <c r="D29" i="6"/>
  <c r="E135" i="5"/>
  <c r="CX51" i="3"/>
  <c r="C136" i="5"/>
  <c r="I24" i="9"/>
  <c r="D27" i="7"/>
  <c r="I23" i="9"/>
  <c r="D27" i="8" s="1"/>
  <c r="CC75" i="1"/>
  <c r="V71" i="1"/>
  <c r="AI75" i="1" s="1"/>
  <c r="V75" i="1" s="1"/>
  <c r="CS71" i="1"/>
  <c r="U114" i="5"/>
  <c r="CM69" i="1"/>
  <c r="CG37" i="1"/>
  <c r="CT34" i="1"/>
  <c r="S34" i="1" s="1"/>
  <c r="J89" i="5" s="1"/>
  <c r="S87" i="5"/>
  <c r="Q87" i="5"/>
  <c r="I16" i="9"/>
  <c r="D19" i="8" s="1"/>
  <c r="D24" i="6"/>
  <c r="E87" i="5"/>
  <c r="I17" i="9"/>
  <c r="D22" i="7"/>
  <c r="C88" i="5"/>
  <c r="CT33" i="1"/>
  <c r="S33" i="1" s="1"/>
  <c r="S77" i="5"/>
  <c r="Q77" i="5"/>
  <c r="CX31" i="3"/>
  <c r="E77" i="5"/>
  <c r="D23" i="6"/>
  <c r="D21" i="7"/>
  <c r="R32" i="1"/>
  <c r="GK32" i="1" s="1"/>
  <c r="V71" i="5"/>
  <c r="AD32" i="1"/>
  <c r="AB32" i="1" s="1"/>
  <c r="U71" i="5"/>
  <c r="Q54" i="5"/>
  <c r="S54" i="5"/>
  <c r="S43" i="5"/>
  <c r="Q43" i="5"/>
  <c r="CX4" i="3"/>
  <c r="I8" i="9"/>
  <c r="D18" i="8" s="1"/>
  <c r="C44" i="5"/>
  <c r="D19" i="6"/>
  <c r="CX3" i="3"/>
  <c r="D17" i="7"/>
  <c r="E43" i="5"/>
  <c r="S32" i="5"/>
  <c r="Q32" i="5"/>
  <c r="T23" i="9"/>
  <c r="R23" i="9"/>
  <c r="O21" i="9"/>
  <c r="G26" i="8" s="1"/>
  <c r="M21" i="9"/>
  <c r="F26" i="8" s="1"/>
  <c r="O22" i="9"/>
  <c r="G25" i="8" s="1"/>
  <c r="O18" i="9"/>
  <c r="G20" i="8" s="1"/>
  <c r="M18" i="9"/>
  <c r="F20" i="8" s="1"/>
  <c r="O16" i="9"/>
  <c r="G19" i="8" s="1"/>
  <c r="M16" i="9"/>
  <c r="F19" i="8" s="1"/>
  <c r="O10" i="9"/>
  <c r="G17" i="8" s="1"/>
  <c r="M10" i="9"/>
  <c r="F17" i="8" s="1"/>
  <c r="R12" i="9"/>
  <c r="T12" i="9"/>
  <c r="CX10" i="3"/>
  <c r="CT35" i="1"/>
  <c r="S35" i="1" s="1"/>
  <c r="S98" i="5"/>
  <c r="Q98" i="5"/>
  <c r="CX39" i="3"/>
  <c r="C99" i="5"/>
  <c r="I19" i="9"/>
  <c r="D16" i="8" s="1"/>
  <c r="D25" i="6"/>
  <c r="I18" i="9"/>
  <c r="D20" i="8" s="1"/>
  <c r="D23" i="7"/>
  <c r="E98" i="5"/>
  <c r="R34" i="1"/>
  <c r="V87" i="5"/>
  <c r="J95" i="5" s="1"/>
  <c r="AD34" i="1"/>
  <c r="AB34" i="1" s="1"/>
  <c r="U87" i="5"/>
  <c r="T33" i="1"/>
  <c r="V33" i="1"/>
  <c r="AD33" i="1"/>
  <c r="AB33" i="1" s="1"/>
  <c r="U77" i="5"/>
  <c r="CR32" i="1"/>
  <c r="Q32" i="1" s="1"/>
  <c r="CS31" i="1"/>
  <c r="AD31" i="1"/>
  <c r="R30" i="1"/>
  <c r="V54" i="5"/>
  <c r="J62" i="5" s="1"/>
  <c r="U54" i="5"/>
  <c r="P30" i="1"/>
  <c r="CT29" i="1"/>
  <c r="S29" i="1" s="1"/>
  <c r="J45" i="5" s="1"/>
  <c r="U43" i="5"/>
  <c r="R28" i="1"/>
  <c r="V32" i="5"/>
  <c r="J40" i="5" s="1"/>
  <c r="U32" i="5"/>
  <c r="T24" i="9"/>
  <c r="R24" i="9"/>
  <c r="T17" i="9"/>
  <c r="R17" i="9"/>
  <c r="T9" i="9"/>
  <c r="R9" i="9"/>
  <c r="M11" i="9"/>
  <c r="F15" i="8" s="1"/>
  <c r="O12" i="9"/>
  <c r="G14" i="8" s="1"/>
  <c r="M12" i="9"/>
  <c r="F14" i="8" s="1"/>
  <c r="T14" i="9"/>
  <c r="T8" i="9"/>
  <c r="R8" i="9"/>
  <c r="AQ37" i="1"/>
  <c r="F47" i="1" s="1"/>
  <c r="AD35" i="1"/>
  <c r="U98" i="5"/>
  <c r="V34" i="1"/>
  <c r="Q34" i="1"/>
  <c r="J90" i="5" s="1"/>
  <c r="V77" i="5"/>
  <c r="J84" i="5" s="1"/>
  <c r="CR31" i="1"/>
  <c r="Q31" i="1" s="1"/>
  <c r="J68" i="5" s="1"/>
  <c r="AB31" i="1"/>
  <c r="CX8" i="3"/>
  <c r="D20" i="6"/>
  <c r="E54" i="5"/>
  <c r="C55" i="5"/>
  <c r="CX7" i="3"/>
  <c r="CX11" i="3"/>
  <c r="CX15" i="3"/>
  <c r="D18" i="7"/>
  <c r="R29" i="1"/>
  <c r="V43" i="5"/>
  <c r="J51" i="5" s="1"/>
  <c r="U29" i="1"/>
  <c r="K52" i="5" s="1"/>
  <c r="CX1" i="3"/>
  <c r="D18" i="6"/>
  <c r="E32" i="5"/>
  <c r="D16" i="7"/>
  <c r="C33" i="5"/>
  <c r="O23" i="9"/>
  <c r="G27" i="8" s="1"/>
  <c r="M23" i="9"/>
  <c r="F27" i="8" s="1"/>
  <c r="CX50" i="3"/>
  <c r="R21" i="9"/>
  <c r="CX42" i="3"/>
  <c r="O9" i="9"/>
  <c r="G21" i="8" s="1"/>
  <c r="M9" i="9"/>
  <c r="F21" i="8" s="1"/>
  <c r="T13" i="9"/>
  <c r="R13" i="9"/>
  <c r="T15" i="9"/>
  <c r="R15" i="9"/>
  <c r="CX2" i="3"/>
  <c r="S160" i="5"/>
  <c r="Q160" i="5"/>
  <c r="Q151" i="5"/>
  <c r="S151" i="5"/>
  <c r="AJ75" i="1"/>
  <c r="BX69" i="1"/>
  <c r="AH112" i="1"/>
  <c r="AH107" i="1" s="1"/>
  <c r="K167" i="5"/>
  <c r="AD110" i="1"/>
  <c r="U160" i="5"/>
  <c r="CS109" i="1"/>
  <c r="U151" i="5"/>
  <c r="CT73" i="1"/>
  <c r="S73" i="1" s="1"/>
  <c r="CS73" i="1"/>
  <c r="U135" i="5"/>
  <c r="S124" i="5"/>
  <c r="Q124" i="5"/>
  <c r="CT110" i="1"/>
  <c r="S110" i="1" s="1"/>
  <c r="J161" i="5" s="1"/>
  <c r="CT109" i="1"/>
  <c r="S109" i="1" s="1"/>
  <c r="J152" i="5" s="1"/>
  <c r="AD109" i="1"/>
  <c r="AB109" i="1" s="1"/>
  <c r="G69" i="1"/>
  <c r="A23" i="8" s="1"/>
  <c r="A147" i="5"/>
  <c r="AF147" i="5"/>
  <c r="CR73" i="1"/>
  <c r="Q73" i="1" s="1"/>
  <c r="J138" i="5" s="1"/>
  <c r="AD73" i="1"/>
  <c r="CS72" i="1"/>
  <c r="U124" i="5"/>
  <c r="CX44" i="3"/>
  <c r="I21" i="9"/>
  <c r="D26" i="8" s="1"/>
  <c r="D28" i="6"/>
  <c r="C125" i="5"/>
  <c r="CX47" i="3"/>
  <c r="I22" i="9"/>
  <c r="D26" i="7"/>
  <c r="E124" i="5"/>
  <c r="Q114" i="5"/>
  <c r="S114" i="5"/>
  <c r="A110" i="5"/>
  <c r="G26" i="1"/>
  <c r="A9" i="8" s="1"/>
  <c r="AF110" i="5"/>
  <c r="CS35" i="1"/>
  <c r="GX33" i="1"/>
  <c r="R33" i="1"/>
  <c r="CT32" i="1"/>
  <c r="S32" i="1" s="1"/>
  <c r="S71" i="5"/>
  <c r="Q71" i="5"/>
  <c r="D22" i="6"/>
  <c r="E71" i="5"/>
  <c r="D20" i="7"/>
  <c r="S65" i="5"/>
  <c r="Q65" i="5"/>
  <c r="CX20" i="3"/>
  <c r="I14" i="9"/>
  <c r="D12" i="8" s="1"/>
  <c r="I13" i="9"/>
  <c r="D13" i="8" s="1"/>
  <c r="I11" i="9"/>
  <c r="D15" i="8" s="1"/>
  <c r="D21" i="6"/>
  <c r="I12" i="9"/>
  <c r="D14" i="8" s="1"/>
  <c r="E65" i="5"/>
  <c r="CX19" i="3"/>
  <c r="CX23" i="3"/>
  <c r="CX27" i="3"/>
  <c r="I15" i="9"/>
  <c r="D11" i="8" s="1"/>
  <c r="I10" i="9"/>
  <c r="D17" i="8" s="1"/>
  <c r="I9" i="9"/>
  <c r="D21" i="8" s="1"/>
  <c r="D19" i="7"/>
  <c r="C66" i="5"/>
  <c r="T30" i="1"/>
  <c r="CR29" i="1"/>
  <c r="Q29" i="1" s="1"/>
  <c r="J46" i="5" s="1"/>
  <c r="T29" i="1"/>
  <c r="AB29" i="1"/>
  <c r="G22" i="1"/>
  <c r="A8" i="8" s="1"/>
  <c r="T22" i="9"/>
  <c r="R22" i="9"/>
  <c r="T19" i="9"/>
  <c r="R19" i="9"/>
  <c r="T16" i="9"/>
  <c r="R16" i="9"/>
  <c r="O17" i="9"/>
  <c r="M17" i="9"/>
  <c r="F16" i="8" s="1"/>
  <c r="T11" i="9"/>
  <c r="R11" i="9"/>
  <c r="CX22" i="3"/>
  <c r="O14" i="9"/>
  <c r="G12" i="8" s="1"/>
  <c r="M14" i="9"/>
  <c r="F12" i="8" s="1"/>
  <c r="CX6" i="3"/>
  <c r="O8" i="9"/>
  <c r="G18" i="8" s="1"/>
  <c r="M8" i="9"/>
  <c r="F18" i="8" s="1"/>
  <c r="T28" i="1"/>
  <c r="G28" i="8"/>
  <c r="O11" i="9"/>
  <c r="G15" i="8" s="1"/>
  <c r="O15" i="9"/>
  <c r="G11" i="8" s="1"/>
  <c r="O19" i="9"/>
  <c r="G16" i="8" s="1"/>
  <c r="T21" i="9"/>
  <c r="R10" i="9"/>
  <c r="R14" i="9"/>
  <c r="R18" i="9"/>
  <c r="M22" i="9"/>
  <c r="F25" i="8" s="1"/>
  <c r="I42" i="5"/>
  <c r="AI107" i="1"/>
  <c r="V112" i="1"/>
  <c r="AJ107" i="1"/>
  <c r="W112" i="1"/>
  <c r="AO69" i="1"/>
  <c r="F79" i="1"/>
  <c r="W75" i="1"/>
  <c r="AJ69" i="1"/>
  <c r="BD26" i="1"/>
  <c r="BD142" i="1"/>
  <c r="F62" i="1"/>
  <c r="F125" i="1"/>
  <c r="BB107" i="1"/>
  <c r="CY72" i="1"/>
  <c r="X72" i="1" s="1"/>
  <c r="R124" i="5" s="1"/>
  <c r="J130" i="5" s="1"/>
  <c r="CZ72" i="1"/>
  <c r="Y72" i="1" s="1"/>
  <c r="AF75" i="1"/>
  <c r="CC69" i="1"/>
  <c r="AT75" i="1"/>
  <c r="CZ31" i="1"/>
  <c r="Y31" i="1" s="1"/>
  <c r="T65" i="5" s="1"/>
  <c r="CY31" i="1"/>
  <c r="X31" i="1" s="1"/>
  <c r="R65" i="5" s="1"/>
  <c r="CZ30" i="1"/>
  <c r="Y30" i="1" s="1"/>
  <c r="CY30" i="1"/>
  <c r="X30" i="1" s="1"/>
  <c r="CY110" i="1"/>
  <c r="X110" i="1" s="1"/>
  <c r="R160" i="5" s="1"/>
  <c r="J165" i="5" s="1"/>
  <c r="CZ110" i="1"/>
  <c r="Y110" i="1" s="1"/>
  <c r="T160" i="5" s="1"/>
  <c r="J166" i="5" s="1"/>
  <c r="CZ109" i="1"/>
  <c r="Y109" i="1" s="1"/>
  <c r="T151" i="5" s="1"/>
  <c r="J157" i="5" s="1"/>
  <c r="F85" i="1"/>
  <c r="AQ69" i="1"/>
  <c r="BD107" i="1"/>
  <c r="F137" i="1"/>
  <c r="F121" i="1"/>
  <c r="AP107" i="1"/>
  <c r="U112" i="1"/>
  <c r="CJ107" i="1"/>
  <c r="BA112" i="1"/>
  <c r="T112" i="1"/>
  <c r="AG107" i="1"/>
  <c r="CP71" i="1"/>
  <c r="O71" i="1" s="1"/>
  <c r="CP110" i="1"/>
  <c r="O110" i="1" s="1"/>
  <c r="AG75" i="1"/>
  <c r="CJ75" i="1"/>
  <c r="AH75" i="1"/>
  <c r="CP28" i="1"/>
  <c r="O28" i="1" s="1"/>
  <c r="CB107" i="1"/>
  <c r="AS112" i="1"/>
  <c r="CZ28" i="1"/>
  <c r="Y28" i="1" s="1"/>
  <c r="T32" i="5" s="1"/>
  <c r="J39" i="5" s="1"/>
  <c r="CY28" i="1"/>
  <c r="X28" i="1" s="1"/>
  <c r="R32" i="5" s="1"/>
  <c r="J38" i="5" s="1"/>
  <c r="CG26" i="1"/>
  <c r="AX37" i="1"/>
  <c r="CX32" i="3"/>
  <c r="CX33" i="3"/>
  <c r="AT112" i="1"/>
  <c r="AO112" i="1"/>
  <c r="BB75" i="1"/>
  <c r="CS110" i="1"/>
  <c r="CG75" i="1"/>
  <c r="BC75" i="1"/>
  <c r="BZ69" i="1"/>
  <c r="CP35" i="1"/>
  <c r="O35" i="1" s="1"/>
  <c r="AB35" i="1"/>
  <c r="CQ31" i="1"/>
  <c r="P31" i="1" s="1"/>
  <c r="CQ29" i="1"/>
  <c r="P29" i="1" s="1"/>
  <c r="CM26" i="1"/>
  <c r="BZ112" i="1"/>
  <c r="CG112" i="1" s="1"/>
  <c r="BY107" i="1"/>
  <c r="BC107" i="1"/>
  <c r="CY73" i="1"/>
  <c r="X73" i="1" s="1"/>
  <c r="CQ72" i="1"/>
  <c r="P72" i="1" s="1"/>
  <c r="AD72" i="1"/>
  <c r="AB72" i="1" s="1"/>
  <c r="CY71" i="1"/>
  <c r="X71" i="1" s="1"/>
  <c r="R114" i="5" s="1"/>
  <c r="J119" i="5" s="1"/>
  <c r="BC37" i="1"/>
  <c r="CR35" i="1"/>
  <c r="Q35" i="1" s="1"/>
  <c r="J101" i="5" s="1"/>
  <c r="T34" i="1"/>
  <c r="W34" i="1"/>
  <c r="CR33" i="1"/>
  <c r="Q33" i="1" s="1"/>
  <c r="BY37" i="1"/>
  <c r="T32" i="1"/>
  <c r="AG37" i="1" s="1"/>
  <c r="W32" i="1"/>
  <c r="CB37" i="1"/>
  <c r="AB30" i="1"/>
  <c r="CJ37" i="1"/>
  <c r="AB28" i="1"/>
  <c r="BZ26" i="1"/>
  <c r="CX35" i="3"/>
  <c r="BY69" i="1"/>
  <c r="CI75" i="1"/>
  <c r="CX36" i="3"/>
  <c r="CX37" i="3"/>
  <c r="CX28" i="3"/>
  <c r="CX29" i="3"/>
  <c r="AI37" i="1"/>
  <c r="AQ26" i="1"/>
  <c r="CQ109" i="1"/>
  <c r="P109" i="1" s="1"/>
  <c r="J155" i="5" s="1"/>
  <c r="CM107" i="1"/>
  <c r="AS75" i="1"/>
  <c r="AB110" i="1"/>
  <c r="AP75" i="1"/>
  <c r="AB73" i="1"/>
  <c r="AB71" i="1"/>
  <c r="P34" i="1"/>
  <c r="J92" i="5" s="1"/>
  <c r="CZ33" i="1"/>
  <c r="Y33" i="1" s="1"/>
  <c r="T77" i="5" s="1"/>
  <c r="J83" i="5" s="1"/>
  <c r="P32" i="1"/>
  <c r="CC37" i="1"/>
  <c r="CX38" i="3"/>
  <c r="CX34" i="3"/>
  <c r="CX30" i="3"/>
  <c r="AO37" i="1"/>
  <c r="CX49" i="3"/>
  <c r="CX45" i="3"/>
  <c r="CX41" i="3"/>
  <c r="CX25" i="3"/>
  <c r="CX21" i="3"/>
  <c r="CX17" i="3"/>
  <c r="CX13" i="3"/>
  <c r="CX9" i="3"/>
  <c r="CX5" i="3"/>
  <c r="BB37" i="1"/>
  <c r="CX24" i="3"/>
  <c r="CX16" i="3"/>
  <c r="CX12" i="3"/>
  <c r="E22" i="8" l="1"/>
  <c r="I123" i="5"/>
  <c r="K123" i="5" s="1"/>
  <c r="R71" i="1"/>
  <c r="V114" i="5"/>
  <c r="J121" i="5" s="1"/>
  <c r="CP73" i="1"/>
  <c r="O73" i="1" s="1"/>
  <c r="E28" i="8"/>
  <c r="R109" i="1"/>
  <c r="J154" i="5" s="1"/>
  <c r="V151" i="5"/>
  <c r="CY35" i="1"/>
  <c r="X35" i="1" s="1"/>
  <c r="R98" i="5" s="1"/>
  <c r="J104" i="5" s="1"/>
  <c r="J100" i="5"/>
  <c r="AD75" i="1"/>
  <c r="AF112" i="1"/>
  <c r="GP30" i="1"/>
  <c r="R54" i="5"/>
  <c r="J60" i="5" s="1"/>
  <c r="AI69" i="1"/>
  <c r="AD107" i="1"/>
  <c r="CY29" i="1"/>
  <c r="X29" i="1" s="1"/>
  <c r="R43" i="5" s="1"/>
  <c r="J49" i="5" s="1"/>
  <c r="R72" i="1"/>
  <c r="V124" i="5"/>
  <c r="J132" i="5" s="1"/>
  <c r="R73" i="1"/>
  <c r="V135" i="5"/>
  <c r="J143" i="5" s="1"/>
  <c r="J36" i="5"/>
  <c r="GK28" i="1"/>
  <c r="R31" i="1"/>
  <c r="V65" i="5"/>
  <c r="J74" i="5" s="1"/>
  <c r="J58" i="5"/>
  <c r="GK30" i="1"/>
  <c r="CP29" i="1"/>
  <c r="O29" i="1" s="1"/>
  <c r="GM29" i="1" s="1"/>
  <c r="J48" i="5"/>
  <c r="I53" i="5" s="1"/>
  <c r="R110" i="1"/>
  <c r="V160" i="5"/>
  <c r="GK33" i="1"/>
  <c r="J80" i="5"/>
  <c r="CP30" i="1"/>
  <c r="O30" i="1" s="1"/>
  <c r="GM30" i="1" s="1"/>
  <c r="J59" i="5"/>
  <c r="CZ35" i="1"/>
  <c r="Y35" i="1" s="1"/>
  <c r="T98" i="5" s="1"/>
  <c r="J105" i="5" s="1"/>
  <c r="AD37" i="1"/>
  <c r="J79" i="5"/>
  <c r="CP72" i="1"/>
  <c r="O72" i="1" s="1"/>
  <c r="AB75" i="1" s="1"/>
  <c r="J129" i="5"/>
  <c r="CP31" i="1"/>
  <c r="O31" i="1" s="1"/>
  <c r="J70" i="5"/>
  <c r="CP32" i="1"/>
  <c r="O32" i="1" s="1"/>
  <c r="J71" i="5" s="1"/>
  <c r="AJ37" i="1"/>
  <c r="AJ26" i="1" s="1"/>
  <c r="R135" i="5"/>
  <c r="J141" i="5" s="1"/>
  <c r="AH37" i="1"/>
  <c r="U37" i="1" s="1"/>
  <c r="CY109" i="1"/>
  <c r="X109" i="1" s="1"/>
  <c r="T54" i="5"/>
  <c r="J61" i="5" s="1"/>
  <c r="AL75" i="1"/>
  <c r="T124" i="5"/>
  <c r="J131" i="5" s="1"/>
  <c r="CZ29" i="1"/>
  <c r="Y29" i="1" s="1"/>
  <c r="T43" i="5" s="1"/>
  <c r="J50" i="5" s="1"/>
  <c r="V98" i="5"/>
  <c r="J106" i="5" s="1"/>
  <c r="R35" i="1"/>
  <c r="D25" i="8"/>
  <c r="CZ73" i="1"/>
  <c r="Y73" i="1" s="1"/>
  <c r="T135" i="5" s="1"/>
  <c r="J142" i="5" s="1"/>
  <c r="J137" i="5"/>
  <c r="GK29" i="1"/>
  <c r="J47" i="5"/>
  <c r="GK34" i="1"/>
  <c r="J91" i="5"/>
  <c r="CY33" i="1"/>
  <c r="X33" i="1" s="1"/>
  <c r="R77" i="5" s="1"/>
  <c r="J82" i="5" s="1"/>
  <c r="J78" i="5"/>
  <c r="I86" i="5" s="1"/>
  <c r="P86" i="5" s="1"/>
  <c r="G22" i="8"/>
  <c r="K42" i="5"/>
  <c r="P42" i="5"/>
  <c r="K168" i="5"/>
  <c r="P168" i="5"/>
  <c r="Q37" i="1"/>
  <c r="AD26" i="1"/>
  <c r="AG26" i="1"/>
  <c r="T37" i="1"/>
  <c r="AL69" i="1"/>
  <c r="Y75" i="1"/>
  <c r="CJ26" i="1"/>
  <c r="BA37" i="1"/>
  <c r="CY34" i="1"/>
  <c r="X34" i="1" s="1"/>
  <c r="R87" i="5" s="1"/>
  <c r="J93" i="5" s="1"/>
  <c r="I97" i="5" s="1"/>
  <c r="CZ34" i="1"/>
  <c r="Y34" i="1" s="1"/>
  <c r="T87" i="5" s="1"/>
  <c r="J94" i="5" s="1"/>
  <c r="AQ112" i="1"/>
  <c r="BZ107" i="1"/>
  <c r="CI112" i="1"/>
  <c r="F129" i="1"/>
  <c r="AS107" i="1"/>
  <c r="V69" i="1"/>
  <c r="F98" i="1"/>
  <c r="AO26" i="1"/>
  <c r="F41" i="1"/>
  <c r="AO142" i="1"/>
  <c r="AZ75" i="1"/>
  <c r="CI69" i="1"/>
  <c r="CY32" i="1"/>
  <c r="X32" i="1" s="1"/>
  <c r="R71" i="5" s="1"/>
  <c r="J72" i="5" s="1"/>
  <c r="CZ32" i="1"/>
  <c r="Y32" i="1" s="1"/>
  <c r="GP29" i="1"/>
  <c r="BC69" i="1"/>
  <c r="F91" i="1"/>
  <c r="AH26" i="1"/>
  <c r="AG69" i="1"/>
  <c r="T75" i="1"/>
  <c r="F132" i="1"/>
  <c r="BA107" i="1"/>
  <c r="AF107" i="1"/>
  <c r="S112" i="1"/>
  <c r="S75" i="1"/>
  <c r="AF69" i="1"/>
  <c r="BD22" i="1"/>
  <c r="F167" i="1"/>
  <c r="BD172" i="1"/>
  <c r="F135" i="1"/>
  <c r="V107" i="1"/>
  <c r="AP69" i="1"/>
  <c r="F84" i="1"/>
  <c r="CB26" i="1"/>
  <c r="AS37" i="1"/>
  <c r="BY26" i="1"/>
  <c r="AP37" i="1"/>
  <c r="CI37" i="1"/>
  <c r="AT107" i="1"/>
  <c r="F130" i="1"/>
  <c r="GM28" i="1"/>
  <c r="GP28" i="1"/>
  <c r="T107" i="1"/>
  <c r="F133" i="1"/>
  <c r="W69" i="1"/>
  <c r="F99" i="1"/>
  <c r="AC37" i="1"/>
  <c r="AC75" i="1"/>
  <c r="CP34" i="1"/>
  <c r="O34" i="1" s="1"/>
  <c r="AK75" i="1"/>
  <c r="CP33" i="1"/>
  <c r="O33" i="1" s="1"/>
  <c r="AL112" i="1"/>
  <c r="AX112" i="1"/>
  <c r="CG107" i="1"/>
  <c r="CG69" i="1"/>
  <c r="AX75" i="1"/>
  <c r="BB69" i="1"/>
  <c r="F88" i="1"/>
  <c r="AH69" i="1"/>
  <c r="U75" i="1"/>
  <c r="GM110" i="1"/>
  <c r="GP110" i="1"/>
  <c r="CC26" i="1"/>
  <c r="AT37" i="1"/>
  <c r="AC112" i="1"/>
  <c r="CP109" i="1"/>
  <c r="O109" i="1" s="1"/>
  <c r="AD69" i="1"/>
  <c r="Q75" i="1"/>
  <c r="F50" i="1"/>
  <c r="BB142" i="1"/>
  <c r="BB26" i="1"/>
  <c r="AS69" i="1"/>
  <c r="F92" i="1"/>
  <c r="V37" i="1"/>
  <c r="AI26" i="1"/>
  <c r="F53" i="1"/>
  <c r="BC26" i="1"/>
  <c r="BC142" i="1"/>
  <c r="F116" i="1"/>
  <c r="AO107" i="1"/>
  <c r="F44" i="1"/>
  <c r="AX26" i="1"/>
  <c r="BA75" i="1"/>
  <c r="CJ69" i="1"/>
  <c r="U107" i="1"/>
  <c r="F134" i="1"/>
  <c r="AT69" i="1"/>
  <c r="F93" i="1"/>
  <c r="F124" i="1"/>
  <c r="Q107" i="1"/>
  <c r="F136" i="1"/>
  <c r="W107" i="1"/>
  <c r="AF37" i="1"/>
  <c r="K97" i="5" l="1"/>
  <c r="P97" i="5"/>
  <c r="K53" i="5"/>
  <c r="P53" i="5"/>
  <c r="AK112" i="1"/>
  <c r="R151" i="5"/>
  <c r="J156" i="5" s="1"/>
  <c r="I159" i="5" s="1"/>
  <c r="J128" i="5"/>
  <c r="GK72" i="1"/>
  <c r="GM72" i="1" s="1"/>
  <c r="GP32" i="1"/>
  <c r="I64" i="5"/>
  <c r="GP72" i="1"/>
  <c r="W37" i="1"/>
  <c r="K86" i="5"/>
  <c r="P123" i="5"/>
  <c r="I145" i="5"/>
  <c r="GK31" i="1"/>
  <c r="J69" i="5"/>
  <c r="AE37" i="1"/>
  <c r="J139" i="5"/>
  <c r="GK73" i="1"/>
  <c r="I134" i="5"/>
  <c r="I108" i="5"/>
  <c r="AX142" i="1"/>
  <c r="GK35" i="1"/>
  <c r="GP35" i="1" s="1"/>
  <c r="J102" i="5"/>
  <c r="GM73" i="1"/>
  <c r="AK37" i="1"/>
  <c r="AL37" i="1"/>
  <c r="T71" i="5"/>
  <c r="J73" i="5" s="1"/>
  <c r="I76" i="5" s="1"/>
  <c r="GM35" i="1"/>
  <c r="GP73" i="1"/>
  <c r="AE112" i="1"/>
  <c r="J163" i="5"/>
  <c r="J117" i="5"/>
  <c r="GK71" i="1"/>
  <c r="AE75" i="1"/>
  <c r="AX172" i="1"/>
  <c r="AX22" i="1"/>
  <c r="F149" i="1"/>
  <c r="Y37" i="1"/>
  <c r="AL26" i="1"/>
  <c r="GP34" i="1"/>
  <c r="GM34" i="1"/>
  <c r="F122" i="1"/>
  <c r="AQ107" i="1"/>
  <c r="AQ142" i="1"/>
  <c r="AF26" i="1"/>
  <c r="S37" i="1"/>
  <c r="Q69" i="1"/>
  <c r="F87" i="1"/>
  <c r="AS26" i="1"/>
  <c r="F54" i="1"/>
  <c r="AS142" i="1"/>
  <c r="BD18" i="1"/>
  <c r="F197" i="1"/>
  <c r="F90" i="1"/>
  <c r="S69" i="1"/>
  <c r="U26" i="1"/>
  <c r="F59" i="1"/>
  <c r="U142" i="1"/>
  <c r="AZ69" i="1"/>
  <c r="F86" i="1"/>
  <c r="AB69" i="1"/>
  <c r="O75" i="1"/>
  <c r="BA26" i="1"/>
  <c r="BA142" i="1"/>
  <c r="F57" i="1"/>
  <c r="F61" i="1"/>
  <c r="W142" i="1"/>
  <c r="W26" i="1"/>
  <c r="CH112" i="1"/>
  <c r="AC107" i="1"/>
  <c r="CF112" i="1"/>
  <c r="CE112" i="1"/>
  <c r="P112" i="1"/>
  <c r="AX107" i="1"/>
  <c r="F119" i="1"/>
  <c r="GP33" i="1"/>
  <c r="GM33" i="1"/>
  <c r="AK26" i="1"/>
  <c r="X37" i="1"/>
  <c r="CI107" i="1"/>
  <c r="AZ112" i="1"/>
  <c r="GM32" i="1"/>
  <c r="AB37" i="1"/>
  <c r="AC26" i="1"/>
  <c r="CF37" i="1"/>
  <c r="CE37" i="1"/>
  <c r="P37" i="1"/>
  <c r="CH37" i="1"/>
  <c r="CI26" i="1"/>
  <c r="AZ37" i="1"/>
  <c r="F127" i="1"/>
  <c r="S107" i="1"/>
  <c r="F96" i="1"/>
  <c r="T69" i="1"/>
  <c r="AO172" i="1"/>
  <c r="AO22" i="1"/>
  <c r="F146" i="1"/>
  <c r="Q26" i="1"/>
  <c r="Q142" i="1"/>
  <c r="F49" i="1"/>
  <c r="F55" i="1"/>
  <c r="AT142" i="1"/>
  <c r="AT26" i="1"/>
  <c r="U69" i="1"/>
  <c r="F97" i="1"/>
  <c r="AX69" i="1"/>
  <c r="F82" i="1"/>
  <c r="AK69" i="1"/>
  <c r="X75" i="1"/>
  <c r="BA69" i="1"/>
  <c r="F95" i="1"/>
  <c r="BC22" i="1"/>
  <c r="BC172" i="1"/>
  <c r="F158" i="1"/>
  <c r="F60" i="1"/>
  <c r="V142" i="1"/>
  <c r="V26" i="1"/>
  <c r="F155" i="1"/>
  <c r="BB172" i="1"/>
  <c r="BB22" i="1"/>
  <c r="GM109" i="1"/>
  <c r="CA112" i="1" s="1"/>
  <c r="GP109" i="1"/>
  <c r="CD112" i="1" s="1"/>
  <c r="AB112" i="1"/>
  <c r="Y112" i="1"/>
  <c r="AL107" i="1"/>
  <c r="AC69" i="1"/>
  <c r="P75" i="1"/>
  <c r="CE75" i="1"/>
  <c r="CH75" i="1"/>
  <c r="CF75" i="1"/>
  <c r="AP26" i="1"/>
  <c r="AP142" i="1"/>
  <c r="F46" i="1"/>
  <c r="Y69" i="1"/>
  <c r="F102" i="1"/>
  <c r="T26" i="1"/>
  <c r="F58" i="1"/>
  <c r="T142" i="1"/>
  <c r="K76" i="5" l="1"/>
  <c r="P76" i="5"/>
  <c r="AE26" i="1"/>
  <c r="R37" i="1"/>
  <c r="K159" i="5"/>
  <c r="P159" i="5"/>
  <c r="I170" i="5" s="1"/>
  <c r="AE69" i="1"/>
  <c r="R75" i="1"/>
  <c r="R112" i="1"/>
  <c r="AE107" i="1"/>
  <c r="GP31" i="1"/>
  <c r="CD37" i="1" s="1"/>
  <c r="GM31" i="1"/>
  <c r="AK107" i="1"/>
  <c r="X112" i="1"/>
  <c r="X142" i="1" s="1"/>
  <c r="K108" i="5"/>
  <c r="P108" i="5"/>
  <c r="CA37" i="1"/>
  <c r="AR37" i="1" s="1"/>
  <c r="K134" i="5"/>
  <c r="P134" i="5"/>
  <c r="I147" i="5" s="1"/>
  <c r="P64" i="5"/>
  <c r="K64" i="5"/>
  <c r="GP71" i="1"/>
  <c r="CD75" i="1" s="1"/>
  <c r="CD69" i="1" s="1"/>
  <c r="GM71" i="1"/>
  <c r="CA75" i="1" s="1"/>
  <c r="P145" i="5"/>
  <c r="K145" i="5"/>
  <c r="T22" i="1"/>
  <c r="F163" i="1"/>
  <c r="T172" i="1"/>
  <c r="F151" i="1"/>
  <c r="G16" i="2" s="1"/>
  <c r="G18" i="2" s="1"/>
  <c r="AP172" i="1"/>
  <c r="AP22" i="1"/>
  <c r="AV75" i="1"/>
  <c r="CE69" i="1"/>
  <c r="V172" i="1"/>
  <c r="F165" i="1"/>
  <c r="V22" i="1"/>
  <c r="AY37" i="1"/>
  <c r="CH26" i="1"/>
  <c r="AU37" i="1"/>
  <c r="CD26" i="1"/>
  <c r="CH69" i="1"/>
  <c r="AY75" i="1"/>
  <c r="X69" i="1"/>
  <c r="F101" i="1"/>
  <c r="CF26" i="1"/>
  <c r="AW37" i="1"/>
  <c r="X26" i="1"/>
  <c r="F63" i="1"/>
  <c r="CF107" i="1"/>
  <c r="AW112" i="1"/>
  <c r="AR75" i="1"/>
  <c r="CA69" i="1"/>
  <c r="AW75" i="1"/>
  <c r="CF69" i="1"/>
  <c r="AU112" i="1"/>
  <c r="CD107" i="1"/>
  <c r="AT172" i="1"/>
  <c r="F160" i="1"/>
  <c r="F16" i="2" s="1"/>
  <c r="F18" i="2" s="1"/>
  <c r="AT22" i="1"/>
  <c r="F48" i="1"/>
  <c r="AZ26" i="1"/>
  <c r="AZ142" i="1"/>
  <c r="AV37" i="1"/>
  <c r="CE26" i="1"/>
  <c r="AB26" i="1"/>
  <c r="O37" i="1"/>
  <c r="CE107" i="1"/>
  <c r="AV112" i="1"/>
  <c r="BA172" i="1"/>
  <c r="BA22" i="1"/>
  <c r="F162" i="1"/>
  <c r="Y107" i="1"/>
  <c r="F139" i="1"/>
  <c r="AU75" i="1"/>
  <c r="F77" i="1"/>
  <c r="O69" i="1"/>
  <c r="U22" i="1"/>
  <c r="F164" i="1"/>
  <c r="U172" i="1"/>
  <c r="AX18" i="1"/>
  <c r="F179" i="1"/>
  <c r="CA107" i="1"/>
  <c r="AR112" i="1"/>
  <c r="BC18" i="1"/>
  <c r="F188" i="1"/>
  <c r="W22" i="1"/>
  <c r="F166" i="1"/>
  <c r="W172" i="1"/>
  <c r="F159" i="1"/>
  <c r="E16" i="2" s="1"/>
  <c r="AS172" i="1"/>
  <c r="AS22" i="1"/>
  <c r="AQ22" i="1"/>
  <c r="F152" i="1"/>
  <c r="AQ172" i="1"/>
  <c r="P69" i="1"/>
  <c r="F78" i="1"/>
  <c r="AB107" i="1"/>
  <c r="O112" i="1"/>
  <c r="BB18" i="1"/>
  <c r="F185" i="1"/>
  <c r="F154" i="1"/>
  <c r="Q172" i="1"/>
  <c r="Q22" i="1"/>
  <c r="F176" i="1"/>
  <c r="AO18" i="1"/>
  <c r="F40" i="1"/>
  <c r="P26" i="1"/>
  <c r="P142" i="1"/>
  <c r="AZ107" i="1"/>
  <c r="F123" i="1"/>
  <c r="P107" i="1"/>
  <c r="F115" i="1"/>
  <c r="AY112" i="1"/>
  <c r="CH107" i="1"/>
  <c r="F52" i="1"/>
  <c r="S26" i="1"/>
  <c r="S142" i="1"/>
  <c r="Y26" i="1"/>
  <c r="F64" i="1"/>
  <c r="Y142" i="1"/>
  <c r="CA26" i="1" l="1"/>
  <c r="I173" i="5"/>
  <c r="R69" i="1"/>
  <c r="F89" i="1"/>
  <c r="R26" i="1"/>
  <c r="F51" i="1"/>
  <c r="R142" i="1"/>
  <c r="X107" i="1"/>
  <c r="F138" i="1"/>
  <c r="F126" i="1"/>
  <c r="R107" i="1"/>
  <c r="I110" i="5"/>
  <c r="F80" i="1"/>
  <c r="AV69" i="1"/>
  <c r="W18" i="1"/>
  <c r="F196" i="1"/>
  <c r="BA18" i="1"/>
  <c r="F192" i="1"/>
  <c r="AT18" i="1"/>
  <c r="F190" i="1"/>
  <c r="I20" i="5" s="1"/>
  <c r="AW69" i="1"/>
  <c r="F81" i="1"/>
  <c r="X22" i="1"/>
  <c r="X172" i="1"/>
  <c r="F168" i="1"/>
  <c r="AY26" i="1"/>
  <c r="F45" i="1"/>
  <c r="AY142" i="1"/>
  <c r="AR26" i="1"/>
  <c r="AR142" i="1"/>
  <c r="F65" i="1"/>
  <c r="F120" i="1"/>
  <c r="AY107" i="1"/>
  <c r="E18" i="2"/>
  <c r="AU69" i="1"/>
  <c r="F94" i="1"/>
  <c r="F39" i="1"/>
  <c r="O142" i="1"/>
  <c r="O26" i="1"/>
  <c r="AZ22" i="1"/>
  <c r="AZ172" i="1"/>
  <c r="F153" i="1"/>
  <c r="AW26" i="1"/>
  <c r="F43" i="1"/>
  <c r="AW142" i="1"/>
  <c r="F83" i="1"/>
  <c r="AY69" i="1"/>
  <c r="V18" i="1"/>
  <c r="F195" i="1"/>
  <c r="AP18" i="1"/>
  <c r="F181" i="1"/>
  <c r="I21" i="5" s="1"/>
  <c r="AR107" i="1"/>
  <c r="F140" i="1"/>
  <c r="U18" i="1"/>
  <c r="F194" i="1"/>
  <c r="AV107" i="1"/>
  <c r="F117" i="1"/>
  <c r="F193" i="1"/>
  <c r="T18" i="1"/>
  <c r="Y22" i="1"/>
  <c r="F169" i="1"/>
  <c r="Y172" i="1"/>
  <c r="P22" i="1"/>
  <c r="F145" i="1"/>
  <c r="P172" i="1"/>
  <c r="S22" i="1"/>
  <c r="S172" i="1"/>
  <c r="F157" i="1"/>
  <c r="J16" i="2" s="1"/>
  <c r="J18" i="2" s="1"/>
  <c r="Q18" i="1"/>
  <c r="F184" i="1"/>
  <c r="O107" i="1"/>
  <c r="F114" i="1"/>
  <c r="AQ18" i="1"/>
  <c r="F182" i="1"/>
  <c r="AS18" i="1"/>
  <c r="F189" i="1"/>
  <c r="I19" i="5" s="1"/>
  <c r="AV26" i="1"/>
  <c r="AV142" i="1"/>
  <c r="F42" i="1"/>
  <c r="AU107" i="1"/>
  <c r="F131" i="1"/>
  <c r="F103" i="1"/>
  <c r="AR69" i="1"/>
  <c r="AW107" i="1"/>
  <c r="F118" i="1"/>
  <c r="F56" i="1"/>
  <c r="AU142" i="1"/>
  <c r="AU26" i="1"/>
  <c r="R22" i="1" l="1"/>
  <c r="R172" i="1"/>
  <c r="F156" i="1"/>
  <c r="I175" i="5"/>
  <c r="I176" i="5" s="1"/>
  <c r="AU22" i="1"/>
  <c r="F161" i="1"/>
  <c r="H16" i="2" s="1"/>
  <c r="AU172" i="1"/>
  <c r="AV22" i="1"/>
  <c r="F147" i="1"/>
  <c r="AV172" i="1"/>
  <c r="F199" i="1"/>
  <c r="Y18" i="1"/>
  <c r="O22" i="1"/>
  <c r="F144" i="1"/>
  <c r="O172" i="1"/>
  <c r="S18" i="1"/>
  <c r="F187" i="1"/>
  <c r="AY22" i="1"/>
  <c r="F150" i="1"/>
  <c r="AY172" i="1"/>
  <c r="F198" i="1"/>
  <c r="X18" i="1"/>
  <c r="F175" i="1"/>
  <c r="P18" i="1"/>
  <c r="AW172" i="1"/>
  <c r="AW22" i="1"/>
  <c r="F148" i="1"/>
  <c r="F183" i="1"/>
  <c r="AZ18" i="1"/>
  <c r="AR22" i="1"/>
  <c r="AR172" i="1"/>
  <c r="F170" i="1"/>
  <c r="I23" i="5" l="1"/>
  <c r="R18" i="1"/>
  <c r="F186" i="1"/>
  <c r="F178" i="1"/>
  <c r="AW18" i="1"/>
  <c r="F177" i="1"/>
  <c r="AV18" i="1"/>
  <c r="F200" i="1"/>
  <c r="I18" i="5" s="1"/>
  <c r="AR18" i="1"/>
  <c r="O18" i="1"/>
  <c r="F174" i="1"/>
  <c r="AU18" i="1"/>
  <c r="F191" i="1"/>
  <c r="I22" i="5" s="1"/>
  <c r="H18" i="2"/>
  <c r="I16" i="2"/>
  <c r="I18" i="2" s="1"/>
  <c r="AY18" i="1"/>
  <c r="F180" i="1"/>
</calcChain>
</file>

<file path=xl/sharedStrings.xml><?xml version="1.0" encoding="utf-8"?>
<sst xmlns="http://schemas.openxmlformats.org/spreadsheetml/2006/main" count="2193" uniqueCount="297">
  <si>
    <t>Smeta.RU  (495) 974-1589</t>
  </si>
  <si>
    <t>_PS_</t>
  </si>
  <si>
    <t>Smeta.RU</t>
  </si>
  <si>
    <t/>
  </si>
  <si>
    <t>Новый объект</t>
  </si>
  <si>
    <t>Ремонт асфальта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</si>
  <si>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</si>
  <si>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</si>
  <si>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</si>
  <si>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</si>
  <si>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</si>
  <si>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</si>
  <si>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</si>
  <si>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</si>
  <si>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Головное здание по адресу г. Москва, ул. Авиаконструктора Миля, дом 5, корпус 1</t>
  </si>
  <si>
    <t>1</t>
  </si>
  <si>
    <t>2.1-3104-3-1/1</t>
  </si>
  <si>
    <t>Разборка асфальтобетонных покрытий тротуаров толщиной до 4 см</t>
  </si>
  <si>
    <t>1000 м2</t>
  </si>
  <si>
    <t>СН-2012-2021.2. Доп.1. Сб.1-3104-3-1/1</t>
  </si>
  <si>
    <t>СН-2012</t>
  </si>
  <si>
    <t>Подрядные работы, гл. 1-5,7</t>
  </si>
  <si>
    <t>работа</t>
  </si>
  <si>
    <t>2</t>
  </si>
  <si>
    <t>2.1-3103-18-1/1</t>
  </si>
  <si>
    <t>Устройство покрытий из асфальтобетонных смесей вручную, толщина 4 см</t>
  </si>
  <si>
    <t>100 м2</t>
  </si>
  <si>
    <t>СН-2012-2021.2. Доп.1. Сб.1-3103-18-1/1</t>
  </si>
  <si>
    <t>3</t>
  </si>
  <si>
    <t>5.3-3103-9-3/1</t>
  </si>
  <si>
    <t>Устройство бордюра из мелкоштучных камней, установленных на ребро, для клумб</t>
  </si>
  <si>
    <t>100 м</t>
  </si>
  <si>
    <t>СН-2012-2021.5. Доп.1. Сб.3-3103-9-3/1</t>
  </si>
  <si>
    <t>)*0</t>
  </si>
  <si>
    <t>)*0,2</t>
  </si>
  <si>
    <t>Поправка: СН-2012 О.П. п.22</t>
  </si>
  <si>
    <t>4</t>
  </si>
  <si>
    <t>4.1</t>
  </si>
  <si>
    <t>21.1-25-13</t>
  </si>
  <si>
    <t>Вода</t>
  </si>
  <si>
    <t>м3</t>
  </si>
  <si>
    <t>СН-2012-2021.21. Доп.1. Р.1, о.25, поз.13</t>
  </si>
  <si>
    <t>5</t>
  </si>
  <si>
    <t>2.1-3104-1-4/1</t>
  </si>
  <si>
    <t>Разборка покрытий и оснований асфальтобетонных</t>
  </si>
  <si>
    <t>100 м3</t>
  </si>
  <si>
    <t>СН-2012-2021.2. Доп.1. Сб.1-3104-1-4/1</t>
  </si>
  <si>
    <t>6</t>
  </si>
  <si>
    <t>2.1-3103-19-4/1</t>
  </si>
  <si>
    <t>Устройство асфальтобетонных покрытий дорожек и тротуаров двухслойных, верхний слой из песчаной асфальтобетонной смеси толщиной 3 см</t>
  </si>
  <si>
    <t>СН-2012-2021.2. Доп.1. Сб.1-3103-19-4/1</t>
  </si>
  <si>
    <t>7</t>
  </si>
  <si>
    <t>2.1-3103-19-3/2</t>
  </si>
  <si>
    <t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t>
  </si>
  <si>
    <t>СН-2012-2021.2. Доп.1. Сб.1-3103-19-3/2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</si>
  <si>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</si>
  <si>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</si>
  <si>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</si>
  <si>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</si>
  <si>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</si>
  <si>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</si>
  <si>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</si>
  <si>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</si>
  <si>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</si>
  <si>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</si>
  <si>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</si>
  <si>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</si>
  <si>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</si>
  <si>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</si>
  <si>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</si>
  <si>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</si>
  <si>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</si>
  <si>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</si>
  <si>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</si>
  <si>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</si>
  <si>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</si>
  <si>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</si>
  <si>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</si>
  <si>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</si>
  <si>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</si>
  <si>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</si>
  <si>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</si>
  <si>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</si>
  <si>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</si>
  <si>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</si>
  <si>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</si>
  <si>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</si>
  <si>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</si>
  <si>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</si>
  <si>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</si>
  <si>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</si>
  <si>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</si>
  <si>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</si>
  <si>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</si>
  <si>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</si>
  <si>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</si>
  <si>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</si>
  <si>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</si>
  <si>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</si>
  <si>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</si>
  <si>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</si>
  <si>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</si>
  <si>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</si>
  <si>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</si>
  <si>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</si>
  <si>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</si>
  <si>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</si>
  <si>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</si>
  <si>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</si>
  <si>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Филиал №4 по адресу г. Москва, Хвалынский бульвар, дом 10</t>
  </si>
  <si>
    <t>8</t>
  </si>
  <si>
    <t>9</t>
  </si>
  <si>
    <t>10</t>
  </si>
  <si>
    <t>Перевозка отходов асфальта</t>
  </si>
  <si>
    <t>11</t>
  </si>
  <si>
    <t>2.1-3105-1-1/1</t>
  </si>
  <si>
    <t>Перевозка отфрезерованного асфальтобетона автосамосвалами грузоподъемностью до 10 т на расстояние 1 км - при механизированной погрузке</t>
  </si>
  <si>
    <t>т</t>
  </si>
  <si>
    <t>СН-2012-2021.2. Доп.1. Сб.1-3105-1-1/1</t>
  </si>
  <si>
    <t>Подрядные работы, гл. 1 перевозка мусора</t>
  </si>
  <si>
    <t>12</t>
  </si>
  <si>
    <t>2.1-3105-1-2/1</t>
  </si>
  <si>
    <t>Перевозка отфрезерованного асфальтобетона автосамосвалами грузоподъемностью до 10 т - добавляется на каждый последующий 1 км до 100 км /ЮАО/</t>
  </si>
  <si>
    <t>СН-2012-2021.2. Доп.1. Сб.1-3105-1-2/1</t>
  </si>
  <si>
    <t>*51</t>
  </si>
  <si>
    <t>Уровень цен на 01.10.2020 г</t>
  </si>
  <si>
    <t>_OBSM_</t>
  </si>
  <si>
    <t>9999990008</t>
  </si>
  <si>
    <t>Трудозатраты рабочих</t>
  </si>
  <si>
    <t>чел.-ч.</t>
  </si>
  <si>
    <t>22.1-5-4</t>
  </si>
  <si>
    <t>СН-2012-2021.22. Доп.1. п.1-5-4 (050201)</t>
  </si>
  <si>
    <t>Катки дорожные самоходные статические, масса до 5 т</t>
  </si>
  <si>
    <t>маш.-ч</t>
  </si>
  <si>
    <t>22.1-5-5</t>
  </si>
  <si>
    <t>СН-2012-2021.22. Доп.1. п.1-5-5 (050202)</t>
  </si>
  <si>
    <t>Катки дорожные самоходные статические, масса до 10 т</t>
  </si>
  <si>
    <t>21.3-3-18</t>
  </si>
  <si>
    <t>СН-2012-2021.21. Доп.1. Р.3, о.3, поз.18</t>
  </si>
  <si>
    <t>Смеси асфальтобетонные дорожные горячие мелкозернистые, марка I, тип Б</t>
  </si>
  <si>
    <t>22.1-18-24</t>
  </si>
  <si>
    <t>СН-2012-2021.22. Доп.1. п.1-18-24 (183102)</t>
  </si>
  <si>
    <t>Автомобили полупассажирские типа ГАЗ, грузоподъемность до 2 т</t>
  </si>
  <si>
    <t>22.1-30-21</t>
  </si>
  <si>
    <t>СН-2012-2021.22. Доп.1. п.1-30-21 (305401)</t>
  </si>
  <si>
    <t>Машины для шлифовки камня электрические</t>
  </si>
  <si>
    <t>21.1-10-167</t>
  </si>
  <si>
    <t>СН-2012-2021.21. Доп.1. Р.1, о.10, поз.167</t>
  </si>
  <si>
    <t>Сталь листовая, оцинкованная, толщина 0,7-0,8 мм</t>
  </si>
  <si>
    <t>21.1-12-11</t>
  </si>
  <si>
    <t>СН-2012-2021.21. Доп.1. Р.1, о.12, поз.11</t>
  </si>
  <si>
    <t>Песок для строительных работ, рядовой</t>
  </si>
  <si>
    <t>21.1-12-29</t>
  </si>
  <si>
    <t>СН-2012-2021.21. Доп.1. Р.1, о.12, поз.29</t>
  </si>
  <si>
    <t>Щебень из естественного камня для строительных работ, марка 600-400, фракция 5-10 мм</t>
  </si>
  <si>
    <t>21.1-12-61</t>
  </si>
  <si>
    <t>СН-2012-2021.21. Доп.1. Р.1, о.12, поз.61</t>
  </si>
  <si>
    <t>Камень природный окатанный (галька речная), размер 50-350 мм</t>
  </si>
  <si>
    <t>21.1-12-62</t>
  </si>
  <si>
    <t>СН-2012-2021.21. Доп.1. Р.1, о.12, поз.62</t>
  </si>
  <si>
    <t>Брусчатка из гранита серого цвета, пилено-колотая из пиленого полуфабриката, размер 100х100х100 мм</t>
  </si>
  <si>
    <t>м2</t>
  </si>
  <si>
    <t>21.1-2-13</t>
  </si>
  <si>
    <t>СН-2012-2021.21. Доп.1. Р.1, о.2, поз.13</t>
  </si>
  <si>
    <t>Цемент общестроительный, портландцемент общего назначения, марка 400</t>
  </si>
  <si>
    <t>21.3-4-17</t>
  </si>
  <si>
    <t>СН-2012-2021.21. Доп.1. Р.3, о.4, поз.17</t>
  </si>
  <si>
    <t>Арматурные заготовки (стержни, хомуты и т.п.), не собранные в каркасы или сетки, арматурная сталь периодического профиля, класс А-III, диаметр 12-14 мм</t>
  </si>
  <si>
    <t>22.1-10-5</t>
  </si>
  <si>
    <t>СН-2012-2021.22. Доп.1. п.1-10-5 (101002)</t>
  </si>
  <si>
    <t>Компрессоры с дизельным двигателем прицепные до 5 м3/мин</t>
  </si>
  <si>
    <t>22.1-30-54</t>
  </si>
  <si>
    <t>СН-2012-2021.22. Доп.1. п.1-30-54 (308901)</t>
  </si>
  <si>
    <t>Молотки отбойные</t>
  </si>
  <si>
    <t>22.1-5-48</t>
  </si>
  <si>
    <t>СН-2012-2021.22. Доп.1. п.1-5-48 (056003)</t>
  </si>
  <si>
    <t>Автогрейдеры, мощность 99-147 кВт (130-200 л.с.)</t>
  </si>
  <si>
    <t>22.1-5-2</t>
  </si>
  <si>
    <t>СН-2012-2021.22. Доп.1. п.1-5-2 (050102)</t>
  </si>
  <si>
    <t>Катки самоходные вибрационные, масса до 8 т</t>
  </si>
  <si>
    <t>21.1-1-3</t>
  </si>
  <si>
    <t>СН-2012-2021.21. Доп.1. Р.1, о.1, поз.3</t>
  </si>
  <si>
    <t>Битумы нефтяные, дорожные жидкие, марка МГ, СГ</t>
  </si>
  <si>
    <t>21.3-3-34</t>
  </si>
  <si>
    <t>СН-2012-2021.21. Доп.1. Р.3, о.3, поз.34</t>
  </si>
  <si>
    <t>Смеси асфальтобетонные дорожные горячие песчаные, тип Д, марка III</t>
  </si>
  <si>
    <t>21.3-3-8</t>
  </si>
  <si>
    <t>СН-2012-2021.21. Доп.1. Р.3, о.3, поз.8</t>
  </si>
  <si>
    <t>Смеси асфальтобетонные дорожные горячие крупнозернистые, тип Б, марка II</t>
  </si>
  <si>
    <t>22.1-18-13</t>
  </si>
  <si>
    <t>СН-2012-2021.22. Доп.1. п.1-18-13 (184002)</t>
  </si>
  <si>
    <t>Автомобили-самосвалы, грузоподъемность до 10 т</t>
  </si>
  <si>
    <t>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</si>
  <si>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</si>
  <si>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</si>
  <si>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</si>
  <si>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</si>
  <si>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</si>
  <si>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</si>
  <si>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</si>
  <si>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</si>
  <si>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</si>
  <si>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</si>
  <si>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</si>
  <si>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</si>
  <si>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</si>
  <si>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</si>
  <si>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</si>
  <si>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</si>
  <si>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</si>
  <si>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</si>
  <si>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</si>
  <si>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</si>
  <si>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</si>
  <si>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</si>
  <si>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</si>
  <si>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</si>
  <si>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</si>
  <si>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</si>
  <si>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</si>
  <si>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</si>
  <si>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</si>
  <si>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</si>
  <si>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</si>
  <si>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</si>
  <si>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</si>
  <si>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</si>
  <si>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</si>
  <si>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</si>
  <si>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</si>
  <si>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r>
      <t>5.3-3103-9-3/1</t>
    </r>
    <r>
      <rPr>
        <i/>
        <sz val="10"/>
        <rFont val="Arial"/>
        <family val="2"/>
        <charset val="204"/>
      </rPr>
      <t xml:space="preserve">
Поправка: СН-2012 О.П. п.22</t>
    </r>
  </si>
  <si>
    <t xml:space="preserve">к нр </t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</si>
  <si>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</si>
  <si>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</si>
  <si>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</si>
  <si>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</si>
  <si>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</si>
  <si>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</si>
  <si>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</si>
  <si>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</si>
  <si>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</si>
  <si>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</si>
  <si>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</si>
  <si>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</si>
  <si>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</si>
  <si>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</si>
  <si>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</si>
  <si>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</si>
  <si>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</si>
  <si>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</si>
  <si>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</si>
  <si>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</si>
  <si>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</si>
  <si>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</si>
  <si>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</si>
  <si>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</si>
  <si>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</si>
  <si>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</si>
  <si>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</si>
  <si>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</si>
  <si>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</si>
  <si>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</si>
  <si>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</si>
  <si>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</si>
  <si>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</si>
  <si>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</si>
  <si>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</si>
  <si>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</si>
  <si>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</si>
  <si>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</si>
  <si>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</si>
  <si>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</si>
  <si>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</si>
  <si>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</si>
  <si>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</si>
  <si>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</si>
  <si>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</si>
  <si>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</si>
  <si>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</si>
  <si>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</si>
  <si>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</si>
  <si>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</si>
  <si>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</si>
  <si>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</si>
  <si>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</si>
  <si>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</si>
  <si>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>Текущая стоимость</t>
  </si>
  <si>
    <t>Раздел: Головное здание по адресу г. Москва, ул. Авиаконструктора Миля, дом 5, корпус 1</t>
  </si>
  <si>
    <t xml:space="preserve">Материальные ресурсы </t>
  </si>
  <si>
    <t xml:space="preserve">Итого материальные ресурсы </t>
  </si>
  <si>
    <t>НДС 20%</t>
  </si>
  <si>
    <t>Всего с НДС</t>
  </si>
  <si>
    <t>Комиссия:</t>
  </si>
  <si>
    <t>Необходимость выполнения объемов работ подтверждаю. Начальник отдела___________________________________</t>
  </si>
  <si>
    <t>Главный врач ГБУЗ "ДГП № 143 ДЗМ"</t>
  </si>
  <si>
    <t>Ю.И. Власова</t>
  </si>
  <si>
    <t>Главный врач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</si>
</sst>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#,##0.00####;[Red]\-\ #,##0.00####"/>
    <numFmt numFmtId="166" formatCode="#,##0.00;[Red]\-\ #,##0.00"/>
  </numFmts>
  <fonts count="20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0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wrapText="1"/>
    </xf>
    <xf numFmtId="164" fontId="8" fillId="0" borderId="0" xfId="0" applyNumberFormat="1" applyFont="1"/>
    <xf numFmtId="1" fontId="8" fillId="0" borderId="0" xfId="0" applyNumberFormat="1" applyFont="1"/>
    <xf numFmtId="0" fontId="1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right" wrapText="1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5" fillId="0" borderId="0" xfId="0" applyFont="1" applyAlignment="1">
      <alignment vertical="top" wrapText="1"/>
    </xf>
    <xf numFmtId="166" fontId="14" fillId="0" borderId="0" xfId="0" applyNumberFormat="1" applyFont="1" applyAlignment="1">
      <alignment horizontal="right"/>
    </xf>
    <xf numFmtId="166" fontId="0" fillId="0" borderId="0" xfId="0" applyNumberFormat="1"/>
    <xf numFmtId="0" fontId="17" fillId="0" borderId="0" xfId="0" applyFont="1" applyAlignment="1">
      <alignment horizontal="right"/>
    </xf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0" fontId="8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8" fillId="0" borderId="1" xfId="0" applyFont="1" applyBorder="1"/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/>
    </xf>
    <xf numFmtId="0" fontId="12" fillId="0" borderId="0" xfId="0" applyFont="1"/>
    <xf numFmtId="0" fontId="9" fillId="0" borderId="3" xfId="0" quotePrefix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top" wrapText="1"/>
    </xf>
    <xf numFmtId="166" fontId="8" fillId="0" borderId="3" xfId="0" applyNumberFormat="1" applyFont="1" applyBorder="1" applyAlignment="1">
      <alignment horizontal="right" wrapText="1"/>
    </xf>
    <xf numFmtId="0" fontId="17" fillId="0" borderId="3" xfId="0" applyFont="1" applyBorder="1" applyAlignment="1">
      <alignment horizontal="right"/>
    </xf>
    <xf numFmtId="0" fontId="13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0" xfId="0" applyAlignment="1"/>
    <xf numFmtId="166" fontId="8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66" fontId="17" fillId="0" borderId="6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2" fillId="0" borderId="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0" fontId="1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3"/>
  <sheetViews>
    <sheetView tabSelected="1" zoomScaleNormal="100" workbookViewId="0">
      <selection activeCell="AM27" sqref="AM27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ht="14.25" x14ac:dyDescent="0.2">
      <c r="A1" s="8"/>
      <c r="B1" s="8"/>
      <c r="C1" s="8"/>
      <c r="D1" s="8"/>
      <c r="E1" s="8"/>
      <c r="F1" s="8"/>
      <c r="G1" s="8"/>
      <c r="H1" s="8"/>
      <c r="I1" s="8"/>
      <c r="J1" s="58" t="s">
        <v>195</v>
      </c>
      <c r="K1" s="58"/>
    </row>
    <row r="2" spans="1:11" ht="16.5" x14ac:dyDescent="0.25">
      <c r="A2" s="10"/>
      <c r="B2" s="55" t="s">
        <v>193</v>
      </c>
      <c r="C2" s="55"/>
      <c r="D2" s="55"/>
      <c r="E2" s="55"/>
      <c r="F2" s="9"/>
      <c r="G2" s="55" t="s">
        <v>194</v>
      </c>
      <c r="H2" s="55"/>
      <c r="I2" s="55"/>
      <c r="J2" s="55"/>
      <c r="K2" s="55"/>
    </row>
    <row r="3" spans="1:11" ht="14.25" x14ac:dyDescent="0.2">
      <c r="A3" s="9"/>
      <c r="B3" s="56"/>
      <c r="C3" s="56"/>
      <c r="D3" s="56"/>
      <c r="E3" s="56"/>
      <c r="F3" s="9"/>
      <c r="G3" s="56" t="s">
        <v>296</v>
      </c>
      <c r="H3" s="56"/>
      <c r="I3" s="56"/>
      <c r="J3" s="56"/>
      <c r="K3" s="56"/>
    </row>
    <row r="4" spans="1:11" ht="14.25" x14ac:dyDescent="0.2">
      <c r="A4" s="11"/>
      <c r="B4" s="11"/>
      <c r="C4" s="12"/>
      <c r="D4" s="12"/>
      <c r="E4" s="12"/>
      <c r="F4" s="9"/>
      <c r="G4" s="13"/>
      <c r="H4" s="12"/>
      <c r="I4" s="12"/>
      <c r="J4" s="12"/>
      <c r="K4" s="13"/>
    </row>
    <row r="5" spans="1:11" ht="14.25" x14ac:dyDescent="0.2">
      <c r="A5" s="13"/>
      <c r="B5" s="56" t="str">
        <f>CONCATENATE("______________________ ", IF(Source!AL12&lt;&gt;"", Source!AL12, ""))</f>
        <v xml:space="preserve">______________________ </v>
      </c>
      <c r="C5" s="56"/>
      <c r="D5" s="56"/>
      <c r="E5" s="56"/>
      <c r="F5" s="9"/>
      <c r="G5" s="56" t="str">
        <f>CONCATENATE("______________________Ю.И. Власова ", IF(Source!AH12&lt;&gt;"", Source!AH12, ""))</f>
        <v xml:space="preserve">______________________Ю.И. Власова </v>
      </c>
      <c r="H5" s="56"/>
      <c r="I5" s="56"/>
      <c r="J5" s="56"/>
      <c r="K5" s="56"/>
    </row>
    <row r="6" spans="1:11" ht="14.25" x14ac:dyDescent="0.2">
      <c r="A6" s="14"/>
      <c r="B6" s="57" t="s">
        <v>196</v>
      </c>
      <c r="C6" s="57"/>
      <c r="D6" s="57"/>
      <c r="E6" s="57"/>
      <c r="F6" s="9"/>
      <c r="G6" s="57" t="s">
        <v>196</v>
      </c>
      <c r="H6" s="57"/>
      <c r="I6" s="57"/>
      <c r="J6" s="57"/>
      <c r="K6" s="57"/>
    </row>
    <row r="8" spans="1:11" ht="14.2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.75" x14ac:dyDescent="0.25">
      <c r="A9" s="59" t="str">
        <f>CONCATENATE( "ЛОКАЛЬНАЯ СМЕТА № ",IF(Source!F12&lt;&gt;"Новый объект", Source!F12, ""))</f>
        <v xml:space="preserve">ЛОКАЛЬНАЯ СМЕТА № </v>
      </c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 x14ac:dyDescent="0.2">
      <c r="A10" s="61" t="s">
        <v>197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</row>
    <row r="11" spans="1:11" ht="14.2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8" hidden="1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spans="1:11" ht="14.25" hidden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8" x14ac:dyDescent="0.25">
      <c r="A14" s="62" t="str">
        <f>IF(Source!G12&lt;&gt;"Новый объект", Source!G12, "")</f>
        <v>Ремонт асфальта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1" x14ac:dyDescent="0.2">
      <c r="A15" s="61" t="s">
        <v>198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</row>
    <row r="16" spans="1:11" ht="14.2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22" ht="14.2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14.25" x14ac:dyDescent="0.2">
      <c r="A18" s="9"/>
      <c r="B18" s="9"/>
      <c r="C18" s="9"/>
      <c r="D18" s="9"/>
      <c r="E18" s="9"/>
      <c r="F18" s="56" t="s">
        <v>199</v>
      </c>
      <c r="G18" s="56"/>
      <c r="H18" s="56"/>
      <c r="I18" s="64">
        <f>(Source!F200/1000)</f>
        <v>896.58281999999997</v>
      </c>
      <c r="J18" s="58"/>
      <c r="K18" s="9" t="s">
        <v>200</v>
      </c>
    </row>
    <row r="19" spans="1:22" ht="14.25" hidden="1" x14ac:dyDescent="0.2">
      <c r="A19" s="9"/>
      <c r="B19" s="9"/>
      <c r="C19" s="9"/>
      <c r="D19" s="9"/>
      <c r="E19" s="9"/>
      <c r="F19" s="56" t="s">
        <v>201</v>
      </c>
      <c r="G19" s="56"/>
      <c r="H19" s="56"/>
      <c r="I19" s="64">
        <f>(Source!F189)/1000</f>
        <v>0</v>
      </c>
      <c r="J19" s="58"/>
      <c r="K19" s="9" t="s">
        <v>200</v>
      </c>
    </row>
    <row r="20" spans="1:22" ht="14.25" hidden="1" x14ac:dyDescent="0.2">
      <c r="A20" s="9"/>
      <c r="B20" s="9"/>
      <c r="C20" s="9"/>
      <c r="D20" s="9"/>
      <c r="E20" s="9"/>
      <c r="F20" s="56" t="s">
        <v>202</v>
      </c>
      <c r="G20" s="56"/>
      <c r="H20" s="56"/>
      <c r="I20" s="64">
        <f>(Source!F190)/1000</f>
        <v>0</v>
      </c>
      <c r="J20" s="58"/>
      <c r="K20" s="9" t="s">
        <v>200</v>
      </c>
    </row>
    <row r="21" spans="1:22" ht="14.25" hidden="1" x14ac:dyDescent="0.2">
      <c r="A21" s="9"/>
      <c r="B21" s="9"/>
      <c r="C21" s="9"/>
      <c r="D21" s="9"/>
      <c r="E21" s="9"/>
      <c r="F21" s="56" t="s">
        <v>203</v>
      </c>
      <c r="G21" s="56"/>
      <c r="H21" s="56"/>
      <c r="I21" s="64">
        <f>(Source!F181)/1000</f>
        <v>0</v>
      </c>
      <c r="J21" s="58"/>
      <c r="K21" s="9" t="s">
        <v>200</v>
      </c>
    </row>
    <row r="22" spans="1:22" ht="14.25" hidden="1" x14ac:dyDescent="0.2">
      <c r="A22" s="9"/>
      <c r="B22" s="9"/>
      <c r="C22" s="9"/>
      <c r="D22" s="9"/>
      <c r="E22" s="9"/>
      <c r="F22" s="56" t="s">
        <v>204</v>
      </c>
      <c r="G22" s="56"/>
      <c r="H22" s="56"/>
      <c r="I22" s="64">
        <f>(Source!F191+Source!F192)/1000</f>
        <v>896.58281999999997</v>
      </c>
      <c r="J22" s="58"/>
      <c r="K22" s="9" t="s">
        <v>200</v>
      </c>
    </row>
    <row r="23" spans="1:22" ht="14.25" x14ac:dyDescent="0.2">
      <c r="A23" s="9"/>
      <c r="B23" s="9"/>
      <c r="C23" s="9"/>
      <c r="D23" s="9"/>
      <c r="E23" s="9"/>
      <c r="F23" s="56" t="s">
        <v>205</v>
      </c>
      <c r="G23" s="56"/>
      <c r="H23" s="56"/>
      <c r="I23" s="64">
        <f>(Source!F187+ Source!F186)/1000</f>
        <v>181.227</v>
      </c>
      <c r="J23" s="58"/>
      <c r="K23" s="9" t="s">
        <v>200</v>
      </c>
    </row>
    <row r="24" spans="1:22" ht="14.25" x14ac:dyDescent="0.2">
      <c r="A24" s="9" t="s">
        <v>219</v>
      </c>
      <c r="B24" s="9"/>
      <c r="C24" s="9"/>
      <c r="D24" s="15"/>
      <c r="E24" s="16"/>
      <c r="F24" s="9"/>
      <c r="G24" s="9"/>
      <c r="H24" s="9"/>
      <c r="I24" s="9"/>
      <c r="J24" s="9"/>
      <c r="K24" s="9"/>
    </row>
    <row r="25" spans="1:22" ht="14.25" x14ac:dyDescent="0.2">
      <c r="A25" s="65" t="s">
        <v>206</v>
      </c>
      <c r="B25" s="65" t="s">
        <v>207</v>
      </c>
      <c r="C25" s="65" t="s">
        <v>208</v>
      </c>
      <c r="D25" s="65" t="s">
        <v>209</v>
      </c>
      <c r="E25" s="65" t="s">
        <v>210</v>
      </c>
      <c r="F25" s="65" t="s">
        <v>211</v>
      </c>
      <c r="G25" s="65" t="s">
        <v>212</v>
      </c>
      <c r="H25" s="65" t="s">
        <v>213</v>
      </c>
      <c r="I25" s="65" t="s">
        <v>214</v>
      </c>
      <c r="J25" s="65" t="s">
        <v>215</v>
      </c>
      <c r="K25" s="17" t="s">
        <v>216</v>
      </c>
    </row>
    <row r="26" spans="1:22" ht="28.5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18" t="s">
        <v>217</v>
      </c>
    </row>
    <row r="27" spans="1:22" ht="28.5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18" t="s">
        <v>218</v>
      </c>
    </row>
    <row r="28" spans="1:22" ht="14.25" x14ac:dyDescent="0.2">
      <c r="A28" s="18">
        <v>1</v>
      </c>
      <c r="B28" s="18">
        <v>2</v>
      </c>
      <c r="C28" s="18">
        <v>3</v>
      </c>
      <c r="D28" s="18">
        <v>4</v>
      </c>
      <c r="E28" s="18">
        <v>5</v>
      </c>
      <c r="F28" s="18">
        <v>6</v>
      </c>
      <c r="G28" s="18">
        <v>7</v>
      </c>
      <c r="H28" s="18">
        <v>8</v>
      </c>
      <c r="I28" s="18">
        <v>9</v>
      </c>
      <c r="J28" s="18">
        <v>10</v>
      </c>
      <c r="K28" s="18">
        <v>11</v>
      </c>
    </row>
    <row r="31" spans="1:22" ht="16.5" x14ac:dyDescent="0.25">
      <c r="A31" s="67" t="str">
        <f>CONCATENATE("Раздел: ",IF(Source!G24&lt;&gt;"Новый раздел", Source!G24, ""))</f>
        <v>Раздел: Головное здание по адресу г. Москва, ул. Авиаконструктора Миля, дом 5, корпус 1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</row>
    <row r="32" spans="1:22" ht="28.5" x14ac:dyDescent="0.2">
      <c r="A32" s="19" t="str">
        <f>Source!E28</f>
        <v>1</v>
      </c>
      <c r="B32" s="20" t="str">
        <f>Source!F28</f>
        <v>2.1-3104-3-1/1</v>
      </c>
      <c r="C32" s="20" t="str">
        <f>Source!G28</f>
        <v>Разборка асфальтобетонных покрытий тротуаров толщиной до 4 см</v>
      </c>
      <c r="D32" s="21" t="str">
        <f>Source!H28</f>
        <v>1000 м2</v>
      </c>
      <c r="E32" s="8">
        <f>Source!I28</f>
        <v>0.06</v>
      </c>
      <c r="F32" s="23"/>
      <c r="G32" s="22"/>
      <c r="H32" s="8"/>
      <c r="I32" s="8"/>
      <c r="J32" s="24"/>
      <c r="K32" s="24"/>
      <c r="Q32">
        <f>ROUND((Source!BZ28/100)*ROUND((Source!AF28*Source!AV28)*Source!I28, 2), 2)</f>
        <v>452.43</v>
      </c>
      <c r="R32">
        <f>Source!X28</f>
        <v>452.43</v>
      </c>
      <c r="S32">
        <f>ROUND((Source!CA28/100)*ROUND((Source!AF28*Source!AV28)*Source!I28, 2), 2)</f>
        <v>64.63</v>
      </c>
      <c r="T32">
        <f>Source!Y28</f>
        <v>64.63</v>
      </c>
      <c r="U32">
        <f>ROUND((175/100)*ROUND((Source!AE28*Source!AV28)*Source!I28, 2), 2)</f>
        <v>0</v>
      </c>
      <c r="V32">
        <f>ROUND((108/100)*ROUND(Source!CS28*Source!I28, 2), 2)</f>
        <v>0</v>
      </c>
    </row>
    <row r="33" spans="1:22" x14ac:dyDescent="0.2">
      <c r="C33" s="25" t="str">
        <f>"Объем: "&amp;Source!I28&amp;"=60/"&amp;"1000"</f>
        <v>Объем: 0,06=60/1000</v>
      </c>
    </row>
    <row r="34" spans="1:22" ht="14.25" x14ac:dyDescent="0.2">
      <c r="A34" s="19"/>
      <c r="B34" s="20"/>
      <c r="C34" s="20" t="s">
        <v>220</v>
      </c>
      <c r="D34" s="21"/>
      <c r="E34" s="8"/>
      <c r="F34" s="23">
        <f>Source!AO28</f>
        <v>10772.1</v>
      </c>
      <c r="G34" s="22" t="str">
        <f>Source!DG28</f>
        <v/>
      </c>
      <c r="H34" s="8">
        <f>Source!AV28</f>
        <v>1</v>
      </c>
      <c r="I34" s="8">
        <f>IF(Source!BA28&lt;&gt; 0, Source!BA28, 1)</f>
        <v>1</v>
      </c>
      <c r="J34" s="24">
        <f>Source!S28</f>
        <v>646.33000000000004</v>
      </c>
      <c r="K34" s="24"/>
    </row>
    <row r="35" spans="1:22" ht="14.25" x14ac:dyDescent="0.2">
      <c r="A35" s="19"/>
      <c r="B35" s="20"/>
      <c r="C35" s="20" t="s">
        <v>221</v>
      </c>
      <c r="D35" s="21"/>
      <c r="E35" s="8"/>
      <c r="F35" s="23">
        <f>Source!AM28</f>
        <v>0</v>
      </c>
      <c r="G35" s="22" t="str">
        <f>Source!DE28</f>
        <v/>
      </c>
      <c r="H35" s="8">
        <f>Source!AV28</f>
        <v>1</v>
      </c>
      <c r="I35" s="8">
        <f>IF(Source!BB28&lt;&gt; 0, Source!BB28, 1)</f>
        <v>1</v>
      </c>
      <c r="J35" s="24">
        <f>Source!Q28</f>
        <v>0</v>
      </c>
      <c r="K35" s="24"/>
    </row>
    <row r="36" spans="1:22" ht="14.25" x14ac:dyDescent="0.2">
      <c r="A36" s="19"/>
      <c r="B36" s="20"/>
      <c r="C36" s="20" t="s">
        <v>222</v>
      </c>
      <c r="D36" s="21"/>
      <c r="E36" s="8"/>
      <c r="F36" s="23">
        <f>Source!AN28</f>
        <v>0</v>
      </c>
      <c r="G36" s="22" t="str">
        <f>Source!DF28</f>
        <v/>
      </c>
      <c r="H36" s="8">
        <f>Source!AV28</f>
        <v>1</v>
      </c>
      <c r="I36" s="8">
        <f>IF(Source!BS28&lt;&gt; 0, Source!BS28, 1)</f>
        <v>1</v>
      </c>
      <c r="J36" s="26">
        <f>Source!R28</f>
        <v>0</v>
      </c>
      <c r="K36" s="24"/>
    </row>
    <row r="37" spans="1:22" ht="14.25" x14ac:dyDescent="0.2">
      <c r="A37" s="19"/>
      <c r="B37" s="20"/>
      <c r="C37" s="20" t="s">
        <v>223</v>
      </c>
      <c r="D37" s="21"/>
      <c r="E37" s="8"/>
      <c r="F37" s="23">
        <f>Source!AL28</f>
        <v>0</v>
      </c>
      <c r="G37" s="22" t="str">
        <f>Source!DD28</f>
        <v/>
      </c>
      <c r="H37" s="8">
        <f>Source!AW28</f>
        <v>1</v>
      </c>
      <c r="I37" s="8">
        <f>IF(Source!BC28&lt;&gt; 0, Source!BC28, 1)</f>
        <v>1</v>
      </c>
      <c r="J37" s="24">
        <f>Source!P28</f>
        <v>0</v>
      </c>
      <c r="K37" s="24"/>
    </row>
    <row r="38" spans="1:22" ht="14.25" x14ac:dyDescent="0.2">
      <c r="A38" s="19"/>
      <c r="B38" s="20"/>
      <c r="C38" s="20" t="s">
        <v>224</v>
      </c>
      <c r="D38" s="21" t="s">
        <v>225</v>
      </c>
      <c r="E38" s="8">
        <f>Source!AT28</f>
        <v>70</v>
      </c>
      <c r="F38" s="23"/>
      <c r="G38" s="22"/>
      <c r="H38" s="8"/>
      <c r="I38" s="8"/>
      <c r="J38" s="24">
        <f>SUM(R32:R37)</f>
        <v>452.43</v>
      </c>
      <c r="K38" s="24"/>
    </row>
    <row r="39" spans="1:22" ht="14.25" x14ac:dyDescent="0.2">
      <c r="A39" s="19"/>
      <c r="B39" s="20"/>
      <c r="C39" s="20" t="s">
        <v>226</v>
      </c>
      <c r="D39" s="21" t="s">
        <v>225</v>
      </c>
      <c r="E39" s="8">
        <f>Source!AU28</f>
        <v>10</v>
      </c>
      <c r="F39" s="23"/>
      <c r="G39" s="22"/>
      <c r="H39" s="8"/>
      <c r="I39" s="8"/>
      <c r="J39" s="24">
        <f>SUM(T32:T38)</f>
        <v>64.63</v>
      </c>
      <c r="K39" s="24"/>
    </row>
    <row r="40" spans="1:22" ht="14.25" x14ac:dyDescent="0.2">
      <c r="A40" s="19"/>
      <c r="B40" s="20"/>
      <c r="C40" s="20" t="s">
        <v>227</v>
      </c>
      <c r="D40" s="21" t="s">
        <v>225</v>
      </c>
      <c r="E40" s="8">
        <f>108</f>
        <v>108</v>
      </c>
      <c r="F40" s="23"/>
      <c r="G40" s="22"/>
      <c r="H40" s="8"/>
      <c r="I40" s="8"/>
      <c r="J40" s="24">
        <f>SUM(V32:V39)</f>
        <v>0</v>
      </c>
      <c r="K40" s="24"/>
    </row>
    <row r="41" spans="1:22" ht="14.25" x14ac:dyDescent="0.2">
      <c r="A41" s="19"/>
      <c r="B41" s="20"/>
      <c r="C41" s="20" t="s">
        <v>228</v>
      </c>
      <c r="D41" s="21" t="s">
        <v>229</v>
      </c>
      <c r="E41" s="8">
        <f>Source!AQ28</f>
        <v>59.6</v>
      </c>
      <c r="F41" s="23"/>
      <c r="G41" s="22" t="str">
        <f>Source!DI28</f>
        <v/>
      </c>
      <c r="H41" s="8">
        <f>Source!AV28</f>
        <v>1</v>
      </c>
      <c r="I41" s="8"/>
      <c r="J41" s="24"/>
      <c r="K41" s="24">
        <f>Source!U28</f>
        <v>3.5760000000000001</v>
      </c>
    </row>
    <row r="42" spans="1:22" ht="15" x14ac:dyDescent="0.25">
      <c r="A42" s="29"/>
      <c r="B42" s="29"/>
      <c r="C42" s="29"/>
      <c r="D42" s="29"/>
      <c r="E42" s="29"/>
      <c r="F42" s="29"/>
      <c r="G42" s="29"/>
      <c r="H42" s="29"/>
      <c r="I42" s="68">
        <f>J34+J35+J37+J38+J39+J40</f>
        <v>1163.3899999999999</v>
      </c>
      <c r="J42" s="68"/>
      <c r="K42" s="30">
        <f>IF(Source!I28&lt;&gt;0, ROUND(I42/Source!I28, 2), 0)</f>
        <v>19389.830000000002</v>
      </c>
      <c r="P42" s="27">
        <f>I42</f>
        <v>1163.3899999999999</v>
      </c>
    </row>
    <row r="43" spans="1:22" ht="42.75" x14ac:dyDescent="0.2">
      <c r="A43" s="19" t="str">
        <f>Source!E29</f>
        <v>2</v>
      </c>
      <c r="B43" s="20" t="str">
        <f>Source!F29</f>
        <v>2.1-3103-18-1/1</v>
      </c>
      <c r="C43" s="20" t="str">
        <f>Source!G29</f>
        <v>Устройство покрытий из асфальтобетонных смесей вручную, толщина 4 см</v>
      </c>
      <c r="D43" s="21" t="str">
        <f>Source!H29</f>
        <v>100 м2</v>
      </c>
      <c r="E43" s="8">
        <f>Source!I29</f>
        <v>0.6</v>
      </c>
      <c r="F43" s="23"/>
      <c r="G43" s="22"/>
      <c r="H43" s="8"/>
      <c r="I43" s="8"/>
      <c r="J43" s="24"/>
      <c r="K43" s="24"/>
      <c r="Q43">
        <f>ROUND((Source!BZ29/100)*ROUND((Source!AF29*Source!AV29)*Source!I29, 2), 2)</f>
        <v>1303.1099999999999</v>
      </c>
      <c r="R43">
        <f>Source!X29</f>
        <v>1303.1099999999999</v>
      </c>
      <c r="S43">
        <f>ROUND((Source!CA29/100)*ROUND((Source!AF29*Source!AV29)*Source!I29, 2), 2)</f>
        <v>186.16</v>
      </c>
      <c r="T43">
        <f>Source!Y29</f>
        <v>186.16</v>
      </c>
      <c r="U43">
        <f>ROUND((175/100)*ROUND((Source!AE29*Source!AV29)*Source!I29, 2), 2)</f>
        <v>971.02</v>
      </c>
      <c r="V43">
        <f>ROUND((108/100)*ROUND(Source!CS29*Source!I29, 2), 2)</f>
        <v>599.26</v>
      </c>
    </row>
    <row r="44" spans="1:22" x14ac:dyDescent="0.2">
      <c r="C44" s="25" t="str">
        <f>"Объем: "&amp;Source!I29&amp;"=60/"&amp;"100"</f>
        <v>Объем: 0,6=60/100</v>
      </c>
    </row>
    <row r="45" spans="1:22" ht="14.25" x14ac:dyDescent="0.2">
      <c r="A45" s="19"/>
      <c r="B45" s="20"/>
      <c r="C45" s="20" t="s">
        <v>220</v>
      </c>
      <c r="D45" s="21"/>
      <c r="E45" s="8"/>
      <c r="F45" s="23">
        <f>Source!AO29</f>
        <v>3102.64</v>
      </c>
      <c r="G45" s="22" t="str">
        <f>Source!DG29</f>
        <v/>
      </c>
      <c r="H45" s="8">
        <f>Source!AV29</f>
        <v>1</v>
      </c>
      <c r="I45" s="8">
        <f>IF(Source!BA29&lt;&gt; 0, Source!BA29, 1)</f>
        <v>1</v>
      </c>
      <c r="J45" s="24">
        <f>Source!S29</f>
        <v>1861.58</v>
      </c>
      <c r="K45" s="24"/>
    </row>
    <row r="46" spans="1:22" ht="14.25" x14ac:dyDescent="0.2">
      <c r="A46" s="19"/>
      <c r="B46" s="20"/>
      <c r="C46" s="20" t="s">
        <v>221</v>
      </c>
      <c r="D46" s="21"/>
      <c r="E46" s="8"/>
      <c r="F46" s="23">
        <f>Source!AM29</f>
        <v>1632.78</v>
      </c>
      <c r="G46" s="22" t="str">
        <f>Source!DE29</f>
        <v/>
      </c>
      <c r="H46" s="8">
        <f>Source!AV29</f>
        <v>1</v>
      </c>
      <c r="I46" s="8">
        <f>IF(Source!BB29&lt;&gt; 0, Source!BB29, 1)</f>
        <v>1</v>
      </c>
      <c r="J46" s="24">
        <f>Source!Q29</f>
        <v>979.67</v>
      </c>
      <c r="K46" s="24"/>
    </row>
    <row r="47" spans="1:22" ht="14.25" x14ac:dyDescent="0.2">
      <c r="A47" s="19"/>
      <c r="B47" s="20"/>
      <c r="C47" s="20" t="s">
        <v>222</v>
      </c>
      <c r="D47" s="21"/>
      <c r="E47" s="8"/>
      <c r="F47" s="23">
        <f>Source!AN29</f>
        <v>924.79</v>
      </c>
      <c r="G47" s="22" t="str">
        <f>Source!DF29</f>
        <v/>
      </c>
      <c r="H47" s="8">
        <f>Source!AV29</f>
        <v>1</v>
      </c>
      <c r="I47" s="8">
        <f>IF(Source!BS29&lt;&gt; 0, Source!BS29, 1)</f>
        <v>1</v>
      </c>
      <c r="J47" s="26">
        <f>Source!R29</f>
        <v>554.87</v>
      </c>
      <c r="K47" s="24"/>
    </row>
    <row r="48" spans="1:22" ht="14.25" x14ac:dyDescent="0.2">
      <c r="A48" s="19"/>
      <c r="B48" s="20"/>
      <c r="C48" s="20" t="s">
        <v>223</v>
      </c>
      <c r="D48" s="21"/>
      <c r="E48" s="8"/>
      <c r="F48" s="23">
        <f>Source!AL29</f>
        <v>25772.98</v>
      </c>
      <c r="G48" s="22" t="str">
        <f>Source!DD29</f>
        <v/>
      </c>
      <c r="H48" s="8">
        <f>Source!AW29</f>
        <v>1</v>
      </c>
      <c r="I48" s="8">
        <f>IF(Source!BC29&lt;&gt; 0, Source!BC29, 1)</f>
        <v>1</v>
      </c>
      <c r="J48" s="24">
        <f>Source!P29</f>
        <v>15463.79</v>
      </c>
      <c r="K48" s="24"/>
    </row>
    <row r="49" spans="1:22" ht="14.25" x14ac:dyDescent="0.2">
      <c r="A49" s="19"/>
      <c r="B49" s="20"/>
      <c r="C49" s="20" t="s">
        <v>224</v>
      </c>
      <c r="D49" s="21" t="s">
        <v>225</v>
      </c>
      <c r="E49" s="8">
        <f>Source!AT29</f>
        <v>70</v>
      </c>
      <c r="F49" s="23"/>
      <c r="G49" s="22"/>
      <c r="H49" s="8"/>
      <c r="I49" s="8"/>
      <c r="J49" s="24">
        <f>SUM(R43:R48)</f>
        <v>1303.1099999999999</v>
      </c>
      <c r="K49" s="24"/>
    </row>
    <row r="50" spans="1:22" ht="14.25" x14ac:dyDescent="0.2">
      <c r="A50" s="19"/>
      <c r="B50" s="20"/>
      <c r="C50" s="20" t="s">
        <v>226</v>
      </c>
      <c r="D50" s="21" t="s">
        <v>225</v>
      </c>
      <c r="E50" s="8">
        <f>Source!AU29</f>
        <v>10</v>
      </c>
      <c r="F50" s="23"/>
      <c r="G50" s="22"/>
      <c r="H50" s="8"/>
      <c r="I50" s="8"/>
      <c r="J50" s="24">
        <f>SUM(T43:T49)</f>
        <v>186.16</v>
      </c>
      <c r="K50" s="24"/>
    </row>
    <row r="51" spans="1:22" ht="14.25" x14ac:dyDescent="0.2">
      <c r="A51" s="19"/>
      <c r="B51" s="20"/>
      <c r="C51" s="20" t="s">
        <v>227</v>
      </c>
      <c r="D51" s="21" t="s">
        <v>225</v>
      </c>
      <c r="E51" s="8">
        <f>108</f>
        <v>108</v>
      </c>
      <c r="F51" s="23"/>
      <c r="G51" s="22"/>
      <c r="H51" s="8"/>
      <c r="I51" s="8"/>
      <c r="J51" s="24">
        <f>SUM(V43:V50)</f>
        <v>599.26</v>
      </c>
      <c r="K51" s="24"/>
    </row>
    <row r="52" spans="1:22" ht="14.25" x14ac:dyDescent="0.2">
      <c r="A52" s="19"/>
      <c r="B52" s="20"/>
      <c r="C52" s="20" t="s">
        <v>228</v>
      </c>
      <c r="D52" s="21" t="s">
        <v>229</v>
      </c>
      <c r="E52" s="8">
        <f>Source!AQ29</f>
        <v>13.57</v>
      </c>
      <c r="F52" s="23"/>
      <c r="G52" s="22" t="str">
        <f>Source!DI29</f>
        <v/>
      </c>
      <c r="H52" s="8">
        <f>Source!AV29</f>
        <v>1</v>
      </c>
      <c r="I52" s="8"/>
      <c r="J52" s="24"/>
      <c r="K52" s="24">
        <f>Source!U29</f>
        <v>8.1419999999999995</v>
      </c>
    </row>
    <row r="53" spans="1:22" ht="15" x14ac:dyDescent="0.25">
      <c r="A53" s="29"/>
      <c r="B53" s="29"/>
      <c r="C53" s="29"/>
      <c r="D53" s="29"/>
      <c r="E53" s="29"/>
      <c r="F53" s="29"/>
      <c r="G53" s="29"/>
      <c r="H53" s="29"/>
      <c r="I53" s="68">
        <f>J45+J46+J48+J49+J50+J51</f>
        <v>20393.57</v>
      </c>
      <c r="J53" s="68"/>
      <c r="K53" s="30">
        <f>IF(Source!I29&lt;&gt;0, ROUND(I53/Source!I29, 2), 0)</f>
        <v>33989.279999999999</v>
      </c>
      <c r="P53" s="27">
        <f>I53</f>
        <v>20393.57</v>
      </c>
    </row>
    <row r="54" spans="1:22" ht="66.75" x14ac:dyDescent="0.2">
      <c r="A54" s="19" t="str">
        <f>Source!E30</f>
        <v>3</v>
      </c>
      <c r="B54" s="20" t="s">
        <v>230</v>
      </c>
      <c r="C54" s="20" t="str">
        <f>Source!G30</f>
        <v>Устройство бордюра из мелкоштучных камней, установленных на ребро, для клумб</v>
      </c>
      <c r="D54" s="21" t="str">
        <f>Source!H30</f>
        <v>100 м</v>
      </c>
      <c r="E54" s="8">
        <f>Source!I30</f>
        <v>0.26</v>
      </c>
      <c r="F54" s="23"/>
      <c r="G54" s="22"/>
      <c r="H54" s="8"/>
      <c r="I54" s="8"/>
      <c r="J54" s="24"/>
      <c r="K54" s="24"/>
      <c r="Q54">
        <f>ROUND((Source!BZ30/100)*ROUND((Source!AF30*Source!AV30)*Source!I30, 2), 2)</f>
        <v>915.19</v>
      </c>
      <c r="R54">
        <f>Source!X30</f>
        <v>915.19</v>
      </c>
      <c r="S54">
        <f>ROUND((Source!CA30/100)*ROUND((Source!AF30*Source!AV30)*Source!I30, 2), 2)</f>
        <v>130.74</v>
      </c>
      <c r="T54">
        <f>Source!Y30</f>
        <v>130.74</v>
      </c>
      <c r="U54">
        <f>ROUND((175/100)*ROUND((Source!AE30*Source!AV30)*Source!I30, 2), 2)</f>
        <v>42.61</v>
      </c>
      <c r="V54">
        <f>ROUND((108/100)*ROUND(Source!CS30*Source!I30, 2), 2)</f>
        <v>26.3</v>
      </c>
    </row>
    <row r="55" spans="1:22" x14ac:dyDescent="0.2">
      <c r="C55" s="25" t="str">
        <f>"Объем: "&amp;Source!I30&amp;"=26/"&amp;"100"</f>
        <v>Объем: 0,26=26/100</v>
      </c>
    </row>
    <row r="56" spans="1:22" ht="14.25" x14ac:dyDescent="0.2">
      <c r="A56" s="19"/>
      <c r="B56" s="20"/>
      <c r="C56" s="20" t="s">
        <v>220</v>
      </c>
      <c r="D56" s="21"/>
      <c r="E56" s="8"/>
      <c r="F56" s="23">
        <f>Source!AO30</f>
        <v>25142.639999999999</v>
      </c>
      <c r="G56" s="22" t="str">
        <f>Source!DG30</f>
        <v>)*0,2</v>
      </c>
      <c r="H56" s="8">
        <f>Source!AV30</f>
        <v>1</v>
      </c>
      <c r="I56" s="8">
        <f>IF(Source!BA30&lt;&gt; 0, Source!BA30, 1)</f>
        <v>1</v>
      </c>
      <c r="J56" s="24">
        <f>Source!S30</f>
        <v>1307.42</v>
      </c>
      <c r="K56" s="24"/>
    </row>
    <row r="57" spans="1:22" ht="14.25" x14ac:dyDescent="0.2">
      <c r="A57" s="19"/>
      <c r="B57" s="20"/>
      <c r="C57" s="20" t="s">
        <v>221</v>
      </c>
      <c r="D57" s="21"/>
      <c r="E57" s="8"/>
      <c r="F57" s="23">
        <f>Source!AM30</f>
        <v>762.81</v>
      </c>
      <c r="G57" s="22" t="str">
        <f>Source!DE30</f>
        <v>)*0,2</v>
      </c>
      <c r="H57" s="8">
        <f>Source!AV30</f>
        <v>1</v>
      </c>
      <c r="I57" s="8">
        <f>IF(Source!BB30&lt;&gt; 0, Source!BB30, 1)</f>
        <v>1</v>
      </c>
      <c r="J57" s="24">
        <f>Source!Q30</f>
        <v>39.67</v>
      </c>
      <c r="K57" s="24"/>
    </row>
    <row r="58" spans="1:22" ht="14.25" x14ac:dyDescent="0.2">
      <c r="A58" s="19"/>
      <c r="B58" s="20"/>
      <c r="C58" s="20" t="s">
        <v>222</v>
      </c>
      <c r="D58" s="21"/>
      <c r="E58" s="8"/>
      <c r="F58" s="23">
        <f>Source!AN30</f>
        <v>468.34</v>
      </c>
      <c r="G58" s="22" t="str">
        <f>Source!DF30</f>
        <v>)*0,2</v>
      </c>
      <c r="H58" s="8">
        <f>Source!AV30</f>
        <v>1</v>
      </c>
      <c r="I58" s="8">
        <f>IF(Source!BS30&lt;&gt; 0, Source!BS30, 1)</f>
        <v>1</v>
      </c>
      <c r="J58" s="26">
        <f>Source!R30</f>
        <v>24.35</v>
      </c>
      <c r="K58" s="24"/>
    </row>
    <row r="59" spans="1:22" ht="14.25" x14ac:dyDescent="0.2">
      <c r="A59" s="19"/>
      <c r="B59" s="20"/>
      <c r="C59" s="20" t="s">
        <v>223</v>
      </c>
      <c r="D59" s="21"/>
      <c r="E59" s="8"/>
      <c r="F59" s="23">
        <f>Source!AL30</f>
        <v>79886.62</v>
      </c>
      <c r="G59" s="22" t="str">
        <f>Source!DD30</f>
        <v>)*0</v>
      </c>
      <c r="H59" s="8">
        <f>Source!AW30</f>
        <v>1</v>
      </c>
      <c r="I59" s="8">
        <f>IF(Source!BC30&lt;&gt; 0, Source!BC30, 1)</f>
        <v>1</v>
      </c>
      <c r="J59" s="24">
        <f>Source!P30</f>
        <v>0</v>
      </c>
      <c r="K59" s="24"/>
    </row>
    <row r="60" spans="1:22" ht="14.25" x14ac:dyDescent="0.2">
      <c r="A60" s="19"/>
      <c r="B60" s="20"/>
      <c r="C60" s="20" t="s">
        <v>224</v>
      </c>
      <c r="D60" s="21" t="s">
        <v>225</v>
      </c>
      <c r="E60" s="8">
        <f>Source!AT30</f>
        <v>70</v>
      </c>
      <c r="F60" s="23"/>
      <c r="G60" s="22"/>
      <c r="H60" s="8"/>
      <c r="I60" s="8"/>
      <c r="J60" s="24">
        <f>SUM(R54:R59)</f>
        <v>915.19</v>
      </c>
      <c r="K60" s="24"/>
    </row>
    <row r="61" spans="1:22" ht="14.25" x14ac:dyDescent="0.2">
      <c r="A61" s="19"/>
      <c r="B61" s="20"/>
      <c r="C61" s="20" t="s">
        <v>226</v>
      </c>
      <c r="D61" s="21" t="s">
        <v>225</v>
      </c>
      <c r="E61" s="8">
        <f>Source!AU30</f>
        <v>10</v>
      </c>
      <c r="F61" s="23"/>
      <c r="G61" s="22"/>
      <c r="H61" s="8"/>
      <c r="I61" s="8"/>
      <c r="J61" s="24">
        <f>SUM(T54:T60)</f>
        <v>130.74</v>
      </c>
      <c r="K61" s="24"/>
    </row>
    <row r="62" spans="1:22" ht="14.25" x14ac:dyDescent="0.2">
      <c r="A62" s="19"/>
      <c r="B62" s="20"/>
      <c r="C62" s="20" t="s">
        <v>227</v>
      </c>
      <c r="D62" s="21" t="s">
        <v>225</v>
      </c>
      <c r="E62" s="8">
        <f>108</f>
        <v>108</v>
      </c>
      <c r="F62" s="23"/>
      <c r="G62" s="22"/>
      <c r="H62" s="8"/>
      <c r="I62" s="8"/>
      <c r="J62" s="24">
        <f>SUM(V54:V61)</f>
        <v>26.3</v>
      </c>
      <c r="K62" s="24"/>
    </row>
    <row r="63" spans="1:22" ht="14.25" x14ac:dyDescent="0.2">
      <c r="A63" s="19"/>
      <c r="B63" s="20"/>
      <c r="C63" s="20" t="s">
        <v>228</v>
      </c>
      <c r="D63" s="21" t="s">
        <v>229</v>
      </c>
      <c r="E63" s="8">
        <f>Source!AQ30</f>
        <v>124.37</v>
      </c>
      <c r="F63" s="23"/>
      <c r="G63" s="22" t="str">
        <f>Source!DI30</f>
        <v>)*0,2</v>
      </c>
      <c r="H63" s="8">
        <f>Source!AV30</f>
        <v>1</v>
      </c>
      <c r="I63" s="8"/>
      <c r="J63" s="24"/>
      <c r="K63" s="24">
        <f>Source!U30</f>
        <v>6.4672400000000012</v>
      </c>
    </row>
    <row r="64" spans="1:22" ht="15" x14ac:dyDescent="0.25">
      <c r="A64" s="29"/>
      <c r="B64" s="29"/>
      <c r="C64" s="29"/>
      <c r="D64" s="29"/>
      <c r="E64" s="29"/>
      <c r="F64" s="29"/>
      <c r="G64" s="29"/>
      <c r="H64" s="29"/>
      <c r="I64" s="68">
        <f>J56+J57+J59+J60+J61+J62</f>
        <v>2419.3200000000006</v>
      </c>
      <c r="J64" s="68"/>
      <c r="K64" s="30">
        <f>IF(Source!I30&lt;&gt;0, ROUND(I64/Source!I30, 2), 0)</f>
        <v>9305.08</v>
      </c>
      <c r="P64" s="27">
        <f>I64</f>
        <v>2419.3200000000006</v>
      </c>
    </row>
    <row r="65" spans="1:22" ht="42.75" x14ac:dyDescent="0.2">
      <c r="A65" s="19" t="str">
        <f>Source!E31</f>
        <v>4</v>
      </c>
      <c r="B65" s="20" t="str">
        <f>Source!F31</f>
        <v>5.3-3103-9-3/1</v>
      </c>
      <c r="C65" s="20" t="str">
        <f>Source!G31</f>
        <v>Устройство бордюра из мелкоштучных камней, установленных на ребро, для клумб</v>
      </c>
      <c r="D65" s="21" t="str">
        <f>Source!H31</f>
        <v>100 м</v>
      </c>
      <c r="E65" s="8">
        <f>Source!I31</f>
        <v>0.26</v>
      </c>
      <c r="F65" s="23"/>
      <c r="G65" s="22"/>
      <c r="H65" s="8"/>
      <c r="I65" s="8"/>
      <c r="J65" s="24"/>
      <c r="K65" s="24"/>
      <c r="Q65">
        <f>ROUND((Source!BZ31/100)*ROUND((Source!AF31*Source!AV31)*Source!I31, 2), 2)</f>
        <v>4575.96</v>
      </c>
      <c r="R65">
        <f>Source!X31</f>
        <v>4575.96</v>
      </c>
      <c r="S65">
        <f>ROUND((Source!CA31/100)*ROUND((Source!AF31*Source!AV31)*Source!I31, 2), 2)</f>
        <v>653.71</v>
      </c>
      <c r="T65">
        <f>Source!Y31</f>
        <v>653.71</v>
      </c>
      <c r="U65">
        <f>ROUND((175/100)*ROUND((Source!AE31*Source!AV31)*Source!I31, 2), 2)</f>
        <v>213.1</v>
      </c>
      <c r="V65">
        <f>ROUND((108/100)*ROUND(Source!CS31*Source!I31, 2), 2)</f>
        <v>131.51</v>
      </c>
    </row>
    <row r="66" spans="1:22" x14ac:dyDescent="0.2">
      <c r="C66" s="25" t="str">
        <f>"Объем: "&amp;Source!I31&amp;"=26/"&amp;"100"</f>
        <v>Объем: 0,26=26/100</v>
      </c>
    </row>
    <row r="67" spans="1:22" ht="14.25" x14ac:dyDescent="0.2">
      <c r="A67" s="19"/>
      <c r="B67" s="20"/>
      <c r="C67" s="20" t="s">
        <v>220</v>
      </c>
      <c r="D67" s="21"/>
      <c r="E67" s="8"/>
      <c r="F67" s="23">
        <f>Source!AO31</f>
        <v>25142.639999999999</v>
      </c>
      <c r="G67" s="22" t="str">
        <f>Source!DG31</f>
        <v/>
      </c>
      <c r="H67" s="8">
        <f>Source!AV31</f>
        <v>1</v>
      </c>
      <c r="I67" s="8">
        <f>IF(Source!BA31&lt;&gt; 0, Source!BA31, 1)</f>
        <v>1</v>
      </c>
      <c r="J67" s="24">
        <f>Source!S31</f>
        <v>6537.09</v>
      </c>
      <c r="K67" s="24"/>
    </row>
    <row r="68" spans="1:22" ht="14.25" x14ac:dyDescent="0.2">
      <c r="A68" s="19"/>
      <c r="B68" s="20"/>
      <c r="C68" s="20" t="s">
        <v>221</v>
      </c>
      <c r="D68" s="21"/>
      <c r="E68" s="8"/>
      <c r="F68" s="23">
        <f>Source!AM31</f>
        <v>762.81</v>
      </c>
      <c r="G68" s="22" t="str">
        <f>Source!DE31</f>
        <v/>
      </c>
      <c r="H68" s="8">
        <f>Source!AV31</f>
        <v>1</v>
      </c>
      <c r="I68" s="8">
        <f>IF(Source!BB31&lt;&gt; 0, Source!BB31, 1)</f>
        <v>1</v>
      </c>
      <c r="J68" s="24">
        <f>Source!Q31</f>
        <v>198.33</v>
      </c>
      <c r="K68" s="24"/>
    </row>
    <row r="69" spans="1:22" ht="14.25" x14ac:dyDescent="0.2">
      <c r="A69" s="19"/>
      <c r="B69" s="20"/>
      <c r="C69" s="20" t="s">
        <v>222</v>
      </c>
      <c r="D69" s="21"/>
      <c r="E69" s="8"/>
      <c r="F69" s="23">
        <f>Source!AN31</f>
        <v>468.34</v>
      </c>
      <c r="G69" s="22" t="str">
        <f>Source!DF31</f>
        <v/>
      </c>
      <c r="H69" s="8">
        <f>Source!AV31</f>
        <v>1</v>
      </c>
      <c r="I69" s="8">
        <f>IF(Source!BS31&lt;&gt; 0, Source!BS31, 1)</f>
        <v>1</v>
      </c>
      <c r="J69" s="26">
        <f>Source!R31</f>
        <v>121.77</v>
      </c>
      <c r="K69" s="24"/>
    </row>
    <row r="70" spans="1:22" ht="14.25" x14ac:dyDescent="0.2">
      <c r="A70" s="19"/>
      <c r="B70" s="20"/>
      <c r="C70" s="20" t="s">
        <v>223</v>
      </c>
      <c r="D70" s="21"/>
      <c r="E70" s="8"/>
      <c r="F70" s="23">
        <f>Source!AL31</f>
        <v>79886.62</v>
      </c>
      <c r="G70" s="22" t="str">
        <f>Source!DD31</f>
        <v/>
      </c>
      <c r="H70" s="8">
        <f>Source!AW31</f>
        <v>1</v>
      </c>
      <c r="I70" s="8">
        <f>IF(Source!BC31&lt;&gt; 0, Source!BC31, 1)</f>
        <v>1</v>
      </c>
      <c r="J70" s="24">
        <f>Source!P31</f>
        <v>20770.52</v>
      </c>
      <c r="K70" s="24"/>
    </row>
    <row r="71" spans="1:22" ht="14.25" x14ac:dyDescent="0.2">
      <c r="A71" s="19" t="str">
        <f>Source!E32</f>
        <v>4.1</v>
      </c>
      <c r="B71" s="20" t="str">
        <f>Source!F32</f>
        <v>21.1-25-13</v>
      </c>
      <c r="C71" s="20" t="str">
        <f>Source!G32</f>
        <v>Вода</v>
      </c>
      <c r="D71" s="21" t="str">
        <f>Source!H32</f>
        <v>м3</v>
      </c>
      <c r="E71" s="8">
        <f>Source!I32</f>
        <v>-0.26</v>
      </c>
      <c r="F71" s="23">
        <f>Source!AK32</f>
        <v>35.25</v>
      </c>
      <c r="G71" s="31" t="s">
        <v>231</v>
      </c>
      <c r="H71" s="8">
        <f>Source!AW32</f>
        <v>1</v>
      </c>
      <c r="I71" s="8">
        <f>IF(Source!BC32&lt;&gt; 0, Source!BC32, 1)</f>
        <v>1</v>
      </c>
      <c r="J71" s="24">
        <f>Source!O32</f>
        <v>-9.17</v>
      </c>
      <c r="K71" s="24"/>
      <c r="Q71">
        <f>ROUND((Source!BZ32/100)*ROUND((Source!AF32*Source!AV32)*Source!I32, 2), 2)</f>
        <v>0</v>
      </c>
      <c r="R71">
        <f>Source!X32</f>
        <v>0</v>
      </c>
      <c r="S71">
        <f>ROUND((Source!CA32/100)*ROUND((Source!AF32*Source!AV32)*Source!I32, 2), 2)</f>
        <v>0</v>
      </c>
      <c r="T71">
        <f>Source!Y32</f>
        <v>0</v>
      </c>
      <c r="U71">
        <f>ROUND((175/100)*ROUND((Source!AE32*Source!AV32)*Source!I32, 2), 2)</f>
        <v>0</v>
      </c>
      <c r="V71">
        <f>ROUND((108/100)*ROUND(Source!CS32*Source!I32, 2), 2)</f>
        <v>0</v>
      </c>
    </row>
    <row r="72" spans="1:22" ht="14.25" x14ac:dyDescent="0.2">
      <c r="A72" s="19"/>
      <c r="B72" s="20"/>
      <c r="C72" s="20" t="s">
        <v>224</v>
      </c>
      <c r="D72" s="21" t="s">
        <v>225</v>
      </c>
      <c r="E72" s="8">
        <f>Source!AT31</f>
        <v>70</v>
      </c>
      <c r="F72" s="23"/>
      <c r="G72" s="22"/>
      <c r="H72" s="8"/>
      <c r="I72" s="8"/>
      <c r="J72" s="24">
        <f>SUM(R65:R71)</f>
        <v>4575.96</v>
      </c>
      <c r="K72" s="24"/>
    </row>
    <row r="73" spans="1:22" ht="14.25" x14ac:dyDescent="0.2">
      <c r="A73" s="19"/>
      <c r="B73" s="20"/>
      <c r="C73" s="20" t="s">
        <v>226</v>
      </c>
      <c r="D73" s="21" t="s">
        <v>225</v>
      </c>
      <c r="E73" s="8">
        <f>Source!AU31</f>
        <v>10</v>
      </c>
      <c r="F73" s="23"/>
      <c r="G73" s="22"/>
      <c r="H73" s="8"/>
      <c r="I73" s="8"/>
      <c r="J73" s="24">
        <f>SUM(T65:T72)</f>
        <v>653.71</v>
      </c>
      <c r="K73" s="24"/>
    </row>
    <row r="74" spans="1:22" ht="14.25" x14ac:dyDescent="0.2">
      <c r="A74" s="19"/>
      <c r="B74" s="20"/>
      <c r="C74" s="20" t="s">
        <v>227</v>
      </c>
      <c r="D74" s="21" t="s">
        <v>225</v>
      </c>
      <c r="E74" s="8">
        <f>108</f>
        <v>108</v>
      </c>
      <c r="F74" s="23"/>
      <c r="G74" s="22"/>
      <c r="H74" s="8"/>
      <c r="I74" s="8"/>
      <c r="J74" s="24">
        <f>SUM(V65:V73)</f>
        <v>131.51</v>
      </c>
      <c r="K74" s="24"/>
    </row>
    <row r="75" spans="1:22" ht="14.25" x14ac:dyDescent="0.2">
      <c r="A75" s="19"/>
      <c r="B75" s="20"/>
      <c r="C75" s="20" t="s">
        <v>228</v>
      </c>
      <c r="D75" s="21" t="s">
        <v>229</v>
      </c>
      <c r="E75" s="8">
        <f>Source!AQ31</f>
        <v>124.37</v>
      </c>
      <c r="F75" s="23"/>
      <c r="G75" s="22" t="str">
        <f>Source!DI31</f>
        <v/>
      </c>
      <c r="H75" s="8">
        <f>Source!AV31</f>
        <v>1</v>
      </c>
      <c r="I75" s="8"/>
      <c r="J75" s="24"/>
      <c r="K75" s="24">
        <f>Source!U31</f>
        <v>32.336200000000005</v>
      </c>
    </row>
    <row r="76" spans="1:22" ht="15" x14ac:dyDescent="0.25">
      <c r="A76" s="29"/>
      <c r="B76" s="29"/>
      <c r="C76" s="29"/>
      <c r="D76" s="29"/>
      <c r="E76" s="29"/>
      <c r="F76" s="29"/>
      <c r="G76" s="29"/>
      <c r="H76" s="29"/>
      <c r="I76" s="68">
        <f>J67+J68+J70+J72+J73+J74+SUM(J71:J71)</f>
        <v>32857.950000000004</v>
      </c>
      <c r="J76" s="68"/>
      <c r="K76" s="30">
        <f>IF(Source!I31&lt;&gt;0, ROUND(I76/Source!I31, 2), 0)</f>
        <v>126376.73</v>
      </c>
      <c r="P76" s="27">
        <f>I76</f>
        <v>32857.950000000004</v>
      </c>
    </row>
    <row r="77" spans="1:22" ht="28.5" x14ac:dyDescent="0.2">
      <c r="A77" s="19" t="str">
        <f>Source!E33</f>
        <v>5</v>
      </c>
      <c r="B77" s="20" t="str">
        <f>Source!F33</f>
        <v>2.1-3104-1-4/1</v>
      </c>
      <c r="C77" s="20" t="str">
        <f>Source!G33</f>
        <v>Разборка покрытий и оснований асфальтобетонных</v>
      </c>
      <c r="D77" s="21" t="str">
        <f>Source!H33</f>
        <v>100 м3</v>
      </c>
      <c r="E77" s="8">
        <f>Source!I33</f>
        <v>0.45150000000000001</v>
      </c>
      <c r="F77" s="23"/>
      <c r="G77" s="22"/>
      <c r="H77" s="8"/>
      <c r="I77" s="8"/>
      <c r="J77" s="24"/>
      <c r="K77" s="24"/>
      <c r="Q77">
        <f>ROUND((Source!BZ33/100)*ROUND((Source!AF33*Source!AV33)*Source!I33, 2), 2)</f>
        <v>9588.3700000000008</v>
      </c>
      <c r="R77">
        <f>Source!X33</f>
        <v>9588.3700000000008</v>
      </c>
      <c r="S77">
        <f>ROUND((Source!CA33/100)*ROUND((Source!AF33*Source!AV33)*Source!I33, 2), 2)</f>
        <v>1369.77</v>
      </c>
      <c r="T77">
        <f>Source!Y33</f>
        <v>1369.77</v>
      </c>
      <c r="U77">
        <f>ROUND((175/100)*ROUND((Source!AE33*Source!AV33)*Source!I33, 2), 2)</f>
        <v>13325.01</v>
      </c>
      <c r="V77">
        <f>ROUND((108/100)*ROUND(Source!CS33*Source!I33, 2), 2)</f>
        <v>8223.43</v>
      </c>
    </row>
    <row r="78" spans="1:22" ht="14.25" x14ac:dyDescent="0.2">
      <c r="A78" s="19"/>
      <c r="B78" s="20"/>
      <c r="C78" s="20" t="s">
        <v>220</v>
      </c>
      <c r="D78" s="21"/>
      <c r="E78" s="8"/>
      <c r="F78" s="23">
        <f>Source!AO33</f>
        <v>30338.15</v>
      </c>
      <c r="G78" s="22" t="str">
        <f>Source!DG33</f>
        <v/>
      </c>
      <c r="H78" s="8">
        <f>Source!AV33</f>
        <v>1</v>
      </c>
      <c r="I78" s="8">
        <f>IF(Source!BA33&lt;&gt; 0, Source!BA33, 1)</f>
        <v>1</v>
      </c>
      <c r="J78" s="24">
        <f>Source!S33</f>
        <v>13697.67</v>
      </c>
      <c r="K78" s="24"/>
    </row>
    <row r="79" spans="1:22" ht="14.25" x14ac:dyDescent="0.2">
      <c r="A79" s="19"/>
      <c r="B79" s="20"/>
      <c r="C79" s="20" t="s">
        <v>221</v>
      </c>
      <c r="D79" s="21"/>
      <c r="E79" s="8"/>
      <c r="F79" s="23">
        <f>Source!AM33</f>
        <v>30548.7</v>
      </c>
      <c r="G79" s="22" t="str">
        <f>Source!DE33</f>
        <v/>
      </c>
      <c r="H79" s="8">
        <f>Source!AV33</f>
        <v>1</v>
      </c>
      <c r="I79" s="8">
        <f>IF(Source!BB33&lt;&gt; 0, Source!BB33, 1)</f>
        <v>1</v>
      </c>
      <c r="J79" s="24">
        <f>Source!Q33</f>
        <v>13792.74</v>
      </c>
      <c r="K79" s="24"/>
    </row>
    <row r="80" spans="1:22" ht="14.25" x14ac:dyDescent="0.2">
      <c r="A80" s="19"/>
      <c r="B80" s="20"/>
      <c r="C80" s="20" t="s">
        <v>222</v>
      </c>
      <c r="D80" s="21"/>
      <c r="E80" s="8"/>
      <c r="F80" s="23">
        <f>Source!AN33</f>
        <v>16864.419999999998</v>
      </c>
      <c r="G80" s="22" t="str">
        <f>Source!DF33</f>
        <v/>
      </c>
      <c r="H80" s="8">
        <f>Source!AV33</f>
        <v>1</v>
      </c>
      <c r="I80" s="8">
        <f>IF(Source!BS33&lt;&gt; 0, Source!BS33, 1)</f>
        <v>1</v>
      </c>
      <c r="J80" s="26">
        <f>Source!R33</f>
        <v>7614.29</v>
      </c>
      <c r="K80" s="24"/>
    </row>
    <row r="81" spans="1:22" ht="14.25" x14ac:dyDescent="0.2">
      <c r="A81" s="19"/>
      <c r="B81" s="20"/>
      <c r="C81" s="20" t="s">
        <v>223</v>
      </c>
      <c r="D81" s="21"/>
      <c r="E81" s="8"/>
      <c r="F81" s="23">
        <f>Source!AL33</f>
        <v>0</v>
      </c>
      <c r="G81" s="22" t="str">
        <f>Source!DD33</f>
        <v/>
      </c>
      <c r="H81" s="8">
        <f>Source!AW33</f>
        <v>1</v>
      </c>
      <c r="I81" s="8">
        <f>IF(Source!BC33&lt;&gt; 0, Source!BC33, 1)</f>
        <v>1</v>
      </c>
      <c r="J81" s="24">
        <f>Source!P33</f>
        <v>0</v>
      </c>
      <c r="K81" s="24"/>
    </row>
    <row r="82" spans="1:22" ht="14.25" x14ac:dyDescent="0.2">
      <c r="A82" s="19"/>
      <c r="B82" s="20"/>
      <c r="C82" s="20" t="s">
        <v>224</v>
      </c>
      <c r="D82" s="21" t="s">
        <v>225</v>
      </c>
      <c r="E82" s="8">
        <f>Source!AT33</f>
        <v>70</v>
      </c>
      <c r="F82" s="23"/>
      <c r="G82" s="22"/>
      <c r="H82" s="8"/>
      <c r="I82" s="8"/>
      <c r="J82" s="24">
        <f>SUM(R77:R81)</f>
        <v>9588.3700000000008</v>
      </c>
      <c r="K82" s="24"/>
    </row>
    <row r="83" spans="1:22" ht="14.25" x14ac:dyDescent="0.2">
      <c r="A83" s="19"/>
      <c r="B83" s="20"/>
      <c r="C83" s="20" t="s">
        <v>226</v>
      </c>
      <c r="D83" s="21" t="s">
        <v>225</v>
      </c>
      <c r="E83" s="8">
        <f>Source!AU33</f>
        <v>10</v>
      </c>
      <c r="F83" s="23"/>
      <c r="G83" s="22"/>
      <c r="H83" s="8"/>
      <c r="I83" s="8"/>
      <c r="J83" s="24">
        <f>SUM(T77:T82)</f>
        <v>1369.77</v>
      </c>
      <c r="K83" s="24"/>
    </row>
    <row r="84" spans="1:22" ht="14.25" x14ac:dyDescent="0.2">
      <c r="A84" s="19"/>
      <c r="B84" s="20"/>
      <c r="C84" s="20" t="s">
        <v>227</v>
      </c>
      <c r="D84" s="21" t="s">
        <v>225</v>
      </c>
      <c r="E84" s="8">
        <f>108</f>
        <v>108</v>
      </c>
      <c r="F84" s="23"/>
      <c r="G84" s="22"/>
      <c r="H84" s="8"/>
      <c r="I84" s="8"/>
      <c r="J84" s="24">
        <f>SUM(V77:V83)</f>
        <v>8223.43</v>
      </c>
      <c r="K84" s="24"/>
    </row>
    <row r="85" spans="1:22" ht="14.25" x14ac:dyDescent="0.2">
      <c r="A85" s="19"/>
      <c r="B85" s="20"/>
      <c r="C85" s="20" t="s">
        <v>228</v>
      </c>
      <c r="D85" s="21" t="s">
        <v>229</v>
      </c>
      <c r="E85" s="8">
        <f>Source!AQ33</f>
        <v>155</v>
      </c>
      <c r="F85" s="23"/>
      <c r="G85" s="22" t="str">
        <f>Source!DI33</f>
        <v/>
      </c>
      <c r="H85" s="8">
        <f>Source!AV33</f>
        <v>1</v>
      </c>
      <c r="I85" s="8"/>
      <c r="J85" s="24"/>
      <c r="K85" s="24">
        <f>Source!U33</f>
        <v>69.982500000000002</v>
      </c>
    </row>
    <row r="86" spans="1:22" ht="15" x14ac:dyDescent="0.25">
      <c r="A86" s="29"/>
      <c r="B86" s="29"/>
      <c r="C86" s="29"/>
      <c r="D86" s="29"/>
      <c r="E86" s="29"/>
      <c r="F86" s="29"/>
      <c r="G86" s="29"/>
      <c r="H86" s="29"/>
      <c r="I86" s="68">
        <f>J78+J79+J81+J82+J83+J84</f>
        <v>46671.979999999996</v>
      </c>
      <c r="J86" s="68"/>
      <c r="K86" s="30">
        <f>IF(Source!I33&lt;&gt;0, ROUND(I86/Source!I33, 2), 0)</f>
        <v>103370.94</v>
      </c>
      <c r="P86" s="27">
        <f>I86</f>
        <v>46671.979999999996</v>
      </c>
    </row>
    <row r="87" spans="1:22" ht="71.25" x14ac:dyDescent="0.2">
      <c r="A87" s="19" t="str">
        <f>Source!E34</f>
        <v>6</v>
      </c>
      <c r="B87" s="20" t="str">
        <f>Source!F34</f>
        <v>2.1-3103-19-4/1</v>
      </c>
      <c r="C87" s="20" t="str">
        <f>Source!G34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87" s="21" t="str">
        <f>Source!H34</f>
        <v>100 м2</v>
      </c>
      <c r="E87" s="8">
        <f>Source!I34</f>
        <v>6.45</v>
      </c>
      <c r="F87" s="23"/>
      <c r="G87" s="22"/>
      <c r="H87" s="8"/>
      <c r="I87" s="8"/>
      <c r="J87" s="24"/>
      <c r="K87" s="24"/>
      <c r="Q87">
        <f>ROUND((Source!BZ34/100)*ROUND((Source!AF34*Source!AV34)*Source!I34, 2), 2)</f>
        <v>10632.78</v>
      </c>
      <c r="R87">
        <f>Source!X34</f>
        <v>10632.78</v>
      </c>
      <c r="S87">
        <f>ROUND((Source!CA34/100)*ROUND((Source!AF34*Source!AV34)*Source!I34, 2), 2)</f>
        <v>1518.97</v>
      </c>
      <c r="T87">
        <f>Source!Y34</f>
        <v>1518.97</v>
      </c>
      <c r="U87">
        <f>ROUND((175/100)*ROUND((Source!AE34*Source!AV34)*Source!I34, 2), 2)</f>
        <v>5324.53</v>
      </c>
      <c r="V87">
        <f>ROUND((108/100)*ROUND(Source!CS34*Source!I34, 2), 2)</f>
        <v>3286</v>
      </c>
    </row>
    <row r="88" spans="1:22" x14ac:dyDescent="0.2">
      <c r="C88" s="25" t="str">
        <f>"Объем: "&amp;Source!I34&amp;"=645/"&amp;"100"</f>
        <v>Объем: 6,45=645/100</v>
      </c>
    </row>
    <row r="89" spans="1:22" ht="14.25" x14ac:dyDescent="0.2">
      <c r="A89" s="19"/>
      <c r="B89" s="20"/>
      <c r="C89" s="20" t="s">
        <v>220</v>
      </c>
      <c r="D89" s="21"/>
      <c r="E89" s="8"/>
      <c r="F89" s="23">
        <f>Source!AO34</f>
        <v>2354.9899999999998</v>
      </c>
      <c r="G89" s="22" t="str">
        <f>Source!DG34</f>
        <v/>
      </c>
      <c r="H89" s="8">
        <f>Source!AV34</f>
        <v>1</v>
      </c>
      <c r="I89" s="8">
        <f>IF(Source!BA34&lt;&gt; 0, Source!BA34, 1)</f>
        <v>1</v>
      </c>
      <c r="J89" s="24">
        <f>Source!S34</f>
        <v>15189.69</v>
      </c>
      <c r="K89" s="24"/>
    </row>
    <row r="90" spans="1:22" ht="14.25" x14ac:dyDescent="0.2">
      <c r="A90" s="19"/>
      <c r="B90" s="20"/>
      <c r="C90" s="20" t="s">
        <v>221</v>
      </c>
      <c r="D90" s="21"/>
      <c r="E90" s="8"/>
      <c r="F90" s="23">
        <f>Source!AM34</f>
        <v>1123.06</v>
      </c>
      <c r="G90" s="22" t="str">
        <f>Source!DE34</f>
        <v/>
      </c>
      <c r="H90" s="8">
        <f>Source!AV34</f>
        <v>1</v>
      </c>
      <c r="I90" s="8">
        <f>IF(Source!BB34&lt;&gt; 0, Source!BB34, 1)</f>
        <v>1</v>
      </c>
      <c r="J90" s="24">
        <f>Source!Q34</f>
        <v>7243.74</v>
      </c>
      <c r="K90" s="24"/>
    </row>
    <row r="91" spans="1:22" ht="14.25" x14ac:dyDescent="0.2">
      <c r="A91" s="19"/>
      <c r="B91" s="20"/>
      <c r="C91" s="20" t="s">
        <v>222</v>
      </c>
      <c r="D91" s="21"/>
      <c r="E91" s="8"/>
      <c r="F91" s="23">
        <f>Source!AN34</f>
        <v>471.72</v>
      </c>
      <c r="G91" s="22" t="str">
        <f>Source!DF34</f>
        <v/>
      </c>
      <c r="H91" s="8">
        <f>Source!AV34</f>
        <v>1</v>
      </c>
      <c r="I91" s="8">
        <f>IF(Source!BS34&lt;&gt; 0, Source!BS34, 1)</f>
        <v>1</v>
      </c>
      <c r="J91" s="26">
        <f>Source!R34</f>
        <v>3042.59</v>
      </c>
      <c r="K91" s="24"/>
    </row>
    <row r="92" spans="1:22" ht="14.25" x14ac:dyDescent="0.2">
      <c r="A92" s="19"/>
      <c r="B92" s="20"/>
      <c r="C92" s="20" t="s">
        <v>223</v>
      </c>
      <c r="D92" s="21"/>
      <c r="E92" s="8"/>
      <c r="F92" s="23">
        <f>Source!AL34</f>
        <v>20488.849999999999</v>
      </c>
      <c r="G92" s="22" t="str">
        <f>Source!DD34</f>
        <v/>
      </c>
      <c r="H92" s="8">
        <f>Source!AW34</f>
        <v>1</v>
      </c>
      <c r="I92" s="8">
        <f>IF(Source!BC34&lt;&gt; 0, Source!BC34, 1)</f>
        <v>1</v>
      </c>
      <c r="J92" s="24">
        <f>Source!P34</f>
        <v>132153.07999999999</v>
      </c>
      <c r="K92" s="24"/>
    </row>
    <row r="93" spans="1:22" ht="14.25" x14ac:dyDescent="0.2">
      <c r="A93" s="19"/>
      <c r="B93" s="20"/>
      <c r="C93" s="20" t="s">
        <v>224</v>
      </c>
      <c r="D93" s="21" t="s">
        <v>225</v>
      </c>
      <c r="E93" s="8">
        <f>Source!AT34</f>
        <v>70</v>
      </c>
      <c r="F93" s="23"/>
      <c r="G93" s="22"/>
      <c r="H93" s="8"/>
      <c r="I93" s="8"/>
      <c r="J93" s="24">
        <f>SUM(R87:R92)</f>
        <v>10632.78</v>
      </c>
      <c r="K93" s="24"/>
    </row>
    <row r="94" spans="1:22" ht="14.25" x14ac:dyDescent="0.2">
      <c r="A94" s="19"/>
      <c r="B94" s="20"/>
      <c r="C94" s="20" t="s">
        <v>226</v>
      </c>
      <c r="D94" s="21" t="s">
        <v>225</v>
      </c>
      <c r="E94" s="8">
        <f>Source!AU34</f>
        <v>10</v>
      </c>
      <c r="F94" s="23"/>
      <c r="G94" s="22"/>
      <c r="H94" s="8"/>
      <c r="I94" s="8"/>
      <c r="J94" s="24">
        <f>SUM(T87:T93)</f>
        <v>1518.97</v>
      </c>
      <c r="K94" s="24"/>
    </row>
    <row r="95" spans="1:22" ht="14.25" x14ac:dyDescent="0.2">
      <c r="A95" s="19"/>
      <c r="B95" s="20"/>
      <c r="C95" s="20" t="s">
        <v>227</v>
      </c>
      <c r="D95" s="21" t="s">
        <v>225</v>
      </c>
      <c r="E95" s="8">
        <f>108</f>
        <v>108</v>
      </c>
      <c r="F95" s="23"/>
      <c r="G95" s="22"/>
      <c r="H95" s="8"/>
      <c r="I95" s="8"/>
      <c r="J95" s="24">
        <f>SUM(V87:V94)</f>
        <v>3286</v>
      </c>
      <c r="K95" s="24"/>
    </row>
    <row r="96" spans="1:22" ht="14.25" x14ac:dyDescent="0.2">
      <c r="A96" s="19"/>
      <c r="B96" s="20"/>
      <c r="C96" s="20" t="s">
        <v>228</v>
      </c>
      <c r="D96" s="21" t="s">
        <v>229</v>
      </c>
      <c r="E96" s="8">
        <f>Source!AQ34</f>
        <v>10.3</v>
      </c>
      <c r="F96" s="23"/>
      <c r="G96" s="22" t="str">
        <f>Source!DI34</f>
        <v/>
      </c>
      <c r="H96" s="8">
        <f>Source!AV34</f>
        <v>1</v>
      </c>
      <c r="I96" s="8"/>
      <c r="J96" s="24"/>
      <c r="K96" s="24">
        <f>Source!U34</f>
        <v>66.435000000000002</v>
      </c>
    </row>
    <row r="97" spans="1:32" ht="15" x14ac:dyDescent="0.25">
      <c r="A97" s="29"/>
      <c r="B97" s="29"/>
      <c r="C97" s="29"/>
      <c r="D97" s="29"/>
      <c r="E97" s="29"/>
      <c r="F97" s="29"/>
      <c r="G97" s="29"/>
      <c r="H97" s="29"/>
      <c r="I97" s="68">
        <f>J89+J90+J92+J93+J94+J95</f>
        <v>170024.25999999998</v>
      </c>
      <c r="J97" s="68"/>
      <c r="K97" s="30">
        <f>IF(Source!I34&lt;&gt;0, ROUND(I97/Source!I34, 2), 0)</f>
        <v>26360.35</v>
      </c>
      <c r="P97" s="27">
        <f>I97</f>
        <v>170024.25999999998</v>
      </c>
    </row>
    <row r="98" spans="1:32" ht="71.25" x14ac:dyDescent="0.2">
      <c r="A98" s="19" t="str">
        <f>Source!E35</f>
        <v>7</v>
      </c>
      <c r="B98" s="20" t="str">
        <f>Source!F35</f>
        <v>2.1-3103-19-3/2</v>
      </c>
      <c r="C98" s="20" t="str">
        <f>Source!G35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D98" s="21" t="str">
        <f>Source!H35</f>
        <v>100 м2</v>
      </c>
      <c r="E98" s="8">
        <f>Source!I35</f>
        <v>6.45</v>
      </c>
      <c r="F98" s="23"/>
      <c r="G98" s="22"/>
      <c r="H98" s="8"/>
      <c r="I98" s="8"/>
      <c r="J98" s="24"/>
      <c r="K98" s="24"/>
      <c r="Q98">
        <f>ROUND((Source!BZ35/100)*ROUND((Source!AF35*Source!AV35)*Source!I35, 2), 2)</f>
        <v>10632.78</v>
      </c>
      <c r="R98">
        <f>Source!X35</f>
        <v>10632.78</v>
      </c>
      <c r="S98">
        <f>ROUND((Source!CA35/100)*ROUND((Source!AF35*Source!AV35)*Source!I35, 2), 2)</f>
        <v>1518.97</v>
      </c>
      <c r="T98">
        <f>Source!Y35</f>
        <v>1518.97</v>
      </c>
      <c r="U98">
        <f>ROUND((175/100)*ROUND((Source!AE35*Source!AV35)*Source!I35, 2), 2)</f>
        <v>5324.53</v>
      </c>
      <c r="V98">
        <f>ROUND((108/100)*ROUND(Source!CS35*Source!I35, 2), 2)</f>
        <v>3286</v>
      </c>
    </row>
    <row r="99" spans="1:32" x14ac:dyDescent="0.2">
      <c r="C99" s="25" t="str">
        <f>"Объем: "&amp;Source!I35&amp;"=645/"&amp;"100"</f>
        <v>Объем: 6,45=645/100</v>
      </c>
    </row>
    <row r="100" spans="1:32" ht="14.25" x14ac:dyDescent="0.2">
      <c r="A100" s="19"/>
      <c r="B100" s="20"/>
      <c r="C100" s="20" t="s">
        <v>220</v>
      </c>
      <c r="D100" s="21"/>
      <c r="E100" s="8"/>
      <c r="F100" s="23">
        <f>Source!AO35</f>
        <v>2354.9899999999998</v>
      </c>
      <c r="G100" s="22" t="str">
        <f>Source!DG35</f>
        <v/>
      </c>
      <c r="H100" s="8">
        <f>Source!AV35</f>
        <v>1</v>
      </c>
      <c r="I100" s="8">
        <f>IF(Source!BA35&lt;&gt; 0, Source!BA35, 1)</f>
        <v>1</v>
      </c>
      <c r="J100" s="24">
        <f>Source!S35</f>
        <v>15189.69</v>
      </c>
      <c r="K100" s="24"/>
    </row>
    <row r="101" spans="1:32" ht="14.25" x14ac:dyDescent="0.2">
      <c r="A101" s="19"/>
      <c r="B101" s="20"/>
      <c r="C101" s="20" t="s">
        <v>221</v>
      </c>
      <c r="D101" s="21"/>
      <c r="E101" s="8"/>
      <c r="F101" s="23">
        <f>Source!AM35</f>
        <v>1123.06</v>
      </c>
      <c r="G101" s="22" t="str">
        <f>Source!DE35</f>
        <v/>
      </c>
      <c r="H101" s="8">
        <f>Source!AV35</f>
        <v>1</v>
      </c>
      <c r="I101" s="8">
        <f>IF(Source!BB35&lt;&gt; 0, Source!BB35, 1)</f>
        <v>1</v>
      </c>
      <c r="J101" s="24">
        <f>Source!Q35</f>
        <v>7243.74</v>
      </c>
      <c r="K101" s="24"/>
    </row>
    <row r="102" spans="1:32" ht="14.25" x14ac:dyDescent="0.2">
      <c r="A102" s="19"/>
      <c r="B102" s="20"/>
      <c r="C102" s="20" t="s">
        <v>222</v>
      </c>
      <c r="D102" s="21"/>
      <c r="E102" s="8"/>
      <c r="F102" s="23">
        <f>Source!AN35</f>
        <v>471.72</v>
      </c>
      <c r="G102" s="22" t="str">
        <f>Source!DF35</f>
        <v/>
      </c>
      <c r="H102" s="8">
        <f>Source!AV35</f>
        <v>1</v>
      </c>
      <c r="I102" s="8">
        <f>IF(Source!BS35&lt;&gt; 0, Source!BS35, 1)</f>
        <v>1</v>
      </c>
      <c r="J102" s="26">
        <f>Source!R35</f>
        <v>3042.59</v>
      </c>
      <c r="K102" s="24"/>
    </row>
    <row r="103" spans="1:32" ht="14.25" x14ac:dyDescent="0.2">
      <c r="A103" s="19"/>
      <c r="B103" s="20"/>
      <c r="C103" s="20" t="s">
        <v>223</v>
      </c>
      <c r="D103" s="21"/>
      <c r="E103" s="8"/>
      <c r="F103" s="23">
        <f>Source!AL35</f>
        <v>29898.33</v>
      </c>
      <c r="G103" s="22" t="str">
        <f>Source!DD35</f>
        <v/>
      </c>
      <c r="H103" s="8">
        <f>Source!AW35</f>
        <v>1</v>
      </c>
      <c r="I103" s="8">
        <f>IF(Source!BC35&lt;&gt; 0, Source!BC35, 1)</f>
        <v>1</v>
      </c>
      <c r="J103" s="24">
        <f>Source!P35</f>
        <v>192844.23</v>
      </c>
      <c r="K103" s="24"/>
    </row>
    <row r="104" spans="1:32" ht="14.25" x14ac:dyDescent="0.2">
      <c r="A104" s="19"/>
      <c r="B104" s="20"/>
      <c r="C104" s="20" t="s">
        <v>224</v>
      </c>
      <c r="D104" s="21" t="s">
        <v>225</v>
      </c>
      <c r="E104" s="8">
        <f>Source!AT35</f>
        <v>70</v>
      </c>
      <c r="F104" s="23"/>
      <c r="G104" s="22"/>
      <c r="H104" s="8"/>
      <c r="I104" s="8"/>
      <c r="J104" s="24">
        <f>SUM(R98:R103)</f>
        <v>10632.78</v>
      </c>
      <c r="K104" s="24"/>
    </row>
    <row r="105" spans="1:32" ht="14.25" x14ac:dyDescent="0.2">
      <c r="A105" s="19"/>
      <c r="B105" s="20"/>
      <c r="C105" s="20" t="s">
        <v>226</v>
      </c>
      <c r="D105" s="21" t="s">
        <v>225</v>
      </c>
      <c r="E105" s="8">
        <f>Source!AU35</f>
        <v>10</v>
      </c>
      <c r="F105" s="23"/>
      <c r="G105" s="22"/>
      <c r="H105" s="8"/>
      <c r="I105" s="8"/>
      <c r="J105" s="24">
        <f>SUM(T98:T104)</f>
        <v>1518.97</v>
      </c>
      <c r="K105" s="24"/>
    </row>
    <row r="106" spans="1:32" ht="14.25" x14ac:dyDescent="0.2">
      <c r="A106" s="19"/>
      <c r="B106" s="20"/>
      <c r="C106" s="20" t="s">
        <v>227</v>
      </c>
      <c r="D106" s="21" t="s">
        <v>225</v>
      </c>
      <c r="E106" s="8">
        <f>108</f>
        <v>108</v>
      </c>
      <c r="F106" s="23"/>
      <c r="G106" s="22"/>
      <c r="H106" s="8"/>
      <c r="I106" s="8"/>
      <c r="J106" s="24">
        <f>SUM(V98:V105)</f>
        <v>3286</v>
      </c>
      <c r="K106" s="24"/>
    </row>
    <row r="107" spans="1:32" ht="14.25" x14ac:dyDescent="0.2">
      <c r="A107" s="19"/>
      <c r="B107" s="20"/>
      <c r="C107" s="20" t="s">
        <v>228</v>
      </c>
      <c r="D107" s="21" t="s">
        <v>229</v>
      </c>
      <c r="E107" s="8">
        <f>Source!AQ35</f>
        <v>10.3</v>
      </c>
      <c r="F107" s="23"/>
      <c r="G107" s="22" t="str">
        <f>Source!DI35</f>
        <v/>
      </c>
      <c r="H107" s="8">
        <f>Source!AV35</f>
        <v>1</v>
      </c>
      <c r="I107" s="8"/>
      <c r="J107" s="24"/>
      <c r="K107" s="24">
        <f>Source!U35</f>
        <v>66.435000000000002</v>
      </c>
    </row>
    <row r="108" spans="1:32" ht="15" x14ac:dyDescent="0.25">
      <c r="A108" s="29"/>
      <c r="B108" s="29"/>
      <c r="C108" s="29"/>
      <c r="D108" s="29"/>
      <c r="E108" s="29"/>
      <c r="F108" s="29"/>
      <c r="G108" s="29"/>
      <c r="H108" s="29"/>
      <c r="I108" s="68">
        <f>J100+J101+J103+J104+J105+J106</f>
        <v>230715.41</v>
      </c>
      <c r="J108" s="68"/>
      <c r="K108" s="30">
        <f>IF(Source!I35&lt;&gt;0, ROUND(I108/Source!I35, 2), 0)</f>
        <v>35769.83</v>
      </c>
      <c r="P108" s="27">
        <f>I108</f>
        <v>230715.41</v>
      </c>
    </row>
    <row r="110" spans="1:32" ht="15" x14ac:dyDescent="0.25">
      <c r="A110" s="71" t="str">
        <f>CONCATENATE("Итого по разделу: ",IF(Source!G37&lt;&gt;"Новый раздел", Source!G37, ""))</f>
        <v>Итого по разделу: Головное здание по адресу г. Москва, ул. Авиаконструктора Миля, дом 5, корпус 1</v>
      </c>
      <c r="B110" s="71"/>
      <c r="C110" s="71"/>
      <c r="D110" s="71"/>
      <c r="E110" s="71"/>
      <c r="F110" s="71"/>
      <c r="G110" s="71"/>
      <c r="H110" s="71"/>
      <c r="I110" s="69">
        <f>SUM(P31:P109)</f>
        <v>504245.88</v>
      </c>
      <c r="J110" s="70"/>
      <c r="K110" s="32"/>
      <c r="AF110" s="33" t="str">
        <f>CONCATENATE("Итого по разделу: ",IF(Source!G37&lt;&gt;"Новый раздел", Source!G37, ""))</f>
        <v>Итого по разделу: Головное здание по адресу г. Москва, ул. Авиаконструктора Миля, дом 5, корпус 1</v>
      </c>
    </row>
    <row r="113" spans="1:22" ht="16.5" x14ac:dyDescent="0.25">
      <c r="A113" s="67" t="str">
        <f>CONCATENATE("Раздел: ",IF(Source!G67&lt;&gt;"Новый раздел", Source!G67, ""))</f>
        <v>Раздел: Филиал №4 по адресу г. Москва, Хвалынский бульвар, дом 10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</row>
    <row r="114" spans="1:22" ht="28.5" x14ac:dyDescent="0.2">
      <c r="A114" s="19" t="str">
        <f>Source!E71</f>
        <v>8</v>
      </c>
      <c r="B114" s="20" t="str">
        <f>Source!F71</f>
        <v>2.1-3104-1-4/1</v>
      </c>
      <c r="C114" s="20" t="str">
        <f>Source!G71</f>
        <v>Разборка покрытий и оснований асфальтобетонных</v>
      </c>
      <c r="D114" s="21" t="str">
        <f>Source!H71</f>
        <v>100 м3</v>
      </c>
      <c r="E114" s="8">
        <f>Source!I71</f>
        <v>0.26250000000000001</v>
      </c>
      <c r="F114" s="23"/>
      <c r="G114" s="22"/>
      <c r="H114" s="8"/>
      <c r="I114" s="8"/>
      <c r="J114" s="24"/>
      <c r="K114" s="24"/>
      <c r="Q114">
        <f>ROUND((Source!BZ71/100)*ROUND((Source!AF71*Source!AV71)*Source!I71, 2), 2)</f>
        <v>5574.63</v>
      </c>
      <c r="R114">
        <f>Source!X71</f>
        <v>5574.63</v>
      </c>
      <c r="S114">
        <f>ROUND((Source!CA71/100)*ROUND((Source!AF71*Source!AV71)*Source!I71, 2), 2)</f>
        <v>796.38</v>
      </c>
      <c r="T114">
        <f>Source!Y71</f>
        <v>796.38</v>
      </c>
      <c r="U114">
        <f>ROUND((175/100)*ROUND((Source!AE71*Source!AV71)*Source!I71, 2), 2)</f>
        <v>7747.09</v>
      </c>
      <c r="V114">
        <f>ROUND((108/100)*ROUND(Source!CS71*Source!I71, 2), 2)</f>
        <v>4781.0600000000004</v>
      </c>
    </row>
    <row r="115" spans="1:22" ht="14.25" x14ac:dyDescent="0.2">
      <c r="A115" s="19"/>
      <c r="B115" s="20"/>
      <c r="C115" s="20" t="s">
        <v>220</v>
      </c>
      <c r="D115" s="21"/>
      <c r="E115" s="8"/>
      <c r="F115" s="23">
        <f>Source!AO71</f>
        <v>30338.15</v>
      </c>
      <c r="G115" s="22" t="str">
        <f>Source!DG71</f>
        <v/>
      </c>
      <c r="H115" s="8">
        <f>Source!AV71</f>
        <v>1</v>
      </c>
      <c r="I115" s="8">
        <f>IF(Source!BA71&lt;&gt; 0, Source!BA71, 1)</f>
        <v>1</v>
      </c>
      <c r="J115" s="24">
        <f>Source!S71</f>
        <v>7963.76</v>
      </c>
      <c r="K115" s="24"/>
    </row>
    <row r="116" spans="1:22" ht="14.25" x14ac:dyDescent="0.2">
      <c r="A116" s="19"/>
      <c r="B116" s="20"/>
      <c r="C116" s="20" t="s">
        <v>221</v>
      </c>
      <c r="D116" s="21"/>
      <c r="E116" s="8"/>
      <c r="F116" s="23">
        <f>Source!AM71</f>
        <v>30548.7</v>
      </c>
      <c r="G116" s="22" t="str">
        <f>Source!DE71</f>
        <v/>
      </c>
      <c r="H116" s="8">
        <f>Source!AV71</f>
        <v>1</v>
      </c>
      <c r="I116" s="8">
        <f>IF(Source!BB71&lt;&gt; 0, Source!BB71, 1)</f>
        <v>1</v>
      </c>
      <c r="J116" s="24">
        <f>Source!Q71</f>
        <v>8019.03</v>
      </c>
      <c r="K116" s="24"/>
    </row>
    <row r="117" spans="1:22" ht="14.25" x14ac:dyDescent="0.2">
      <c r="A117" s="19"/>
      <c r="B117" s="20"/>
      <c r="C117" s="20" t="s">
        <v>222</v>
      </c>
      <c r="D117" s="21"/>
      <c r="E117" s="8"/>
      <c r="F117" s="23">
        <f>Source!AN71</f>
        <v>16864.419999999998</v>
      </c>
      <c r="G117" s="22" t="str">
        <f>Source!DF71</f>
        <v/>
      </c>
      <c r="H117" s="8">
        <f>Source!AV71</f>
        <v>1</v>
      </c>
      <c r="I117" s="8">
        <f>IF(Source!BS71&lt;&gt; 0, Source!BS71, 1)</f>
        <v>1</v>
      </c>
      <c r="J117" s="26">
        <f>Source!R71</f>
        <v>4426.91</v>
      </c>
      <c r="K117" s="24"/>
    </row>
    <row r="118" spans="1:22" ht="14.25" x14ac:dyDescent="0.2">
      <c r="A118" s="19"/>
      <c r="B118" s="20"/>
      <c r="C118" s="20" t="s">
        <v>223</v>
      </c>
      <c r="D118" s="21"/>
      <c r="E118" s="8"/>
      <c r="F118" s="23">
        <f>Source!AL71</f>
        <v>0</v>
      </c>
      <c r="G118" s="22" t="str">
        <f>Source!DD71</f>
        <v/>
      </c>
      <c r="H118" s="8">
        <f>Source!AW71</f>
        <v>1</v>
      </c>
      <c r="I118" s="8">
        <f>IF(Source!BC71&lt;&gt; 0, Source!BC71, 1)</f>
        <v>1</v>
      </c>
      <c r="J118" s="24">
        <f>Source!P71</f>
        <v>0</v>
      </c>
      <c r="K118" s="24"/>
    </row>
    <row r="119" spans="1:22" ht="14.25" x14ac:dyDescent="0.2">
      <c r="A119" s="19"/>
      <c r="B119" s="20"/>
      <c r="C119" s="20" t="s">
        <v>224</v>
      </c>
      <c r="D119" s="21" t="s">
        <v>225</v>
      </c>
      <c r="E119" s="8">
        <f>Source!AT71</f>
        <v>70</v>
      </c>
      <c r="F119" s="23"/>
      <c r="G119" s="22"/>
      <c r="H119" s="8"/>
      <c r="I119" s="8"/>
      <c r="J119" s="24">
        <f>SUM(R114:R118)</f>
        <v>5574.63</v>
      </c>
      <c r="K119" s="24"/>
    </row>
    <row r="120" spans="1:22" ht="14.25" x14ac:dyDescent="0.2">
      <c r="A120" s="19"/>
      <c r="B120" s="20"/>
      <c r="C120" s="20" t="s">
        <v>226</v>
      </c>
      <c r="D120" s="21" t="s">
        <v>225</v>
      </c>
      <c r="E120" s="8">
        <f>Source!AU71</f>
        <v>10</v>
      </c>
      <c r="F120" s="23"/>
      <c r="G120" s="22"/>
      <c r="H120" s="8"/>
      <c r="I120" s="8"/>
      <c r="J120" s="24">
        <f>SUM(T114:T119)</f>
        <v>796.38</v>
      </c>
      <c r="K120" s="24"/>
    </row>
    <row r="121" spans="1:22" ht="14.25" x14ac:dyDescent="0.2">
      <c r="A121" s="19"/>
      <c r="B121" s="20"/>
      <c r="C121" s="20" t="s">
        <v>227</v>
      </c>
      <c r="D121" s="21" t="s">
        <v>225</v>
      </c>
      <c r="E121" s="8">
        <f>108</f>
        <v>108</v>
      </c>
      <c r="F121" s="23"/>
      <c r="G121" s="22"/>
      <c r="H121" s="8"/>
      <c r="I121" s="8"/>
      <c r="J121" s="24">
        <f>SUM(V114:V120)</f>
        <v>4781.0600000000004</v>
      </c>
      <c r="K121" s="24"/>
    </row>
    <row r="122" spans="1:22" ht="14.25" x14ac:dyDescent="0.2">
      <c r="A122" s="19"/>
      <c r="B122" s="20"/>
      <c r="C122" s="20" t="s">
        <v>228</v>
      </c>
      <c r="D122" s="21" t="s">
        <v>229</v>
      </c>
      <c r="E122" s="8">
        <f>Source!AQ71</f>
        <v>155</v>
      </c>
      <c r="F122" s="23"/>
      <c r="G122" s="22" t="str">
        <f>Source!DI71</f>
        <v/>
      </c>
      <c r="H122" s="8">
        <f>Source!AV71</f>
        <v>1</v>
      </c>
      <c r="I122" s="8"/>
      <c r="J122" s="24"/>
      <c r="K122" s="24">
        <f>Source!U71</f>
        <v>40.6875</v>
      </c>
    </row>
    <row r="123" spans="1:22" ht="15" x14ac:dyDescent="0.25">
      <c r="A123" s="29"/>
      <c r="B123" s="29"/>
      <c r="C123" s="29"/>
      <c r="D123" s="29"/>
      <c r="E123" s="29"/>
      <c r="F123" s="29"/>
      <c r="G123" s="29"/>
      <c r="H123" s="29"/>
      <c r="I123" s="68">
        <f>J115+J116+J118+J119+J120+J121</f>
        <v>27134.860000000004</v>
      </c>
      <c r="J123" s="68"/>
      <c r="K123" s="30">
        <f>IF(Source!I71&lt;&gt;0, ROUND(I123/Source!I71, 2), 0)</f>
        <v>103370.9</v>
      </c>
      <c r="P123" s="27">
        <f>I123</f>
        <v>27134.860000000004</v>
      </c>
    </row>
    <row r="124" spans="1:22" ht="71.25" x14ac:dyDescent="0.2">
      <c r="A124" s="19" t="str">
        <f>Source!E72</f>
        <v>9</v>
      </c>
      <c r="B124" s="20" t="str">
        <f>Source!F72</f>
        <v>2.1-3103-19-4/1</v>
      </c>
      <c r="C124" s="20" t="str">
        <f>Source!G72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124" s="21" t="str">
        <f>Source!H72</f>
        <v>100 м2</v>
      </c>
      <c r="E124" s="8">
        <f>Source!I72</f>
        <v>3.5</v>
      </c>
      <c r="F124" s="23"/>
      <c r="G124" s="22"/>
      <c r="H124" s="8"/>
      <c r="I124" s="8"/>
      <c r="J124" s="24"/>
      <c r="K124" s="24"/>
      <c r="Q124">
        <f>ROUND((Source!BZ72/100)*ROUND((Source!AF72*Source!AV72)*Source!I72, 2), 2)</f>
        <v>5769.73</v>
      </c>
      <c r="R124">
        <f>Source!X72</f>
        <v>5769.73</v>
      </c>
      <c r="S124">
        <f>ROUND((Source!CA72/100)*ROUND((Source!AF72*Source!AV72)*Source!I72, 2), 2)</f>
        <v>824.25</v>
      </c>
      <c r="T124">
        <f>Source!Y72</f>
        <v>824.25</v>
      </c>
      <c r="U124">
        <f>ROUND((175/100)*ROUND((Source!AE72*Source!AV72)*Source!I72, 2), 2)</f>
        <v>2889.29</v>
      </c>
      <c r="V124">
        <f>ROUND((108/100)*ROUND(Source!CS72*Source!I72, 2), 2)</f>
        <v>1783.1</v>
      </c>
    </row>
    <row r="125" spans="1:22" x14ac:dyDescent="0.2">
      <c r="C125" s="25" t="str">
        <f>"Объем: "&amp;Source!I72&amp;"=350/"&amp;"100"</f>
        <v>Объем: 3,5=350/100</v>
      </c>
    </row>
    <row r="126" spans="1:22" ht="14.25" x14ac:dyDescent="0.2">
      <c r="A126" s="19"/>
      <c r="B126" s="20"/>
      <c r="C126" s="20" t="s">
        <v>220</v>
      </c>
      <c r="D126" s="21"/>
      <c r="E126" s="8"/>
      <c r="F126" s="23">
        <f>Source!AO72</f>
        <v>2354.9899999999998</v>
      </c>
      <c r="G126" s="22" t="str">
        <f>Source!DG72</f>
        <v/>
      </c>
      <c r="H126" s="8">
        <f>Source!AV72</f>
        <v>1</v>
      </c>
      <c r="I126" s="8">
        <f>IF(Source!BA72&lt;&gt; 0, Source!BA72, 1)</f>
        <v>1</v>
      </c>
      <c r="J126" s="24">
        <f>Source!S72</f>
        <v>8242.4699999999993</v>
      </c>
      <c r="K126" s="24"/>
    </row>
    <row r="127" spans="1:22" ht="14.25" x14ac:dyDescent="0.2">
      <c r="A127" s="19"/>
      <c r="B127" s="20"/>
      <c r="C127" s="20" t="s">
        <v>221</v>
      </c>
      <c r="D127" s="21"/>
      <c r="E127" s="8"/>
      <c r="F127" s="23">
        <f>Source!AM72</f>
        <v>1123.06</v>
      </c>
      <c r="G127" s="22" t="str">
        <f>Source!DE72</f>
        <v/>
      </c>
      <c r="H127" s="8">
        <f>Source!AV72</f>
        <v>1</v>
      </c>
      <c r="I127" s="8">
        <f>IF(Source!BB72&lt;&gt; 0, Source!BB72, 1)</f>
        <v>1</v>
      </c>
      <c r="J127" s="24">
        <f>Source!Q72</f>
        <v>3930.71</v>
      </c>
      <c r="K127" s="24"/>
    </row>
    <row r="128" spans="1:22" ht="14.25" x14ac:dyDescent="0.2">
      <c r="A128" s="19"/>
      <c r="B128" s="20"/>
      <c r="C128" s="20" t="s">
        <v>222</v>
      </c>
      <c r="D128" s="21"/>
      <c r="E128" s="8"/>
      <c r="F128" s="23">
        <f>Source!AN72</f>
        <v>471.72</v>
      </c>
      <c r="G128" s="22" t="str">
        <f>Source!DF72</f>
        <v/>
      </c>
      <c r="H128" s="8">
        <f>Source!AV72</f>
        <v>1</v>
      </c>
      <c r="I128" s="8">
        <f>IF(Source!BS72&lt;&gt; 0, Source!BS72, 1)</f>
        <v>1</v>
      </c>
      <c r="J128" s="26">
        <f>Source!R72</f>
        <v>1651.02</v>
      </c>
      <c r="K128" s="24"/>
    </row>
    <row r="129" spans="1:22" ht="14.25" x14ac:dyDescent="0.2">
      <c r="A129" s="19"/>
      <c r="B129" s="20"/>
      <c r="C129" s="20" t="s">
        <v>223</v>
      </c>
      <c r="D129" s="21"/>
      <c r="E129" s="8"/>
      <c r="F129" s="23">
        <f>Source!AL72</f>
        <v>20488.849999999999</v>
      </c>
      <c r="G129" s="22" t="str">
        <f>Source!DD72</f>
        <v/>
      </c>
      <c r="H129" s="8">
        <f>Source!AW72</f>
        <v>1</v>
      </c>
      <c r="I129" s="8">
        <f>IF(Source!BC72&lt;&gt; 0, Source!BC72, 1)</f>
        <v>1</v>
      </c>
      <c r="J129" s="24">
        <f>Source!P72</f>
        <v>71710.98</v>
      </c>
      <c r="K129" s="24"/>
    </row>
    <row r="130" spans="1:22" ht="14.25" x14ac:dyDescent="0.2">
      <c r="A130" s="19"/>
      <c r="B130" s="20"/>
      <c r="C130" s="20" t="s">
        <v>224</v>
      </c>
      <c r="D130" s="21" t="s">
        <v>225</v>
      </c>
      <c r="E130" s="8">
        <f>Source!AT72</f>
        <v>70</v>
      </c>
      <c r="F130" s="23"/>
      <c r="G130" s="22"/>
      <c r="H130" s="8"/>
      <c r="I130" s="8"/>
      <c r="J130" s="24">
        <f>SUM(R124:R129)</f>
        <v>5769.73</v>
      </c>
      <c r="K130" s="24"/>
    </row>
    <row r="131" spans="1:22" ht="14.25" x14ac:dyDescent="0.2">
      <c r="A131" s="19"/>
      <c r="B131" s="20"/>
      <c r="C131" s="20" t="s">
        <v>226</v>
      </c>
      <c r="D131" s="21" t="s">
        <v>225</v>
      </c>
      <c r="E131" s="8">
        <f>Source!AU72</f>
        <v>10</v>
      </c>
      <c r="F131" s="23"/>
      <c r="G131" s="22"/>
      <c r="H131" s="8"/>
      <c r="I131" s="8"/>
      <c r="J131" s="24">
        <f>SUM(T124:T130)</f>
        <v>824.25</v>
      </c>
      <c r="K131" s="24"/>
    </row>
    <row r="132" spans="1:22" ht="14.25" x14ac:dyDescent="0.2">
      <c r="A132" s="19"/>
      <c r="B132" s="20"/>
      <c r="C132" s="20" t="s">
        <v>227</v>
      </c>
      <c r="D132" s="21" t="s">
        <v>225</v>
      </c>
      <c r="E132" s="8">
        <f>108</f>
        <v>108</v>
      </c>
      <c r="F132" s="23"/>
      <c r="G132" s="22"/>
      <c r="H132" s="8"/>
      <c r="I132" s="8"/>
      <c r="J132" s="24">
        <f>SUM(V124:V131)</f>
        <v>1783.1</v>
      </c>
      <c r="K132" s="24"/>
    </row>
    <row r="133" spans="1:22" ht="14.25" x14ac:dyDescent="0.2">
      <c r="A133" s="19"/>
      <c r="B133" s="20"/>
      <c r="C133" s="20" t="s">
        <v>228</v>
      </c>
      <c r="D133" s="21" t="s">
        <v>229</v>
      </c>
      <c r="E133" s="8">
        <f>Source!AQ72</f>
        <v>10.3</v>
      </c>
      <c r="F133" s="23"/>
      <c r="G133" s="22" t="str">
        <f>Source!DI72</f>
        <v/>
      </c>
      <c r="H133" s="8">
        <f>Source!AV72</f>
        <v>1</v>
      </c>
      <c r="I133" s="8"/>
      <c r="J133" s="24"/>
      <c r="K133" s="24">
        <f>Source!U72</f>
        <v>36.050000000000004</v>
      </c>
    </row>
    <row r="134" spans="1:22" ht="15" x14ac:dyDescent="0.25">
      <c r="A134" s="29"/>
      <c r="B134" s="29"/>
      <c r="C134" s="29"/>
      <c r="D134" s="29"/>
      <c r="E134" s="29"/>
      <c r="F134" s="29"/>
      <c r="G134" s="29"/>
      <c r="H134" s="29"/>
      <c r="I134" s="68">
        <f>J126+J127+J129+J130+J131+J132</f>
        <v>92261.24</v>
      </c>
      <c r="J134" s="68"/>
      <c r="K134" s="30">
        <f>IF(Source!I72&lt;&gt;0, ROUND(I134/Source!I72, 2), 0)</f>
        <v>26360.35</v>
      </c>
      <c r="P134" s="27">
        <f>I134</f>
        <v>92261.24</v>
      </c>
    </row>
    <row r="135" spans="1:22" ht="71.25" x14ac:dyDescent="0.2">
      <c r="A135" s="19" t="str">
        <f>Source!E73</f>
        <v>10</v>
      </c>
      <c r="B135" s="20" t="str">
        <f>Source!F73</f>
        <v>2.1-3103-19-3/2</v>
      </c>
      <c r="C135" s="20" t="str">
        <f>Source!G73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D135" s="21" t="str">
        <f>Source!H73</f>
        <v>100 м2</v>
      </c>
      <c r="E135" s="8">
        <f>Source!I73</f>
        <v>3.5</v>
      </c>
      <c r="F135" s="23"/>
      <c r="G135" s="22"/>
      <c r="H135" s="8"/>
      <c r="I135" s="8"/>
      <c r="J135" s="24"/>
      <c r="K135" s="24"/>
      <c r="Q135">
        <f>ROUND((Source!BZ73/100)*ROUND((Source!AF73*Source!AV73)*Source!I73, 2), 2)</f>
        <v>5769.73</v>
      </c>
      <c r="R135">
        <f>Source!X73</f>
        <v>5769.73</v>
      </c>
      <c r="S135">
        <f>ROUND((Source!CA73/100)*ROUND((Source!AF73*Source!AV73)*Source!I73, 2), 2)</f>
        <v>824.25</v>
      </c>
      <c r="T135">
        <f>Source!Y73</f>
        <v>824.25</v>
      </c>
      <c r="U135">
        <f>ROUND((175/100)*ROUND((Source!AE73*Source!AV73)*Source!I73, 2), 2)</f>
        <v>2889.29</v>
      </c>
      <c r="V135">
        <f>ROUND((108/100)*ROUND(Source!CS73*Source!I73, 2), 2)</f>
        <v>1783.1</v>
      </c>
    </row>
    <row r="136" spans="1:22" x14ac:dyDescent="0.2">
      <c r="C136" s="25" t="str">
        <f>"Объем: "&amp;Source!I73&amp;"=350/"&amp;"100"</f>
        <v>Объем: 3,5=350/100</v>
      </c>
    </row>
    <row r="137" spans="1:22" ht="14.25" x14ac:dyDescent="0.2">
      <c r="A137" s="19"/>
      <c r="B137" s="20"/>
      <c r="C137" s="20" t="s">
        <v>220</v>
      </c>
      <c r="D137" s="21"/>
      <c r="E137" s="8"/>
      <c r="F137" s="23">
        <f>Source!AO73</f>
        <v>2354.9899999999998</v>
      </c>
      <c r="G137" s="22" t="str">
        <f>Source!DG73</f>
        <v/>
      </c>
      <c r="H137" s="8">
        <f>Source!AV73</f>
        <v>1</v>
      </c>
      <c r="I137" s="8">
        <f>IF(Source!BA73&lt;&gt; 0, Source!BA73, 1)</f>
        <v>1</v>
      </c>
      <c r="J137" s="24">
        <f>Source!S73</f>
        <v>8242.4699999999993</v>
      </c>
      <c r="K137" s="24"/>
    </row>
    <row r="138" spans="1:22" ht="14.25" x14ac:dyDescent="0.2">
      <c r="A138" s="19"/>
      <c r="B138" s="20"/>
      <c r="C138" s="20" t="s">
        <v>221</v>
      </c>
      <c r="D138" s="21"/>
      <c r="E138" s="8"/>
      <c r="F138" s="23">
        <f>Source!AM73</f>
        <v>1123.06</v>
      </c>
      <c r="G138" s="22" t="str">
        <f>Source!DE73</f>
        <v/>
      </c>
      <c r="H138" s="8">
        <f>Source!AV73</f>
        <v>1</v>
      </c>
      <c r="I138" s="8">
        <f>IF(Source!BB73&lt;&gt; 0, Source!BB73, 1)</f>
        <v>1</v>
      </c>
      <c r="J138" s="24">
        <f>Source!Q73</f>
        <v>3930.71</v>
      </c>
      <c r="K138" s="24"/>
    </row>
    <row r="139" spans="1:22" ht="14.25" x14ac:dyDescent="0.2">
      <c r="A139" s="19"/>
      <c r="B139" s="20"/>
      <c r="C139" s="20" t="s">
        <v>222</v>
      </c>
      <c r="D139" s="21"/>
      <c r="E139" s="8"/>
      <c r="F139" s="23">
        <f>Source!AN73</f>
        <v>471.72</v>
      </c>
      <c r="G139" s="22" t="str">
        <f>Source!DF73</f>
        <v/>
      </c>
      <c r="H139" s="8">
        <f>Source!AV73</f>
        <v>1</v>
      </c>
      <c r="I139" s="8">
        <f>IF(Source!BS73&lt;&gt; 0, Source!BS73, 1)</f>
        <v>1</v>
      </c>
      <c r="J139" s="26">
        <f>Source!R73</f>
        <v>1651.02</v>
      </c>
      <c r="K139" s="24"/>
    </row>
    <row r="140" spans="1:22" ht="14.25" x14ac:dyDescent="0.2">
      <c r="A140" s="19"/>
      <c r="B140" s="20"/>
      <c r="C140" s="20" t="s">
        <v>223</v>
      </c>
      <c r="D140" s="21"/>
      <c r="E140" s="8"/>
      <c r="F140" s="23">
        <f>Source!AL73</f>
        <v>29898.33</v>
      </c>
      <c r="G140" s="22" t="str">
        <f>Source!DD73</f>
        <v/>
      </c>
      <c r="H140" s="8">
        <f>Source!AW73</f>
        <v>1</v>
      </c>
      <c r="I140" s="8">
        <f>IF(Source!BC73&lt;&gt; 0, Source!BC73, 1)</f>
        <v>1</v>
      </c>
      <c r="J140" s="24">
        <f>Source!P73</f>
        <v>104644.16</v>
      </c>
      <c r="K140" s="24"/>
    </row>
    <row r="141" spans="1:22" ht="14.25" x14ac:dyDescent="0.2">
      <c r="A141" s="19"/>
      <c r="B141" s="20"/>
      <c r="C141" s="20" t="s">
        <v>224</v>
      </c>
      <c r="D141" s="21" t="s">
        <v>225</v>
      </c>
      <c r="E141" s="8">
        <f>Source!AT73</f>
        <v>70</v>
      </c>
      <c r="F141" s="23"/>
      <c r="G141" s="22"/>
      <c r="H141" s="8"/>
      <c r="I141" s="8"/>
      <c r="J141" s="24">
        <f>SUM(R135:R140)</f>
        <v>5769.73</v>
      </c>
      <c r="K141" s="24"/>
    </row>
    <row r="142" spans="1:22" ht="14.25" x14ac:dyDescent="0.2">
      <c r="A142" s="19"/>
      <c r="B142" s="20"/>
      <c r="C142" s="20" t="s">
        <v>226</v>
      </c>
      <c r="D142" s="21" t="s">
        <v>225</v>
      </c>
      <c r="E142" s="8">
        <f>Source!AU73</f>
        <v>10</v>
      </c>
      <c r="F142" s="23"/>
      <c r="G142" s="22"/>
      <c r="H142" s="8"/>
      <c r="I142" s="8"/>
      <c r="J142" s="24">
        <f>SUM(T135:T141)</f>
        <v>824.25</v>
      </c>
      <c r="K142" s="24"/>
    </row>
    <row r="143" spans="1:22" ht="14.25" x14ac:dyDescent="0.2">
      <c r="A143" s="19"/>
      <c r="B143" s="20"/>
      <c r="C143" s="20" t="s">
        <v>227</v>
      </c>
      <c r="D143" s="21" t="s">
        <v>225</v>
      </c>
      <c r="E143" s="8">
        <f>108</f>
        <v>108</v>
      </c>
      <c r="F143" s="23"/>
      <c r="G143" s="22"/>
      <c r="H143" s="8"/>
      <c r="I143" s="8"/>
      <c r="J143" s="24">
        <f>SUM(V135:V142)</f>
        <v>1783.1</v>
      </c>
      <c r="K143" s="24"/>
    </row>
    <row r="144" spans="1:22" ht="14.25" x14ac:dyDescent="0.2">
      <c r="A144" s="19"/>
      <c r="B144" s="20"/>
      <c r="C144" s="20" t="s">
        <v>228</v>
      </c>
      <c r="D144" s="21" t="s">
        <v>229</v>
      </c>
      <c r="E144" s="8">
        <f>Source!AQ73</f>
        <v>10.3</v>
      </c>
      <c r="F144" s="23"/>
      <c r="G144" s="22" t="str">
        <f>Source!DI73</f>
        <v/>
      </c>
      <c r="H144" s="8">
        <f>Source!AV73</f>
        <v>1</v>
      </c>
      <c r="I144" s="8"/>
      <c r="J144" s="24"/>
      <c r="K144" s="24">
        <f>Source!U73</f>
        <v>36.050000000000004</v>
      </c>
    </row>
    <row r="145" spans="1:32" ht="15" x14ac:dyDescent="0.25">
      <c r="A145" s="29"/>
      <c r="B145" s="29"/>
      <c r="C145" s="29"/>
      <c r="D145" s="29"/>
      <c r="E145" s="29"/>
      <c r="F145" s="29"/>
      <c r="G145" s="29"/>
      <c r="H145" s="29"/>
      <c r="I145" s="68">
        <f>J137+J138+J140+J141+J142+J143</f>
        <v>125194.42</v>
      </c>
      <c r="J145" s="68"/>
      <c r="K145" s="30">
        <f>IF(Source!I73&lt;&gt;0, ROUND(I145/Source!I73, 2), 0)</f>
        <v>35769.83</v>
      </c>
      <c r="P145" s="27">
        <f>I145</f>
        <v>125194.42</v>
      </c>
    </row>
    <row r="147" spans="1:32" ht="15" x14ac:dyDescent="0.25">
      <c r="A147" s="71" t="str">
        <f>CONCATENATE("Итого по разделу: ",IF(Source!G75&lt;&gt;"Новый раздел", Source!G75, ""))</f>
        <v>Итого по разделу: Филиал №4 по адресу г. Москва, Хвалынский бульвар, дом 10</v>
      </c>
      <c r="B147" s="71"/>
      <c r="C147" s="71"/>
      <c r="D147" s="71"/>
      <c r="E147" s="71"/>
      <c r="F147" s="71"/>
      <c r="G147" s="71"/>
      <c r="H147" s="71"/>
      <c r="I147" s="69">
        <f>SUM(P113:P146)</f>
        <v>244590.52000000002</v>
      </c>
      <c r="J147" s="70"/>
      <c r="K147" s="32"/>
      <c r="AF147" s="33" t="str">
        <f>CONCATENATE("Итого по разделу: ",IF(Source!G75&lt;&gt;"Новый раздел", Source!G75, ""))</f>
        <v>Итого по разделу: Филиал №4 по адресу г. Москва, Хвалынский бульвар, дом 10</v>
      </c>
    </row>
    <row r="150" spans="1:32" ht="16.5" x14ac:dyDescent="0.25">
      <c r="A150" s="67" t="str">
        <f>CONCATENATE("Раздел: ",IF(Source!G105&lt;&gt;"Новый раздел", Source!G105, ""))</f>
        <v>Раздел: Перевозка отходов асфальта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</row>
    <row r="151" spans="1:32" ht="71.25" x14ac:dyDescent="0.2">
      <c r="A151" s="19" t="str">
        <f>Source!E109</f>
        <v>11</v>
      </c>
      <c r="B151" s="20" t="str">
        <f>Source!F109</f>
        <v>2.1-3105-1-1/1</v>
      </c>
      <c r="C151" s="20" t="str">
        <f>Source!G109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D151" s="21" t="str">
        <f>Source!H109</f>
        <v>т</v>
      </c>
      <c r="E151" s="8">
        <f>Source!I109</f>
        <v>177.12</v>
      </c>
      <c r="F151" s="23"/>
      <c r="G151" s="22"/>
      <c r="H151" s="8"/>
      <c r="I151" s="8"/>
      <c r="J151" s="24"/>
      <c r="K151" s="24"/>
      <c r="Q151">
        <f>ROUND((Source!BZ109/100)*ROUND((Source!AF109*Source!AV109)*Source!I109, 2), 2)</f>
        <v>0</v>
      </c>
      <c r="R151">
        <f>Source!X109</f>
        <v>0</v>
      </c>
      <c r="S151">
        <f>ROUND((Source!CA109/100)*ROUND((Source!AF109*Source!AV109)*Source!I109, 2), 2)</f>
        <v>0</v>
      </c>
      <c r="T151">
        <f>Source!Y109</f>
        <v>0</v>
      </c>
      <c r="U151">
        <f>ROUND((175/100)*ROUND((Source!AE109*Source!AV109)*Source!I109, 2), 2)</f>
        <v>9494.08</v>
      </c>
      <c r="V151">
        <f>ROUND((108/100)*ROUND(Source!CS109*Source!I109, 2), 2)</f>
        <v>5859.21</v>
      </c>
    </row>
    <row r="152" spans="1:32" ht="14.25" x14ac:dyDescent="0.2">
      <c r="A152" s="19"/>
      <c r="B152" s="20"/>
      <c r="C152" s="20" t="s">
        <v>220</v>
      </c>
      <c r="D152" s="21"/>
      <c r="E152" s="8"/>
      <c r="F152" s="23">
        <f>Source!AO109</f>
        <v>0</v>
      </c>
      <c r="G152" s="22" t="str">
        <f>Source!DG109</f>
        <v/>
      </c>
      <c r="H152" s="8">
        <f>Source!AV109</f>
        <v>1</v>
      </c>
      <c r="I152" s="8">
        <f>IF(Source!BA109&lt;&gt; 0, Source!BA109, 1)</f>
        <v>1</v>
      </c>
      <c r="J152" s="24">
        <f>Source!S109</f>
        <v>0</v>
      </c>
      <c r="K152" s="24"/>
    </row>
    <row r="153" spans="1:32" ht="14.25" x14ac:dyDescent="0.2">
      <c r="A153" s="19"/>
      <c r="B153" s="20"/>
      <c r="C153" s="20" t="s">
        <v>221</v>
      </c>
      <c r="D153" s="21"/>
      <c r="E153" s="8"/>
      <c r="F153" s="23">
        <f>Source!AM109</f>
        <v>56.41</v>
      </c>
      <c r="G153" s="22" t="str">
        <f>Source!DE109</f>
        <v/>
      </c>
      <c r="H153" s="8">
        <f>Source!AV109</f>
        <v>1</v>
      </c>
      <c r="I153" s="8">
        <f>IF(Source!BB109&lt;&gt; 0, Source!BB109, 1)</f>
        <v>1</v>
      </c>
      <c r="J153" s="24">
        <f>Source!Q109</f>
        <v>9991.34</v>
      </c>
      <c r="K153" s="24"/>
    </row>
    <row r="154" spans="1:32" ht="14.25" x14ac:dyDescent="0.2">
      <c r="A154" s="19"/>
      <c r="B154" s="20"/>
      <c r="C154" s="20" t="s">
        <v>222</v>
      </c>
      <c r="D154" s="21"/>
      <c r="E154" s="8"/>
      <c r="F154" s="23">
        <f>Source!AN109</f>
        <v>30.63</v>
      </c>
      <c r="G154" s="22" t="str">
        <f>Source!DF109</f>
        <v/>
      </c>
      <c r="H154" s="8">
        <f>Source!AV109</f>
        <v>1</v>
      </c>
      <c r="I154" s="8">
        <f>IF(Source!BS109&lt;&gt; 0, Source!BS109, 1)</f>
        <v>1</v>
      </c>
      <c r="J154" s="26">
        <f>Source!R109</f>
        <v>5425.19</v>
      </c>
      <c r="K154" s="24"/>
    </row>
    <row r="155" spans="1:32" ht="14.25" x14ac:dyDescent="0.2">
      <c r="A155" s="19"/>
      <c r="B155" s="20"/>
      <c r="C155" s="20" t="s">
        <v>223</v>
      </c>
      <c r="D155" s="21"/>
      <c r="E155" s="8"/>
      <c r="F155" s="23">
        <f>Source!AL109</f>
        <v>0</v>
      </c>
      <c r="G155" s="22" t="str">
        <f>Source!DD109</f>
        <v/>
      </c>
      <c r="H155" s="8">
        <f>Source!AW109</f>
        <v>1</v>
      </c>
      <c r="I155" s="8">
        <f>IF(Source!BC109&lt;&gt; 0, Source!BC109, 1)</f>
        <v>1</v>
      </c>
      <c r="J155" s="24">
        <f>Source!P109</f>
        <v>0</v>
      </c>
      <c r="K155" s="24"/>
    </row>
    <row r="156" spans="1:32" ht="14.25" x14ac:dyDescent="0.2">
      <c r="A156" s="19"/>
      <c r="B156" s="20"/>
      <c r="C156" s="20" t="s">
        <v>224</v>
      </c>
      <c r="D156" s="21" t="s">
        <v>225</v>
      </c>
      <c r="E156" s="8">
        <f>Source!AT109</f>
        <v>0</v>
      </c>
      <c r="F156" s="23"/>
      <c r="G156" s="22"/>
      <c r="H156" s="8"/>
      <c r="I156" s="8"/>
      <c r="J156" s="24">
        <f>SUM(R151:R155)</f>
        <v>0</v>
      </c>
      <c r="K156" s="24"/>
    </row>
    <row r="157" spans="1:32" ht="14.25" x14ac:dyDescent="0.2">
      <c r="A157" s="19"/>
      <c r="B157" s="20"/>
      <c r="C157" s="20" t="s">
        <v>226</v>
      </c>
      <c r="D157" s="21" t="s">
        <v>225</v>
      </c>
      <c r="E157" s="8">
        <f>Source!AU109</f>
        <v>0</v>
      </c>
      <c r="F157" s="23"/>
      <c r="G157" s="22"/>
      <c r="H157" s="8"/>
      <c r="I157" s="8"/>
      <c r="J157" s="24">
        <f>SUM(T151:T156)</f>
        <v>0</v>
      </c>
      <c r="K157" s="24"/>
    </row>
    <row r="158" spans="1:32" ht="14.25" x14ac:dyDescent="0.2">
      <c r="A158" s="19"/>
      <c r="B158" s="20"/>
      <c r="C158" s="20" t="s">
        <v>228</v>
      </c>
      <c r="D158" s="21" t="s">
        <v>229</v>
      </c>
      <c r="E158" s="8">
        <f>Source!AQ109</f>
        <v>0</v>
      </c>
      <c r="F158" s="23"/>
      <c r="G158" s="22" t="str">
        <f>Source!DI109</f>
        <v/>
      </c>
      <c r="H158" s="8">
        <f>Source!AV109</f>
        <v>1</v>
      </c>
      <c r="I158" s="8"/>
      <c r="J158" s="24"/>
      <c r="K158" s="24">
        <f>Source!U109</f>
        <v>0</v>
      </c>
    </row>
    <row r="159" spans="1:32" ht="15" x14ac:dyDescent="0.25">
      <c r="A159" s="29"/>
      <c r="B159" s="29"/>
      <c r="C159" s="29"/>
      <c r="D159" s="29"/>
      <c r="E159" s="29"/>
      <c r="F159" s="29"/>
      <c r="G159" s="29"/>
      <c r="H159" s="29"/>
      <c r="I159" s="68">
        <f>J152+J153+J155+J156+J157</f>
        <v>9991.34</v>
      </c>
      <c r="J159" s="68"/>
      <c r="K159" s="30">
        <f>IF(Source!I109&lt;&gt;0, ROUND(I159/Source!I109, 2), 0)</f>
        <v>56.41</v>
      </c>
      <c r="P159" s="27">
        <f>I159</f>
        <v>9991.34</v>
      </c>
    </row>
    <row r="160" spans="1:32" ht="71.25" x14ac:dyDescent="0.2">
      <c r="A160" s="19" t="str">
        <f>Source!E110</f>
        <v>12</v>
      </c>
      <c r="B160" s="20" t="str">
        <f>Source!F110</f>
        <v>2.1-3105-1-2/1</v>
      </c>
      <c r="C160" s="20" t="str">
        <f>Source!G110</f>
        <v>Перевозка отфрезерованного асфальтобетона автосамосвалами грузоподъемностью до 10 т - добавляется на каждый последующий 1 км до 100 км /ЮАО/</v>
      </c>
      <c r="D160" s="21" t="str">
        <f>Source!H110</f>
        <v>т</v>
      </c>
      <c r="E160" s="8">
        <f>Source!I110</f>
        <v>177.12</v>
      </c>
      <c r="F160" s="23"/>
      <c r="G160" s="22"/>
      <c r="H160" s="8"/>
      <c r="I160" s="8"/>
      <c r="J160" s="24"/>
      <c r="K160" s="24"/>
      <c r="Q160">
        <f>ROUND((Source!BZ110/100)*ROUND((Source!AF110*Source!AV110)*Source!I110, 2), 2)</f>
        <v>0</v>
      </c>
      <c r="R160">
        <f>Source!X110</f>
        <v>0</v>
      </c>
      <c r="S160">
        <f>ROUND((Source!CA110/100)*ROUND((Source!AF110*Source!AV110)*Source!I110, 2), 2)</f>
        <v>0</v>
      </c>
      <c r="T160">
        <f>Source!Y110</f>
        <v>0</v>
      </c>
      <c r="U160">
        <f>ROUND((175/100)*ROUND((Source!AE110*Source!AV110)*Source!I110, 2), 2)</f>
        <v>130889.9</v>
      </c>
      <c r="V160">
        <f>ROUND((108/100)*ROUND(Source!CS110*Source!I110, 2), 2)</f>
        <v>80777.77</v>
      </c>
    </row>
    <row r="161" spans="1:16" ht="14.25" x14ac:dyDescent="0.2">
      <c r="A161" s="19"/>
      <c r="B161" s="20"/>
      <c r="C161" s="20" t="s">
        <v>220</v>
      </c>
      <c r="D161" s="21"/>
      <c r="E161" s="8"/>
      <c r="F161" s="23">
        <f>Source!AO110</f>
        <v>0</v>
      </c>
      <c r="G161" s="22" t="str">
        <f>Source!DG110</f>
        <v>*51</v>
      </c>
      <c r="H161" s="8">
        <f>Source!AV110</f>
        <v>1</v>
      </c>
      <c r="I161" s="8">
        <f>IF(Source!BA110&lt;&gt; 0, Source!BA110, 1)</f>
        <v>1</v>
      </c>
      <c r="J161" s="24">
        <f>Source!S110</f>
        <v>0</v>
      </c>
      <c r="K161" s="24"/>
    </row>
    <row r="162" spans="1:16" ht="14.25" x14ac:dyDescent="0.2">
      <c r="A162" s="19"/>
      <c r="B162" s="20"/>
      <c r="C162" s="20" t="s">
        <v>221</v>
      </c>
      <c r="D162" s="21"/>
      <c r="E162" s="8"/>
      <c r="F162" s="23">
        <f>Source!AM110</f>
        <v>15.25</v>
      </c>
      <c r="G162" s="22" t="str">
        <f>Source!DE110</f>
        <v>*51</v>
      </c>
      <c r="H162" s="8">
        <f>Source!AV110</f>
        <v>1</v>
      </c>
      <c r="I162" s="8">
        <f>IF(Source!BB110&lt;&gt; 0, Source!BB110, 1)</f>
        <v>1</v>
      </c>
      <c r="J162" s="24">
        <f>Source!Q110</f>
        <v>137755.07999999999</v>
      </c>
      <c r="K162" s="24"/>
    </row>
    <row r="163" spans="1:16" ht="14.25" x14ac:dyDescent="0.2">
      <c r="A163" s="19"/>
      <c r="B163" s="20"/>
      <c r="C163" s="20" t="s">
        <v>222</v>
      </c>
      <c r="D163" s="21"/>
      <c r="E163" s="8"/>
      <c r="F163" s="23">
        <f>Source!AN110</f>
        <v>8.2799999999999994</v>
      </c>
      <c r="G163" s="22" t="str">
        <f>Source!DF110</f>
        <v>*51</v>
      </c>
      <c r="H163" s="8">
        <f>Source!AV110</f>
        <v>1</v>
      </c>
      <c r="I163" s="8">
        <f>IF(Source!BS110&lt;&gt; 0, Source!BS110, 1)</f>
        <v>1</v>
      </c>
      <c r="J163" s="26">
        <f>Source!R110</f>
        <v>74794.23</v>
      </c>
      <c r="K163" s="24"/>
    </row>
    <row r="164" spans="1:16" ht="14.25" x14ac:dyDescent="0.2">
      <c r="A164" s="19"/>
      <c r="B164" s="20"/>
      <c r="C164" s="20" t="s">
        <v>223</v>
      </c>
      <c r="D164" s="21"/>
      <c r="E164" s="8"/>
      <c r="F164" s="23">
        <f>Source!AL110</f>
        <v>0</v>
      </c>
      <c r="G164" s="22" t="str">
        <f>Source!DD110</f>
        <v/>
      </c>
      <c r="H164" s="8">
        <f>Source!AW110</f>
        <v>1</v>
      </c>
      <c r="I164" s="8">
        <f>IF(Source!BC110&lt;&gt; 0, Source!BC110, 1)</f>
        <v>1</v>
      </c>
      <c r="J164" s="24">
        <f>Source!P110</f>
        <v>0</v>
      </c>
      <c r="K164" s="24"/>
    </row>
    <row r="165" spans="1:16" ht="14.25" x14ac:dyDescent="0.2">
      <c r="A165" s="19"/>
      <c r="B165" s="20"/>
      <c r="C165" s="20" t="s">
        <v>224</v>
      </c>
      <c r="D165" s="21" t="s">
        <v>225</v>
      </c>
      <c r="E165" s="8">
        <f>Source!AT110</f>
        <v>0</v>
      </c>
      <c r="F165" s="23"/>
      <c r="G165" s="22"/>
      <c r="H165" s="8"/>
      <c r="I165" s="8"/>
      <c r="J165" s="24">
        <f>SUM(R160:R164)</f>
        <v>0</v>
      </c>
      <c r="K165" s="24"/>
    </row>
    <row r="166" spans="1:16" ht="14.25" x14ac:dyDescent="0.2">
      <c r="A166" s="19"/>
      <c r="B166" s="20"/>
      <c r="C166" s="20" t="s">
        <v>226</v>
      </c>
      <c r="D166" s="21" t="s">
        <v>225</v>
      </c>
      <c r="E166" s="8">
        <f>Source!AU110</f>
        <v>0</v>
      </c>
      <c r="F166" s="23"/>
      <c r="G166" s="22"/>
      <c r="H166" s="8"/>
      <c r="I166" s="8"/>
      <c r="J166" s="24">
        <f>SUM(T160:T165)</f>
        <v>0</v>
      </c>
      <c r="K166" s="24"/>
    </row>
    <row r="167" spans="1:16" ht="14.25" x14ac:dyDescent="0.2">
      <c r="A167" s="19"/>
      <c r="B167" s="20"/>
      <c r="C167" s="20" t="s">
        <v>228</v>
      </c>
      <c r="D167" s="21" t="s">
        <v>229</v>
      </c>
      <c r="E167" s="8">
        <f>Source!AQ110</f>
        <v>0</v>
      </c>
      <c r="F167" s="23"/>
      <c r="G167" s="22" t="str">
        <f>Source!DI110</f>
        <v>*51</v>
      </c>
      <c r="H167" s="8">
        <f>Source!AV110</f>
        <v>1</v>
      </c>
      <c r="I167" s="8"/>
      <c r="J167" s="24"/>
      <c r="K167" s="24">
        <f>Source!U110</f>
        <v>0</v>
      </c>
    </row>
    <row r="168" spans="1:16" ht="15" x14ac:dyDescent="0.25">
      <c r="A168" s="29"/>
      <c r="B168" s="29"/>
      <c r="C168" s="29"/>
      <c r="D168" s="29"/>
      <c r="E168" s="29"/>
      <c r="F168" s="29"/>
      <c r="G168" s="29"/>
      <c r="H168" s="29"/>
      <c r="I168" s="68">
        <f>J161+J162+J164+J165+J166</f>
        <v>137755.07999999999</v>
      </c>
      <c r="J168" s="68"/>
      <c r="K168" s="30">
        <f>IF(Source!I110&lt;&gt;0, ROUND(I168/Source!I110, 2), 0)</f>
        <v>777.75</v>
      </c>
      <c r="P168" s="27">
        <f>I168</f>
        <v>137755.07999999999</v>
      </c>
    </row>
    <row r="170" spans="1:16" ht="15" x14ac:dyDescent="0.25">
      <c r="A170" s="71" t="str">
        <f>CONCATENATE("Итого по разделу: ",IF(Source!G112&lt;&gt;"Новый раздел", Source!G112, ""))</f>
        <v>Итого по разделу: Перевозка отходов асфальта</v>
      </c>
      <c r="B170" s="71"/>
      <c r="C170" s="71"/>
      <c r="D170" s="71"/>
      <c r="E170" s="71"/>
      <c r="F170" s="71"/>
      <c r="G170" s="71"/>
      <c r="H170" s="71"/>
      <c r="I170" s="69">
        <f>SUM(P150:P169)</f>
        <v>147746.41999999998</v>
      </c>
      <c r="J170" s="70"/>
      <c r="K170" s="32"/>
    </row>
    <row r="173" spans="1:16" ht="15" x14ac:dyDescent="0.25">
      <c r="A173" s="71" t="str">
        <f>CONCATENATE("Итого по локальной смете: ",IF(Source!G142&lt;&gt;"Новая локальная смета", Source!G142, ""))</f>
        <v xml:space="preserve">Итого по локальной смете: </v>
      </c>
      <c r="B173" s="71"/>
      <c r="C173" s="71"/>
      <c r="D173" s="71"/>
      <c r="E173" s="71"/>
      <c r="F173" s="71"/>
      <c r="G173" s="71"/>
      <c r="H173" s="71"/>
      <c r="I173" s="69">
        <f>SUM(P30:P172)</f>
        <v>896582.82</v>
      </c>
      <c r="J173" s="70"/>
      <c r="K173" s="32"/>
    </row>
    <row r="175" spans="1:16" ht="14.25" x14ac:dyDescent="0.2">
      <c r="A175" s="56" t="s">
        <v>290</v>
      </c>
      <c r="B175" s="56"/>
      <c r="C175" s="13"/>
      <c r="I175" s="74">
        <f>I173*0.2</f>
        <v>179316.56400000001</v>
      </c>
      <c r="J175" s="74"/>
    </row>
    <row r="176" spans="1:16" ht="14.25" x14ac:dyDescent="0.2">
      <c r="A176" s="56" t="s">
        <v>291</v>
      </c>
      <c r="B176" s="56"/>
      <c r="C176" s="56"/>
      <c r="I176" s="74">
        <f>I173+I175</f>
        <v>1075899.3840000001</v>
      </c>
      <c r="J176" s="74"/>
    </row>
    <row r="179" spans="1:11" ht="14.25" x14ac:dyDescent="0.2">
      <c r="A179" s="73" t="s">
        <v>232</v>
      </c>
      <c r="B179" s="73"/>
      <c r="C179" s="34" t="str">
        <f>IF(Source!AC12&lt;&gt;"", Source!AC12," ")</f>
        <v xml:space="preserve"> </v>
      </c>
      <c r="D179" s="34"/>
      <c r="E179" s="34"/>
      <c r="F179" s="34"/>
      <c r="G179" s="34"/>
      <c r="H179" s="9" t="str">
        <f>IF(Source!AB12&lt;&gt;"", Source!AB12," ")</f>
        <v xml:space="preserve"> </v>
      </c>
      <c r="I179" s="9"/>
      <c r="J179" s="9"/>
      <c r="K179" s="9"/>
    </row>
    <row r="180" spans="1:11" ht="14.25" x14ac:dyDescent="0.2">
      <c r="A180" s="9"/>
      <c r="B180" s="9"/>
      <c r="C180" s="72" t="s">
        <v>233</v>
      </c>
      <c r="D180" s="72"/>
      <c r="E180" s="72"/>
      <c r="F180" s="72"/>
      <c r="G180" s="72"/>
      <c r="H180" s="9"/>
      <c r="I180" s="9"/>
      <c r="J180" s="9"/>
      <c r="K180" s="9"/>
    </row>
    <row r="181" spans="1:11" ht="14.2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ht="14.25" x14ac:dyDescent="0.2">
      <c r="A182" s="73" t="s">
        <v>234</v>
      </c>
      <c r="B182" s="73"/>
      <c r="C182" s="34" t="str">
        <f>IF(Source!AE12&lt;&gt;"", Source!AE12," ")</f>
        <v xml:space="preserve"> </v>
      </c>
      <c r="D182" s="34"/>
      <c r="E182" s="34"/>
      <c r="F182" s="34"/>
      <c r="G182" s="34"/>
      <c r="H182" s="9" t="str">
        <f>IF(Source!AD12&lt;&gt;"", Source!AD12," ")</f>
        <v xml:space="preserve"> </v>
      </c>
      <c r="I182" s="9"/>
      <c r="J182" s="9"/>
      <c r="K182" s="9"/>
    </row>
    <row r="183" spans="1:11" ht="14.25" x14ac:dyDescent="0.2">
      <c r="A183" s="9"/>
      <c r="B183" s="9"/>
      <c r="C183" s="72" t="s">
        <v>233</v>
      </c>
      <c r="D183" s="72"/>
      <c r="E183" s="72"/>
      <c r="F183" s="72"/>
      <c r="G183" s="72"/>
      <c r="H183" s="9"/>
      <c r="I183" s="9"/>
      <c r="J183" s="9"/>
      <c r="K183" s="9"/>
    </row>
  </sheetData>
  <mergeCells count="67">
    <mergeCell ref="C180:G180"/>
    <mergeCell ref="A182:B182"/>
    <mergeCell ref="C183:G183"/>
    <mergeCell ref="A150:K150"/>
    <mergeCell ref="I159:J159"/>
    <mergeCell ref="I168:J168"/>
    <mergeCell ref="I170:J170"/>
    <mergeCell ref="A170:H170"/>
    <mergeCell ref="I173:J173"/>
    <mergeCell ref="A173:H173"/>
    <mergeCell ref="A175:B175"/>
    <mergeCell ref="A176:C176"/>
    <mergeCell ref="I175:J175"/>
    <mergeCell ref="I176:J176"/>
    <mergeCell ref="A179:B179"/>
    <mergeCell ref="A31:K31"/>
    <mergeCell ref="I42:J42"/>
    <mergeCell ref="I53:J53"/>
    <mergeCell ref="I147:J147"/>
    <mergeCell ref="A147:H147"/>
    <mergeCell ref="I64:J64"/>
    <mergeCell ref="I76:J76"/>
    <mergeCell ref="I86:J86"/>
    <mergeCell ref="I97:J97"/>
    <mergeCell ref="I108:J108"/>
    <mergeCell ref="I110:J110"/>
    <mergeCell ref="A110:H110"/>
    <mergeCell ref="A113:K113"/>
    <mergeCell ref="I123:J123"/>
    <mergeCell ref="I134:J134"/>
    <mergeCell ref="I145:J145"/>
    <mergeCell ref="F25:F27"/>
    <mergeCell ref="G25:G27"/>
    <mergeCell ref="H25:H27"/>
    <mergeCell ref="I25:I27"/>
    <mergeCell ref="J25:J27"/>
    <mergeCell ref="A25:A27"/>
    <mergeCell ref="B25:B27"/>
    <mergeCell ref="C25:C27"/>
    <mergeCell ref="D25:D27"/>
    <mergeCell ref="E25:E27"/>
    <mergeCell ref="F21:H21"/>
    <mergeCell ref="I21:J21"/>
    <mergeCell ref="F22:H22"/>
    <mergeCell ref="I22:J22"/>
    <mergeCell ref="F23:H23"/>
    <mergeCell ref="I23:J23"/>
    <mergeCell ref="F18:H18"/>
    <mergeCell ref="I18:J18"/>
    <mergeCell ref="F19:H19"/>
    <mergeCell ref="I19:J19"/>
    <mergeCell ref="F20:H20"/>
    <mergeCell ref="I20:J20"/>
    <mergeCell ref="J1:K1"/>
    <mergeCell ref="A9:K9"/>
    <mergeCell ref="A10:K10"/>
    <mergeCell ref="A14:K14"/>
    <mergeCell ref="A15:K15"/>
    <mergeCell ref="A12:K12"/>
    <mergeCell ref="B2:E2"/>
    <mergeCell ref="G2:K2"/>
    <mergeCell ref="B3:E3"/>
    <mergeCell ref="G3:K3"/>
    <mergeCell ref="B5:E5"/>
    <mergeCell ref="G5:K5"/>
    <mergeCell ref="B6:E6"/>
    <mergeCell ref="G6:K6"/>
  </mergeCells>
  <pageMargins left="0.4" right="0.2" top="0.2" bottom="0.4" header="0.2" footer="0.2"/>
  <pageSetup paperSize="9" scale="60" fitToHeight="0" orientation="portrait" verticalDpi="0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5"/>
  <sheetViews>
    <sheetView zoomScaleNormal="100" workbookViewId="0">
      <selection activeCell="I14" sqref="I14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0" hidden="1" customWidth="1"/>
    <col min="31" max="31" width="129.7109375" hidden="1" customWidth="1"/>
  </cols>
  <sheetData>
    <row r="1" spans="1:5" ht="14.25" x14ac:dyDescent="0.2">
      <c r="C1" s="9"/>
      <c r="D1" s="9"/>
    </row>
    <row r="2" spans="1:5" ht="15" x14ac:dyDescent="0.25">
      <c r="C2" s="9"/>
      <c r="D2" s="28" t="s">
        <v>194</v>
      </c>
    </row>
    <row r="3" spans="1:5" ht="15" x14ac:dyDescent="0.25">
      <c r="C3" s="28"/>
      <c r="D3" s="28"/>
    </row>
    <row r="4" spans="1:5" ht="15" x14ac:dyDescent="0.25">
      <c r="C4" s="76" t="s">
        <v>294</v>
      </c>
      <c r="D4" s="76"/>
      <c r="E4" s="63"/>
    </row>
    <row r="5" spans="1:5" ht="15" x14ac:dyDescent="0.25">
      <c r="C5" s="35"/>
      <c r="D5" s="35"/>
    </row>
    <row r="6" spans="1:5" ht="15" x14ac:dyDescent="0.25">
      <c r="C6" s="76" t="s">
        <v>235</v>
      </c>
      <c r="D6" s="76"/>
      <c r="E6" s="91" t="s">
        <v>295</v>
      </c>
    </row>
    <row r="7" spans="1:5" ht="15" x14ac:dyDescent="0.25">
      <c r="C7" s="35"/>
      <c r="D7" s="35"/>
    </row>
    <row r="8" spans="1:5" ht="15" x14ac:dyDescent="0.25">
      <c r="C8" s="28" t="s">
        <v>236</v>
      </c>
      <c r="D8" s="9"/>
    </row>
    <row r="9" spans="1:5" ht="14.25" x14ac:dyDescent="0.2">
      <c r="A9" s="9"/>
      <c r="B9" s="9"/>
      <c r="C9" s="9"/>
      <c r="D9" s="9"/>
      <c r="E9" s="9"/>
    </row>
    <row r="10" spans="1:5" ht="15.75" x14ac:dyDescent="0.25">
      <c r="A10" s="77" t="str">
        <f>CONCATENATE("Дефектный акт ", IF(Source!AN15&lt;&gt;"", Source!AN15," "))</f>
        <v xml:space="preserve">Дефектный акт  </v>
      </c>
      <c r="B10" s="77"/>
      <c r="C10" s="77"/>
      <c r="D10" s="77"/>
      <c r="E10" s="9"/>
    </row>
    <row r="11" spans="1:5" ht="14.25" x14ac:dyDescent="0.2">
      <c r="A11" s="9"/>
      <c r="B11" s="9"/>
      <c r="C11" s="9"/>
      <c r="D11" s="9"/>
      <c r="E11" s="9"/>
    </row>
    <row r="12" spans="1:5" ht="15" x14ac:dyDescent="0.2">
      <c r="A12" s="9"/>
      <c r="B12" s="36" t="s">
        <v>237</v>
      </c>
      <c r="C12" s="9"/>
      <c r="D12" s="9"/>
      <c r="E12" s="9"/>
    </row>
    <row r="13" spans="1:5" ht="15" x14ac:dyDescent="0.2">
      <c r="A13" s="9"/>
      <c r="B13" s="36" t="s">
        <v>238</v>
      </c>
      <c r="C13" s="9"/>
      <c r="D13" s="9"/>
      <c r="E13" s="9"/>
    </row>
    <row r="14" spans="1:5" ht="15" x14ac:dyDescent="0.2">
      <c r="A14" s="9"/>
      <c r="B14" s="36" t="s">
        <v>239</v>
      </c>
      <c r="C14" s="9"/>
      <c r="D14" s="9"/>
      <c r="E14" s="9"/>
    </row>
    <row r="15" spans="1:5" ht="28.5" x14ac:dyDescent="0.2">
      <c r="A15" s="18" t="s">
        <v>240</v>
      </c>
      <c r="B15" s="18" t="s">
        <v>208</v>
      </c>
      <c r="C15" s="18" t="s">
        <v>209</v>
      </c>
      <c r="D15" s="18" t="s">
        <v>241</v>
      </c>
      <c r="E15" s="37" t="s">
        <v>242</v>
      </c>
    </row>
    <row r="16" spans="1:5" ht="14.25" x14ac:dyDescent="0.2">
      <c r="A16" s="38">
        <v>1</v>
      </c>
      <c r="B16" s="38">
        <v>2</v>
      </c>
      <c r="C16" s="38">
        <v>3</v>
      </c>
      <c r="D16" s="38">
        <v>4</v>
      </c>
      <c r="E16" s="39">
        <v>5</v>
      </c>
    </row>
    <row r="17" spans="1:31" ht="16.5" x14ac:dyDescent="0.25">
      <c r="A17" s="75" t="str">
        <f>CONCATENATE("Раздел: ", Source!G24)</f>
        <v>Раздел: Головное здание по адресу г. Москва, ул. Авиаконструктора Миля, дом 5, корпус 1</v>
      </c>
      <c r="B17" s="75"/>
      <c r="C17" s="75"/>
      <c r="D17" s="75"/>
      <c r="E17" s="75"/>
      <c r="AE17" s="40" t="str">
        <f>CONCATENATE("Раздел: ", Source!G24)</f>
        <v>Раздел: Головное здание по адресу г. Москва, ул. Авиаконструктора Миля, дом 5, корпус 1</v>
      </c>
    </row>
    <row r="18" spans="1:31" ht="14.25" x14ac:dyDescent="0.2">
      <c r="A18" s="45" t="str">
        <f>Source!E28</f>
        <v>1</v>
      </c>
      <c r="B18" s="46" t="str">
        <f>Source!G28</f>
        <v>Разборка асфальтобетонных покрытий тротуаров толщиной до 4 см</v>
      </c>
      <c r="C18" s="47" t="str">
        <f>Source!H28</f>
        <v>1000 м2</v>
      </c>
      <c r="D18" s="48">
        <f>Source!I28</f>
        <v>0.06</v>
      </c>
      <c r="E18" s="46"/>
    </row>
    <row r="19" spans="1:31" ht="28.5" x14ac:dyDescent="0.2">
      <c r="A19" s="45" t="str">
        <f>Source!E29</f>
        <v>2</v>
      </c>
      <c r="B19" s="46" t="str">
        <f>Source!G29</f>
        <v>Устройство покрытий из асфальтобетонных смесей вручную, толщина 4 см</v>
      </c>
      <c r="C19" s="47" t="str">
        <f>Source!H29</f>
        <v>100 м2</v>
      </c>
      <c r="D19" s="48">
        <f>Source!I29</f>
        <v>0.6</v>
      </c>
      <c r="E19" s="46"/>
    </row>
    <row r="20" spans="1:31" ht="28.5" x14ac:dyDescent="0.2">
      <c r="A20" s="45" t="str">
        <f>Source!E30</f>
        <v>3</v>
      </c>
      <c r="B20" s="46" t="str">
        <f>Source!G30</f>
        <v>Устройство бордюра из мелкоштучных камней, установленных на ребро, для клумб</v>
      </c>
      <c r="C20" s="47" t="str">
        <f>Source!H30</f>
        <v>100 м</v>
      </c>
      <c r="D20" s="48">
        <f>Source!I30</f>
        <v>0.26</v>
      </c>
      <c r="E20" s="46"/>
    </row>
    <row r="21" spans="1:31" ht="28.5" x14ac:dyDescent="0.2">
      <c r="A21" s="45" t="str">
        <f>Source!E31</f>
        <v>4</v>
      </c>
      <c r="B21" s="46" t="str">
        <f>Source!G31</f>
        <v>Устройство бордюра из мелкоштучных камней, установленных на ребро, для клумб</v>
      </c>
      <c r="C21" s="47" t="str">
        <f>Source!H31</f>
        <v>100 м</v>
      </c>
      <c r="D21" s="48">
        <f>Source!I31</f>
        <v>0.26</v>
      </c>
      <c r="E21" s="46"/>
    </row>
    <row r="22" spans="1:31" ht="14.25" x14ac:dyDescent="0.2">
      <c r="A22" s="45" t="str">
        <f>Source!E32</f>
        <v>4.1</v>
      </c>
      <c r="B22" s="46" t="str">
        <f>Source!G32</f>
        <v>Вода</v>
      </c>
      <c r="C22" s="47" t="str">
        <f>Source!H32</f>
        <v>м3</v>
      </c>
      <c r="D22" s="48">
        <f>Source!I32</f>
        <v>-0.26</v>
      </c>
      <c r="E22" s="46"/>
    </row>
    <row r="23" spans="1:31" ht="14.25" x14ac:dyDescent="0.2">
      <c r="A23" s="45" t="str">
        <f>Source!E33</f>
        <v>5</v>
      </c>
      <c r="B23" s="46" t="str">
        <f>Source!G33</f>
        <v>Разборка покрытий и оснований асфальтобетонных</v>
      </c>
      <c r="C23" s="47" t="str">
        <f>Source!H33</f>
        <v>100 м3</v>
      </c>
      <c r="D23" s="48">
        <f>Source!I33</f>
        <v>0.45150000000000001</v>
      </c>
      <c r="E23" s="46"/>
    </row>
    <row r="24" spans="1:31" ht="42.75" x14ac:dyDescent="0.2">
      <c r="A24" s="45" t="str">
        <f>Source!E34</f>
        <v>6</v>
      </c>
      <c r="B24" s="46" t="str">
        <f>Source!G34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24" s="47" t="str">
        <f>Source!H34</f>
        <v>100 м2</v>
      </c>
      <c r="D24" s="48">
        <f>Source!I34</f>
        <v>6.45</v>
      </c>
      <c r="E24" s="46"/>
    </row>
    <row r="25" spans="1:31" ht="42.75" x14ac:dyDescent="0.2">
      <c r="A25" s="45" t="str">
        <f>Source!E35</f>
        <v>7</v>
      </c>
      <c r="B25" s="46" t="str">
        <f>Source!G35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C25" s="47" t="str">
        <f>Source!H35</f>
        <v>100 м2</v>
      </c>
      <c r="D25" s="48">
        <f>Source!I35</f>
        <v>6.45</v>
      </c>
      <c r="E25" s="46"/>
    </row>
    <row r="26" spans="1:31" ht="16.5" x14ac:dyDescent="0.25">
      <c r="A26" s="75" t="str">
        <f>CONCATENATE("Раздел: ", Source!G67)</f>
        <v>Раздел: Филиал №4 по адресу г. Москва, Хвалынский бульвар, дом 10</v>
      </c>
      <c r="B26" s="75"/>
      <c r="C26" s="75"/>
      <c r="D26" s="75"/>
      <c r="E26" s="75"/>
    </row>
    <row r="27" spans="1:31" ht="14.25" x14ac:dyDescent="0.2">
      <c r="A27" s="45" t="str">
        <f>Source!E71</f>
        <v>8</v>
      </c>
      <c r="B27" s="46" t="str">
        <f>Source!G71</f>
        <v>Разборка покрытий и оснований асфальтобетонных</v>
      </c>
      <c r="C27" s="47" t="str">
        <f>Source!H71</f>
        <v>100 м3</v>
      </c>
      <c r="D27" s="48">
        <f>Source!I71</f>
        <v>0.26250000000000001</v>
      </c>
      <c r="E27" s="46"/>
    </row>
    <row r="28" spans="1:31" ht="42.75" x14ac:dyDescent="0.2">
      <c r="A28" s="45" t="str">
        <f>Source!E72</f>
        <v>9</v>
      </c>
      <c r="B28" s="46" t="str">
        <f>Source!G72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28" s="47" t="str">
        <f>Source!H72</f>
        <v>100 м2</v>
      </c>
      <c r="D28" s="48">
        <f>Source!I72</f>
        <v>3.5</v>
      </c>
      <c r="E28" s="46"/>
    </row>
    <row r="29" spans="1:31" ht="42.75" x14ac:dyDescent="0.2">
      <c r="A29" s="45" t="str">
        <f>Source!E73</f>
        <v>10</v>
      </c>
      <c r="B29" s="46" t="str">
        <f>Source!G73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C29" s="47" t="str">
        <f>Source!H73</f>
        <v>100 м2</v>
      </c>
      <c r="D29" s="48">
        <f>Source!I73</f>
        <v>3.5</v>
      </c>
      <c r="E29" s="46"/>
    </row>
    <row r="30" spans="1:31" ht="16.5" x14ac:dyDescent="0.25">
      <c r="A30" s="75" t="str">
        <f>CONCATENATE("Раздел: ", Source!G105)</f>
        <v>Раздел: Перевозка отходов асфальта</v>
      </c>
      <c r="B30" s="75"/>
      <c r="C30" s="75"/>
      <c r="D30" s="75"/>
      <c r="E30" s="75"/>
    </row>
    <row r="31" spans="1:31" ht="42.75" x14ac:dyDescent="0.2">
      <c r="A31" s="45" t="str">
        <f>Source!E109</f>
        <v>11</v>
      </c>
      <c r="B31" s="46" t="str">
        <f>Source!G109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C31" s="47" t="str">
        <f>Source!H109</f>
        <v>т</v>
      </c>
      <c r="D31" s="48">
        <f>Source!I109</f>
        <v>177.12</v>
      </c>
      <c r="E31" s="46"/>
    </row>
    <row r="32" spans="1:31" ht="42.75" x14ac:dyDescent="0.2">
      <c r="A32" s="41" t="str">
        <f>Source!E110</f>
        <v>12</v>
      </c>
      <c r="B32" s="42" t="str">
        <f>Source!G110</f>
        <v>Перевозка отфрезерованного асфальтобетона автосамосвалами грузоподъемностью до 10 т - добавляется на каждый последующий 1 км до 100 км /ЮАО/</v>
      </c>
      <c r="C32" s="43" t="str">
        <f>Source!H110</f>
        <v>т</v>
      </c>
      <c r="D32" s="44">
        <f>Source!I110</f>
        <v>177.12</v>
      </c>
      <c r="E32" s="42"/>
    </row>
    <row r="35" spans="2:2" ht="14.25" x14ac:dyDescent="0.2">
      <c r="B35" s="9" t="s">
        <v>292</v>
      </c>
    </row>
  </sheetData>
  <mergeCells count="6">
    <mergeCell ref="A26:E26"/>
    <mergeCell ref="A30:E30"/>
    <mergeCell ref="C6:D6"/>
    <mergeCell ref="A10:D10"/>
    <mergeCell ref="A17:E17"/>
    <mergeCell ref="C4:E4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topLeftCell="A16" zoomScaleNormal="100" workbookViewId="0">
      <selection activeCell="A34" sqref="A34:E34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0" hidden="1" customWidth="1"/>
    <col min="31" max="31" width="129.7109375" hidden="1" customWidth="1"/>
  </cols>
  <sheetData>
    <row r="1" spans="1:31" x14ac:dyDescent="0.2">
      <c r="A1" s="49" t="str">
        <f>Source!B1</f>
        <v>Smeta.RU  (495) 974-1589</v>
      </c>
    </row>
    <row r="2" spans="1:31" ht="14.25" x14ac:dyDescent="0.2">
      <c r="C2" s="9"/>
      <c r="D2" s="9"/>
    </row>
    <row r="3" spans="1:31" ht="15" x14ac:dyDescent="0.25">
      <c r="C3" s="9"/>
      <c r="D3" s="28" t="s">
        <v>194</v>
      </c>
    </row>
    <row r="4" spans="1:31" ht="15" x14ac:dyDescent="0.25">
      <c r="C4" s="28"/>
      <c r="D4" s="28"/>
    </row>
    <row r="5" spans="1:31" ht="15" x14ac:dyDescent="0.25">
      <c r="C5" s="76" t="s">
        <v>235</v>
      </c>
      <c r="D5" s="76"/>
    </row>
    <row r="6" spans="1:31" ht="15" x14ac:dyDescent="0.25">
      <c r="C6" s="35"/>
      <c r="D6" s="35"/>
    </row>
    <row r="7" spans="1:31" ht="15" x14ac:dyDescent="0.25">
      <c r="C7" s="76" t="s">
        <v>235</v>
      </c>
      <c r="D7" s="76"/>
    </row>
    <row r="8" spans="1:31" ht="15" x14ac:dyDescent="0.25">
      <c r="C8" s="35"/>
      <c r="D8" s="35"/>
    </row>
    <row r="9" spans="1:31" ht="15" x14ac:dyDescent="0.25">
      <c r="C9" s="28" t="s">
        <v>236</v>
      </c>
      <c r="D9" s="9"/>
    </row>
    <row r="10" spans="1:31" ht="14.25" x14ac:dyDescent="0.2">
      <c r="A10" s="9"/>
      <c r="B10" s="9"/>
      <c r="C10" s="9"/>
      <c r="D10" s="9"/>
      <c r="E10" s="9"/>
    </row>
    <row r="11" spans="1:31" ht="15.75" x14ac:dyDescent="0.25">
      <c r="A11" s="77" t="str">
        <f>CONCATENATE("Ведомость объемов работ ", IF(Source!AN15&lt;&gt;"", Source!AN15," "))</f>
        <v xml:space="preserve">Ведомость объемов работ  </v>
      </c>
      <c r="B11" s="77"/>
      <c r="C11" s="77"/>
      <c r="D11" s="77"/>
      <c r="E11" s="9"/>
    </row>
    <row r="12" spans="1:31" ht="14.25" x14ac:dyDescent="0.2">
      <c r="A12" s="9"/>
      <c r="B12" s="9"/>
      <c r="C12" s="9"/>
      <c r="D12" s="9"/>
      <c r="E12" s="9"/>
    </row>
    <row r="13" spans="1:31" ht="28.5" x14ac:dyDescent="0.2">
      <c r="A13" s="18" t="s">
        <v>240</v>
      </c>
      <c r="B13" s="18" t="s">
        <v>208</v>
      </c>
      <c r="C13" s="18" t="s">
        <v>209</v>
      </c>
      <c r="D13" s="18" t="s">
        <v>241</v>
      </c>
      <c r="E13" s="37" t="s">
        <v>242</v>
      </c>
    </row>
    <row r="14" spans="1:31" ht="14.25" x14ac:dyDescent="0.2">
      <c r="A14" s="38">
        <v>1</v>
      </c>
      <c r="B14" s="38">
        <v>2</v>
      </c>
      <c r="C14" s="38">
        <v>3</v>
      </c>
      <c r="D14" s="38">
        <v>4</v>
      </c>
      <c r="E14" s="39">
        <v>5</v>
      </c>
    </row>
    <row r="15" spans="1:31" ht="16.5" x14ac:dyDescent="0.25">
      <c r="A15" s="75" t="str">
        <f>CONCATENATE("Раздел: ", Source!G24)</f>
        <v>Раздел: Головное здание по адресу г. Москва, ул. Авиаконструктора Миля, дом 5, корпус 1</v>
      </c>
      <c r="B15" s="75"/>
      <c r="C15" s="75"/>
      <c r="D15" s="75"/>
      <c r="E15" s="75"/>
      <c r="AE15" s="40" t="str">
        <f>CONCATENATE("Раздел: ", Source!G24)</f>
        <v>Раздел: Головное здание по адресу г. Москва, ул. Авиаконструктора Миля, дом 5, корпус 1</v>
      </c>
    </row>
    <row r="16" spans="1:31" ht="14.25" x14ac:dyDescent="0.2">
      <c r="A16" s="45" t="str">
        <f>Source!E28</f>
        <v>1</v>
      </c>
      <c r="B16" s="46" t="str">
        <f>Source!G28</f>
        <v>Разборка асфальтобетонных покрытий тротуаров толщиной до 4 см</v>
      </c>
      <c r="C16" s="47" t="str">
        <f>Source!H28</f>
        <v>1000 м2</v>
      </c>
      <c r="D16" s="48">
        <f>Source!I28</f>
        <v>0.06</v>
      </c>
      <c r="E16" s="46"/>
    </row>
    <row r="17" spans="1:5" ht="28.5" x14ac:dyDescent="0.2">
      <c r="A17" s="45" t="str">
        <f>Source!E29</f>
        <v>2</v>
      </c>
      <c r="B17" s="46" t="str">
        <f>Source!G29</f>
        <v>Устройство покрытий из асфальтобетонных смесей вручную, толщина 4 см</v>
      </c>
      <c r="C17" s="47" t="str">
        <f>Source!H29</f>
        <v>100 м2</v>
      </c>
      <c r="D17" s="48">
        <f>Source!I29</f>
        <v>0.6</v>
      </c>
      <c r="E17" s="46"/>
    </row>
    <row r="18" spans="1:5" ht="28.5" x14ac:dyDescent="0.2">
      <c r="A18" s="45" t="str">
        <f>Source!E30</f>
        <v>3</v>
      </c>
      <c r="B18" s="46" t="str">
        <f>Source!G30</f>
        <v>Устройство бордюра из мелкоштучных камней, установленных на ребро, для клумб</v>
      </c>
      <c r="C18" s="47" t="str">
        <f>Source!H30</f>
        <v>100 м</v>
      </c>
      <c r="D18" s="48">
        <f>Source!I30</f>
        <v>0.26</v>
      </c>
      <c r="E18" s="46"/>
    </row>
    <row r="19" spans="1:5" ht="28.5" x14ac:dyDescent="0.2">
      <c r="A19" s="45" t="str">
        <f>Source!E31</f>
        <v>4</v>
      </c>
      <c r="B19" s="46" t="str">
        <f>Source!G31</f>
        <v>Устройство бордюра из мелкоштучных камней, установленных на ребро, для клумб</v>
      </c>
      <c r="C19" s="47" t="str">
        <f>Source!H31</f>
        <v>100 м</v>
      </c>
      <c r="D19" s="48">
        <f>Source!I31</f>
        <v>0.26</v>
      </c>
      <c r="E19" s="46"/>
    </row>
    <row r="20" spans="1:5" ht="14.25" x14ac:dyDescent="0.2">
      <c r="A20" s="45" t="str">
        <f>Source!E32</f>
        <v>4.1</v>
      </c>
      <c r="B20" s="46" t="str">
        <f>Source!G32</f>
        <v>Вода</v>
      </c>
      <c r="C20" s="47" t="str">
        <f>Source!H32</f>
        <v>м3</v>
      </c>
      <c r="D20" s="48">
        <f>Source!I32</f>
        <v>-0.26</v>
      </c>
      <c r="E20" s="46"/>
    </row>
    <row r="21" spans="1:5" ht="14.25" x14ac:dyDescent="0.2">
      <c r="A21" s="45" t="str">
        <f>Source!E33</f>
        <v>5</v>
      </c>
      <c r="B21" s="46" t="str">
        <f>Source!G33</f>
        <v>Разборка покрытий и оснований асфальтобетонных</v>
      </c>
      <c r="C21" s="47" t="str">
        <f>Source!H33</f>
        <v>100 м3</v>
      </c>
      <c r="D21" s="48">
        <f>Source!I33</f>
        <v>0.45150000000000001</v>
      </c>
      <c r="E21" s="46"/>
    </row>
    <row r="22" spans="1:5" ht="42.75" x14ac:dyDescent="0.2">
      <c r="A22" s="45" t="str">
        <f>Source!E34</f>
        <v>6</v>
      </c>
      <c r="B22" s="46" t="str">
        <f>Source!G34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22" s="47" t="str">
        <f>Source!H34</f>
        <v>100 м2</v>
      </c>
      <c r="D22" s="48">
        <f>Source!I34</f>
        <v>6.45</v>
      </c>
      <c r="E22" s="46"/>
    </row>
    <row r="23" spans="1:5" ht="42.75" x14ac:dyDescent="0.2">
      <c r="A23" s="45" t="str">
        <f>Source!E35</f>
        <v>7</v>
      </c>
      <c r="B23" s="46" t="str">
        <f>Source!G35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C23" s="47" t="str">
        <f>Source!H35</f>
        <v>100 м2</v>
      </c>
      <c r="D23" s="48">
        <f>Source!I35</f>
        <v>6.45</v>
      </c>
      <c r="E23" s="46"/>
    </row>
    <row r="24" spans="1:5" ht="16.5" x14ac:dyDescent="0.25">
      <c r="A24" s="75" t="str">
        <f>CONCATENATE("Раздел: ", Source!G67)</f>
        <v>Раздел: Филиал №4 по адресу г. Москва, Хвалынский бульвар, дом 10</v>
      </c>
      <c r="B24" s="75"/>
      <c r="C24" s="75"/>
      <c r="D24" s="75"/>
      <c r="E24" s="75"/>
    </row>
    <row r="25" spans="1:5" ht="14.25" x14ac:dyDescent="0.2">
      <c r="A25" s="45" t="str">
        <f>Source!E71</f>
        <v>8</v>
      </c>
      <c r="B25" s="46" t="str">
        <f>Source!G71</f>
        <v>Разборка покрытий и оснований асфальтобетонных</v>
      </c>
      <c r="C25" s="47" t="str">
        <f>Source!H71</f>
        <v>100 м3</v>
      </c>
      <c r="D25" s="48">
        <f>Source!I71</f>
        <v>0.26250000000000001</v>
      </c>
      <c r="E25" s="46"/>
    </row>
    <row r="26" spans="1:5" ht="42.75" x14ac:dyDescent="0.2">
      <c r="A26" s="45" t="str">
        <f>Source!E72</f>
        <v>9</v>
      </c>
      <c r="B26" s="46" t="str">
        <f>Source!G72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26" s="47" t="str">
        <f>Source!H72</f>
        <v>100 м2</v>
      </c>
      <c r="D26" s="48">
        <f>Source!I72</f>
        <v>3.5</v>
      </c>
      <c r="E26" s="46"/>
    </row>
    <row r="27" spans="1:5" ht="42.75" x14ac:dyDescent="0.2">
      <c r="A27" s="45" t="str">
        <f>Source!E73</f>
        <v>10</v>
      </c>
      <c r="B27" s="46" t="str">
        <f>Source!G73</f>
        <v>Устройство асфальтобетонных покрытий дорожек и тротуаров двухслойных, нижний слой из крупнозернистой асфальтобетонной смеси тип Б, марка II, толщиной 4,5 см</v>
      </c>
      <c r="C27" s="47" t="str">
        <f>Source!H73</f>
        <v>100 м2</v>
      </c>
      <c r="D27" s="48">
        <f>Source!I73</f>
        <v>3.5</v>
      </c>
      <c r="E27" s="46"/>
    </row>
    <row r="28" spans="1:5" ht="16.5" x14ac:dyDescent="0.25">
      <c r="A28" s="75" t="str">
        <f>CONCATENATE("Раздел: ", Source!G105)</f>
        <v>Раздел: Перевозка отходов асфальта</v>
      </c>
      <c r="B28" s="75"/>
      <c r="C28" s="75"/>
      <c r="D28" s="75"/>
      <c r="E28" s="75"/>
    </row>
    <row r="29" spans="1:5" ht="42.75" x14ac:dyDescent="0.2">
      <c r="A29" s="45" t="str">
        <f>Source!E109</f>
        <v>11</v>
      </c>
      <c r="B29" s="46" t="str">
        <f>Source!G109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C29" s="47" t="str">
        <f>Source!H109</f>
        <v>т</v>
      </c>
      <c r="D29" s="48">
        <f>Source!I109</f>
        <v>177.12</v>
      </c>
      <c r="E29" s="46"/>
    </row>
    <row r="30" spans="1:5" ht="42.75" x14ac:dyDescent="0.2">
      <c r="A30" s="41" t="str">
        <f>Source!E110</f>
        <v>12</v>
      </c>
      <c r="B30" s="42" t="str">
        <f>Source!G110</f>
        <v>Перевозка отфрезерованного асфальтобетона автосамосвалами грузоподъемностью до 10 т - добавляется на каждый последующий 1 км до 100 км /ЮАО/</v>
      </c>
      <c r="C30" s="43" t="str">
        <f>Source!H110</f>
        <v>т</v>
      </c>
      <c r="D30" s="44">
        <f>Source!I110</f>
        <v>177.12</v>
      </c>
      <c r="E30" s="42"/>
    </row>
    <row r="34" spans="1:5" x14ac:dyDescent="0.2">
      <c r="A34" s="78" t="s">
        <v>293</v>
      </c>
      <c r="B34" s="79"/>
      <c r="C34" s="79"/>
      <c r="D34" s="79"/>
      <c r="E34" s="79"/>
    </row>
  </sheetData>
  <mergeCells count="7">
    <mergeCell ref="A24:E24"/>
    <mergeCell ref="A28:E28"/>
    <mergeCell ref="A34:E34"/>
    <mergeCell ref="C5:D5"/>
    <mergeCell ref="C7:D7"/>
    <mergeCell ref="A11:D11"/>
    <mergeCell ref="A15:E15"/>
  </mergeCells>
  <pageMargins left="0.4" right="0.2" top="0.2" bottom="0.4" header="0.2" footer="0.2"/>
  <pageSetup paperSize="9" scale="75" fitToHeight="0" orientation="portrait" verticalDpi="0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/>
  </sheetViews>
  <sheetFormatPr defaultRowHeight="12.75" x14ac:dyDescent="0.2"/>
  <sheetData>
    <row r="1" spans="1:24" x14ac:dyDescent="0.2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</row>
    <row r="2" spans="1:24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38115817</v>
      </c>
    </row>
    <row r="4" spans="1:24" x14ac:dyDescent="0.2">
      <c r="A4" t="s">
        <v>243</v>
      </c>
      <c r="B4" t="s">
        <v>244</v>
      </c>
      <c r="C4" t="s">
        <v>245</v>
      </c>
      <c r="D4" t="s">
        <v>246</v>
      </c>
      <c r="E4" t="s">
        <v>247</v>
      </c>
      <c r="F4" t="s">
        <v>248</v>
      </c>
      <c r="G4" t="s">
        <v>249</v>
      </c>
      <c r="H4" t="s">
        <v>250</v>
      </c>
      <c r="I4" t="s">
        <v>251</v>
      </c>
      <c r="J4" t="s">
        <v>252</v>
      </c>
      <c r="K4" t="s">
        <v>253</v>
      </c>
      <c r="L4" t="s">
        <v>254</v>
      </c>
      <c r="M4" t="s">
        <v>255</v>
      </c>
      <c r="N4" t="s">
        <v>256</v>
      </c>
      <c r="O4" t="s">
        <v>257</v>
      </c>
      <c r="P4" t="s">
        <v>258</v>
      </c>
      <c r="Q4" t="s">
        <v>259</v>
      </c>
      <c r="R4" t="s">
        <v>260</v>
      </c>
      <c r="S4" t="s">
        <v>261</v>
      </c>
      <c r="T4" t="s">
        <v>262</v>
      </c>
      <c r="U4" t="s">
        <v>263</v>
      </c>
      <c r="V4" t="s">
        <v>264</v>
      </c>
      <c r="W4" t="s">
        <v>265</v>
      </c>
      <c r="X4" t="s">
        <v>266</v>
      </c>
    </row>
    <row r="6" spans="1:24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4" x14ac:dyDescent="0.2">
      <c r="A7">
        <f>Source!A24</f>
        <v>4</v>
      </c>
      <c r="B7">
        <v>24</v>
      </c>
      <c r="G7" t="str">
        <f>Source!G24</f>
        <v>Головное здание по адресу г. Москва, ул. Авиаконструктора Миля, дом 5, корпус 1</v>
      </c>
    </row>
    <row r="8" spans="1:24" x14ac:dyDescent="0.2">
      <c r="A8">
        <v>20</v>
      </c>
      <c r="B8">
        <v>5</v>
      </c>
      <c r="C8">
        <v>3</v>
      </c>
      <c r="D8">
        <v>0</v>
      </c>
      <c r="E8">
        <f>SmtRes!AV5</f>
        <v>0</v>
      </c>
      <c r="F8" t="str">
        <f>SmtRes!I5</f>
        <v>21.3-3-18</v>
      </c>
      <c r="G8" t="str">
        <f>SmtRes!K5</f>
        <v>Смеси асфальтобетонные дорожные горячие мелкозернистые, марка I, тип Б</v>
      </c>
      <c r="H8" t="str">
        <f>SmtRes!O5</f>
        <v>т</v>
      </c>
      <c r="I8">
        <f>SmtRes!Y5*Source!I29</f>
        <v>5.7480000000000002</v>
      </c>
      <c r="J8">
        <f>SmtRes!AO5</f>
        <v>1</v>
      </c>
      <c r="K8">
        <f>SmtRes!AE5</f>
        <v>2690.29</v>
      </c>
      <c r="L8">
        <f>SmtRes!DB5</f>
        <v>25772.98</v>
      </c>
      <c r="M8">
        <f>ROUND(ROUND(L8*Source!I29, 6)*1, 2)</f>
        <v>15463.79</v>
      </c>
      <c r="N8">
        <f>SmtRes!AA5</f>
        <v>2690.29</v>
      </c>
      <c r="O8">
        <f>ROUND(ROUND(L8*Source!I29, 6)*SmtRes!DA5, 2)</f>
        <v>15463.79</v>
      </c>
      <c r="P8">
        <f>SmtRes!AG5</f>
        <v>0</v>
      </c>
      <c r="Q8">
        <f>SmtRes!DC5</f>
        <v>0</v>
      </c>
      <c r="R8">
        <f>ROUND(ROUND(Q8*Source!I29, 6)*1, 2)</f>
        <v>0</v>
      </c>
      <c r="S8">
        <f>SmtRes!AC5</f>
        <v>0</v>
      </c>
      <c r="T8">
        <f>ROUND(ROUND(Q8*Source!I29, 6)*SmtRes!AK5, 2)</f>
        <v>0</v>
      </c>
      <c r="U8">
        <f>SmtRes!X5</f>
        <v>-1620018910</v>
      </c>
      <c r="V8">
        <v>-1141978105</v>
      </c>
      <c r="W8">
        <v>-1399263926</v>
      </c>
      <c r="X8">
        <v>3</v>
      </c>
    </row>
    <row r="9" spans="1:24" x14ac:dyDescent="0.2">
      <c r="A9">
        <v>20</v>
      </c>
      <c r="B9">
        <v>27</v>
      </c>
      <c r="C9">
        <v>3</v>
      </c>
      <c r="D9">
        <v>0</v>
      </c>
      <c r="E9">
        <f>SmtRes!AV27</f>
        <v>0</v>
      </c>
      <c r="F9" t="str">
        <f>SmtRes!I27</f>
        <v>21.3-4-17</v>
      </c>
      <c r="G9" t="str">
        <f>SmtRes!K27</f>
        <v>Арматурные заготовки (стержни, хомуты и т.п.), не собранные в каркасы или сетки, арматурная сталь периодического профиля, класс А-III, диаметр 12-14 мм</v>
      </c>
      <c r="H9" t="str">
        <f>SmtRes!O27</f>
        <v>т</v>
      </c>
      <c r="I9">
        <f>SmtRes!Y27*Source!I31</f>
        <v>7.7999999999999996E-3</v>
      </c>
      <c r="J9">
        <f>SmtRes!AO27</f>
        <v>1</v>
      </c>
      <c r="K9">
        <f>SmtRes!AE27</f>
        <v>36434</v>
      </c>
      <c r="L9">
        <f>SmtRes!DB27</f>
        <v>1093.02</v>
      </c>
      <c r="M9">
        <f>ROUND(ROUND(L9*Source!I31, 6)*1, 2)</f>
        <v>284.19</v>
      </c>
      <c r="N9">
        <f>SmtRes!AA27</f>
        <v>36434</v>
      </c>
      <c r="O9">
        <f>ROUND(ROUND(L9*Source!I31, 6)*SmtRes!DA27, 2)</f>
        <v>284.19</v>
      </c>
      <c r="P9">
        <f>SmtRes!AG27</f>
        <v>0</v>
      </c>
      <c r="Q9">
        <f>SmtRes!DC27</f>
        <v>0</v>
      </c>
      <c r="R9">
        <f>ROUND(ROUND(Q9*Source!I31, 6)*1, 2)</f>
        <v>0</v>
      </c>
      <c r="S9">
        <f>SmtRes!AC27</f>
        <v>0</v>
      </c>
      <c r="T9">
        <f>ROUND(ROUND(Q9*Source!I31, 6)*SmtRes!AK27, 2)</f>
        <v>0</v>
      </c>
      <c r="U9">
        <f>SmtRes!X27</f>
        <v>-508128525</v>
      </c>
      <c r="V9">
        <v>-21417460</v>
      </c>
      <c r="W9">
        <v>945938853</v>
      </c>
      <c r="X9">
        <v>3</v>
      </c>
    </row>
    <row r="10" spans="1:24" x14ac:dyDescent="0.2">
      <c r="A10">
        <v>20</v>
      </c>
      <c r="B10">
        <v>25</v>
      </c>
      <c r="C10">
        <v>3</v>
      </c>
      <c r="D10">
        <v>0</v>
      </c>
      <c r="E10">
        <f>SmtRes!AV25</f>
        <v>0</v>
      </c>
      <c r="F10" t="str">
        <f>SmtRes!I25</f>
        <v>21.1-2-13</v>
      </c>
      <c r="G10" t="str">
        <f>SmtRes!K25</f>
        <v>Цемент общестроительный, портландцемент общего назначения, марка 400</v>
      </c>
      <c r="H10" t="str">
        <f>SmtRes!O25</f>
        <v>т</v>
      </c>
      <c r="I10">
        <f>SmtRes!Y25*Source!I31</f>
        <v>0.33800000000000002</v>
      </c>
      <c r="J10">
        <f>SmtRes!AO25</f>
        <v>1</v>
      </c>
      <c r="K10">
        <f>SmtRes!AE25</f>
        <v>4207.5</v>
      </c>
      <c r="L10">
        <f>SmtRes!DB25</f>
        <v>5469.75</v>
      </c>
      <c r="M10">
        <f>ROUND(ROUND(L10*Source!I31, 6)*1, 2)</f>
        <v>1422.14</v>
      </c>
      <c r="N10">
        <f>SmtRes!AA25</f>
        <v>4207.5</v>
      </c>
      <c r="O10">
        <f>ROUND(ROUND(L10*Source!I31, 6)*SmtRes!DA25, 2)</f>
        <v>1422.14</v>
      </c>
      <c r="P10">
        <f>SmtRes!AG25</f>
        <v>0</v>
      </c>
      <c r="Q10">
        <f>SmtRes!DC25</f>
        <v>0</v>
      </c>
      <c r="R10">
        <f>ROUND(ROUND(Q10*Source!I31, 6)*1, 2)</f>
        <v>0</v>
      </c>
      <c r="S10">
        <f>SmtRes!AC25</f>
        <v>0</v>
      </c>
      <c r="T10">
        <f>ROUND(ROUND(Q10*Source!I31, 6)*SmtRes!AK25, 2)</f>
        <v>0</v>
      </c>
      <c r="U10">
        <f>SmtRes!X25</f>
        <v>1285591100</v>
      </c>
      <c r="V10">
        <v>-1699622301</v>
      </c>
      <c r="W10">
        <v>-1395063143</v>
      </c>
      <c r="X10">
        <v>3</v>
      </c>
    </row>
    <row r="11" spans="1:24" x14ac:dyDescent="0.2">
      <c r="A11">
        <v>20</v>
      </c>
      <c r="B11">
        <v>24</v>
      </c>
      <c r="C11">
        <v>3</v>
      </c>
      <c r="D11">
        <v>0</v>
      </c>
      <c r="E11">
        <f>SmtRes!AV24</f>
        <v>0</v>
      </c>
      <c r="F11" t="str">
        <f>SmtRes!I24</f>
        <v>21.1-12-62</v>
      </c>
      <c r="G11" t="str">
        <f>SmtRes!K24</f>
        <v>Брусчатка из гранита серого цвета, пилено-колотая из пиленого полуфабриката, размер 100х100х100 мм</v>
      </c>
      <c r="H11" t="str">
        <f>SmtRes!O24</f>
        <v>м2</v>
      </c>
      <c r="I11">
        <f>SmtRes!Y24*Source!I31</f>
        <v>2.6</v>
      </c>
      <c r="J11">
        <f>SmtRes!AO24</f>
        <v>1</v>
      </c>
      <c r="K11">
        <f>SmtRes!AE24</f>
        <v>4659.1099999999997</v>
      </c>
      <c r="L11">
        <f>SmtRes!DB24</f>
        <v>46591.1</v>
      </c>
      <c r="M11">
        <f>ROUND(ROUND(L11*Source!I31, 6)*1, 2)</f>
        <v>12113.69</v>
      </c>
      <c r="N11">
        <f>SmtRes!AA24</f>
        <v>4659.1099999999997</v>
      </c>
      <c r="O11">
        <f>ROUND(ROUND(L11*Source!I31, 6)*SmtRes!DA24, 2)</f>
        <v>12113.69</v>
      </c>
      <c r="P11">
        <f>SmtRes!AG24</f>
        <v>0</v>
      </c>
      <c r="Q11">
        <f>SmtRes!DC24</f>
        <v>0</v>
      </c>
      <c r="R11">
        <f>ROUND(ROUND(Q11*Source!I31, 6)*1, 2)</f>
        <v>0</v>
      </c>
      <c r="S11">
        <f>SmtRes!AC24</f>
        <v>0</v>
      </c>
      <c r="T11">
        <f>ROUND(ROUND(Q11*Source!I31, 6)*SmtRes!AK24, 2)</f>
        <v>0</v>
      </c>
      <c r="U11">
        <f>SmtRes!X24</f>
        <v>-1610909561</v>
      </c>
      <c r="V11">
        <v>1959659146</v>
      </c>
      <c r="W11">
        <v>-78886534</v>
      </c>
      <c r="X11">
        <v>3</v>
      </c>
    </row>
    <row r="12" spans="1:24" x14ac:dyDescent="0.2">
      <c r="A12">
        <v>20</v>
      </c>
      <c r="B12">
        <v>23</v>
      </c>
      <c r="C12">
        <v>3</v>
      </c>
      <c r="D12">
        <v>0</v>
      </c>
      <c r="E12">
        <f>SmtRes!AV23</f>
        <v>0</v>
      </c>
      <c r="F12" t="str">
        <f>SmtRes!I23</f>
        <v>21.1-12-61</v>
      </c>
      <c r="G12" t="str">
        <f>SmtRes!K23</f>
        <v>Камень природный окатанный (галька речная), размер 50-350 мм</v>
      </c>
      <c r="H12" t="str">
        <f>SmtRes!O23</f>
        <v>т</v>
      </c>
      <c r="I12">
        <f>SmtRes!Y23*Source!I31</f>
        <v>0.37959999999999999</v>
      </c>
      <c r="J12">
        <f>SmtRes!AO23</f>
        <v>1</v>
      </c>
      <c r="K12">
        <f>SmtRes!AE23</f>
        <v>9548.1200000000008</v>
      </c>
      <c r="L12">
        <f>SmtRes!DB23</f>
        <v>13940.26</v>
      </c>
      <c r="M12">
        <f>ROUND(ROUND(L12*Source!I31, 6)*1, 2)</f>
        <v>3624.47</v>
      </c>
      <c r="N12">
        <f>SmtRes!AA23</f>
        <v>9548.1200000000008</v>
      </c>
      <c r="O12">
        <f>ROUND(ROUND(L12*Source!I31, 6)*SmtRes!DA23, 2)</f>
        <v>3624.47</v>
      </c>
      <c r="P12">
        <f>SmtRes!AG23</f>
        <v>0</v>
      </c>
      <c r="Q12">
        <f>SmtRes!DC23</f>
        <v>0</v>
      </c>
      <c r="R12">
        <f>ROUND(ROUND(Q12*Source!I31, 6)*1, 2)</f>
        <v>0</v>
      </c>
      <c r="S12">
        <f>SmtRes!AC23</f>
        <v>0</v>
      </c>
      <c r="T12">
        <f>ROUND(ROUND(Q12*Source!I31, 6)*SmtRes!AK23, 2)</f>
        <v>0</v>
      </c>
      <c r="U12">
        <f>SmtRes!X23</f>
        <v>-750171961</v>
      </c>
      <c r="V12">
        <v>-1730318246</v>
      </c>
      <c r="W12">
        <v>-1695821691</v>
      </c>
      <c r="X12">
        <v>3</v>
      </c>
    </row>
    <row r="13" spans="1:24" x14ac:dyDescent="0.2">
      <c r="A13">
        <v>20</v>
      </c>
      <c r="B13">
        <v>22</v>
      </c>
      <c r="C13">
        <v>3</v>
      </c>
      <c r="D13">
        <v>0</v>
      </c>
      <c r="E13">
        <f>SmtRes!AV22</f>
        <v>0</v>
      </c>
      <c r="F13" t="str">
        <f>SmtRes!I22</f>
        <v>21.1-12-29</v>
      </c>
      <c r="G13" t="str">
        <f>SmtRes!K22</f>
        <v>Щебень из естественного камня для строительных работ, марка 600-400, фракция 5-10 мм</v>
      </c>
      <c r="H13" t="str">
        <f>SmtRes!O22</f>
        <v>м3</v>
      </c>
      <c r="I13">
        <f>SmtRes!Y22*Source!I31</f>
        <v>0.88400000000000001</v>
      </c>
      <c r="J13">
        <f>SmtRes!AO22</f>
        <v>1</v>
      </c>
      <c r="K13">
        <f>SmtRes!AE22</f>
        <v>1436.5</v>
      </c>
      <c r="L13">
        <f>SmtRes!DB22</f>
        <v>4884.1000000000004</v>
      </c>
      <c r="M13">
        <f>ROUND(ROUND(L13*Source!I31, 6)*1, 2)</f>
        <v>1269.8699999999999</v>
      </c>
      <c r="N13">
        <f>SmtRes!AA22</f>
        <v>1436.5</v>
      </c>
      <c r="O13">
        <f>ROUND(ROUND(L13*Source!I31, 6)*SmtRes!DA22, 2)</f>
        <v>1269.8699999999999</v>
      </c>
      <c r="P13">
        <f>SmtRes!AG22</f>
        <v>0</v>
      </c>
      <c r="Q13">
        <f>SmtRes!DC22</f>
        <v>0</v>
      </c>
      <c r="R13">
        <f>ROUND(ROUND(Q13*Source!I31, 6)*1, 2)</f>
        <v>0</v>
      </c>
      <c r="S13">
        <f>SmtRes!AC22</f>
        <v>0</v>
      </c>
      <c r="T13">
        <f>ROUND(ROUND(Q13*Source!I31, 6)*SmtRes!AK22, 2)</f>
        <v>0</v>
      </c>
      <c r="U13">
        <f>SmtRes!X22</f>
        <v>-1412128106</v>
      </c>
      <c r="V13">
        <v>-1647788881</v>
      </c>
      <c r="W13">
        <v>-108308994</v>
      </c>
      <c r="X13">
        <v>3</v>
      </c>
    </row>
    <row r="14" spans="1:24" x14ac:dyDescent="0.2">
      <c r="A14">
        <v>20</v>
      </c>
      <c r="B14">
        <v>21</v>
      </c>
      <c r="C14">
        <v>3</v>
      </c>
      <c r="D14">
        <v>0</v>
      </c>
      <c r="E14">
        <f>SmtRes!AV21</f>
        <v>0</v>
      </c>
      <c r="F14" t="str">
        <f>SmtRes!I21</f>
        <v>21.1-12-11</v>
      </c>
      <c r="G14" t="str">
        <f>SmtRes!K21</f>
        <v>Песок для строительных работ, рядовой</v>
      </c>
      <c r="H14" t="str">
        <f>SmtRes!O21</f>
        <v>м3</v>
      </c>
      <c r="I14">
        <f>SmtRes!Y21*Source!I31</f>
        <v>0.88400000000000001</v>
      </c>
      <c r="J14">
        <f>SmtRes!AO21</f>
        <v>1</v>
      </c>
      <c r="K14">
        <f>SmtRes!AE21</f>
        <v>590.78</v>
      </c>
      <c r="L14">
        <f>SmtRes!DB21</f>
        <v>2008.65</v>
      </c>
      <c r="M14">
        <f>ROUND(ROUND(L14*Source!I31, 6)*1, 2)</f>
        <v>522.25</v>
      </c>
      <c r="N14">
        <f>SmtRes!AA21</f>
        <v>590.78</v>
      </c>
      <c r="O14">
        <f>ROUND(ROUND(L14*Source!I31, 6)*SmtRes!DA21, 2)</f>
        <v>522.25</v>
      </c>
      <c r="P14">
        <f>SmtRes!AG21</f>
        <v>0</v>
      </c>
      <c r="Q14">
        <f>SmtRes!DC21</f>
        <v>0</v>
      </c>
      <c r="R14">
        <f>ROUND(ROUND(Q14*Source!I31, 6)*1, 2)</f>
        <v>0</v>
      </c>
      <c r="S14">
        <f>SmtRes!AC21</f>
        <v>0</v>
      </c>
      <c r="T14">
        <f>ROUND(ROUND(Q14*Source!I31, 6)*SmtRes!AK21, 2)</f>
        <v>0</v>
      </c>
      <c r="U14">
        <f>SmtRes!X21</f>
        <v>909340900</v>
      </c>
      <c r="V14">
        <v>397661985</v>
      </c>
      <c r="W14">
        <v>2055348388</v>
      </c>
      <c r="X14">
        <v>3</v>
      </c>
    </row>
    <row r="15" spans="1:24" x14ac:dyDescent="0.2">
      <c r="A15">
        <v>20</v>
      </c>
      <c r="B15">
        <v>20</v>
      </c>
      <c r="C15">
        <v>3</v>
      </c>
      <c r="D15">
        <v>0</v>
      </c>
      <c r="E15">
        <f>SmtRes!AV20</f>
        <v>0</v>
      </c>
      <c r="F15" t="str">
        <f>SmtRes!I20</f>
        <v>21.1-10-167</v>
      </c>
      <c r="G15" t="str">
        <f>SmtRes!K20</f>
        <v>Сталь листовая, оцинкованная, толщина 0,7-0,8 мм</v>
      </c>
      <c r="H15" t="str">
        <f>SmtRes!O20</f>
        <v>т</v>
      </c>
      <c r="I15">
        <f>SmtRes!Y20*Source!I31</f>
        <v>2.86E-2</v>
      </c>
      <c r="J15">
        <f>SmtRes!AO20</f>
        <v>1</v>
      </c>
      <c r="K15">
        <f>SmtRes!AE20</f>
        <v>53313.54</v>
      </c>
      <c r="L15">
        <f>SmtRes!DB20</f>
        <v>5864.49</v>
      </c>
      <c r="M15">
        <f>ROUND(ROUND(L15*Source!I31, 6)*1, 2)</f>
        <v>1524.77</v>
      </c>
      <c r="N15">
        <f>SmtRes!AA20</f>
        <v>53313.54</v>
      </c>
      <c r="O15">
        <f>ROUND(ROUND(L15*Source!I31, 6)*SmtRes!DA20, 2)</f>
        <v>1524.77</v>
      </c>
      <c r="P15">
        <f>SmtRes!AG20</f>
        <v>0</v>
      </c>
      <c r="Q15">
        <f>SmtRes!DC20</f>
        <v>0</v>
      </c>
      <c r="R15">
        <f>ROUND(ROUND(Q15*Source!I31, 6)*1, 2)</f>
        <v>0</v>
      </c>
      <c r="S15">
        <f>SmtRes!AC20</f>
        <v>0</v>
      </c>
      <c r="T15">
        <f>ROUND(ROUND(Q15*Source!I31, 6)*SmtRes!AK20, 2)</f>
        <v>0</v>
      </c>
      <c r="U15">
        <f>SmtRes!X20</f>
        <v>1130308456</v>
      </c>
      <c r="V15">
        <v>-2012772507</v>
      </c>
      <c r="W15">
        <v>530879999</v>
      </c>
      <c r="X15">
        <v>3</v>
      </c>
    </row>
    <row r="16" spans="1:24" x14ac:dyDescent="0.2">
      <c r="A16">
        <v>20</v>
      </c>
      <c r="B16">
        <v>35</v>
      </c>
      <c r="C16">
        <v>3</v>
      </c>
      <c r="D16">
        <v>0</v>
      </c>
      <c r="E16">
        <f>SmtRes!AV35</f>
        <v>0</v>
      </c>
      <c r="F16" t="str">
        <f>SmtRes!I35</f>
        <v>21.3-3-34</v>
      </c>
      <c r="G16" t="str">
        <f>SmtRes!K35</f>
        <v>Смеси асфальтобетонные дорожные горячие песчаные, тип Д, марка III</v>
      </c>
      <c r="H16" t="str">
        <f>SmtRes!O35</f>
        <v>т</v>
      </c>
      <c r="I16">
        <f>SmtRes!Y35*Source!I34</f>
        <v>46.052999999999997</v>
      </c>
      <c r="J16">
        <f>SmtRes!AO35</f>
        <v>1</v>
      </c>
      <c r="K16">
        <f>SmtRes!AE35</f>
        <v>2652.04</v>
      </c>
      <c r="L16">
        <f>SmtRes!DB35</f>
        <v>18935.57</v>
      </c>
      <c r="M16">
        <f>ROUND(ROUND(L16*Source!I34, 6)*1, 2)</f>
        <v>122134.43</v>
      </c>
      <c r="N16">
        <f>SmtRes!AA35</f>
        <v>2652.04</v>
      </c>
      <c r="O16">
        <f>ROUND(ROUND(L16*Source!I34, 6)*SmtRes!DA35, 2)</f>
        <v>122134.43</v>
      </c>
      <c r="P16">
        <f>SmtRes!AG35</f>
        <v>0</v>
      </c>
      <c r="Q16">
        <f>SmtRes!DC35</f>
        <v>0</v>
      </c>
      <c r="R16">
        <f>ROUND(ROUND(Q16*Source!I34, 6)*1, 2)</f>
        <v>0</v>
      </c>
      <c r="S16">
        <f>SmtRes!AC35</f>
        <v>0</v>
      </c>
      <c r="T16">
        <f>ROUND(ROUND(Q16*Source!I34, 6)*SmtRes!AK35, 2)</f>
        <v>0</v>
      </c>
      <c r="U16">
        <f>SmtRes!X35</f>
        <v>2062870502</v>
      </c>
      <c r="V16">
        <v>-2092740122</v>
      </c>
      <c r="W16">
        <v>-1992966868</v>
      </c>
      <c r="X16">
        <v>3</v>
      </c>
    </row>
    <row r="17" spans="1:24" x14ac:dyDescent="0.2">
      <c r="A17">
        <v>20</v>
      </c>
      <c r="B17">
        <v>34</v>
      </c>
      <c r="C17">
        <v>3</v>
      </c>
      <c r="D17">
        <v>0</v>
      </c>
      <c r="E17">
        <f>SmtRes!AV34</f>
        <v>0</v>
      </c>
      <c r="F17" t="str">
        <f>SmtRes!I34</f>
        <v>21.1-1-3</v>
      </c>
      <c r="G17" t="str">
        <f>SmtRes!K34</f>
        <v>Битумы нефтяные, дорожные жидкие, марка МГ, СГ</v>
      </c>
      <c r="H17" t="str">
        <f>SmtRes!O34</f>
        <v>т</v>
      </c>
      <c r="I17">
        <f>SmtRes!Y34*Source!I34</f>
        <v>0.38700000000000001</v>
      </c>
      <c r="J17">
        <f>SmtRes!AO34</f>
        <v>1</v>
      </c>
      <c r="K17">
        <f>SmtRes!AE34</f>
        <v>25888.1</v>
      </c>
      <c r="L17">
        <f>SmtRes!DB34</f>
        <v>1553.29</v>
      </c>
      <c r="M17">
        <f>ROUND(ROUND(L17*Source!I34, 6)*1, 2)</f>
        <v>10018.719999999999</v>
      </c>
      <c r="N17">
        <f>SmtRes!AA34</f>
        <v>25888.1</v>
      </c>
      <c r="O17">
        <f>ROUND(ROUND(L17*Source!I34, 6)*SmtRes!DA34, 2)</f>
        <v>10018.719999999999</v>
      </c>
      <c r="P17">
        <f>SmtRes!AG34</f>
        <v>0</v>
      </c>
      <c r="Q17">
        <f>SmtRes!DC34</f>
        <v>0</v>
      </c>
      <c r="R17">
        <f>ROUND(ROUND(Q17*Source!I34, 6)*1, 2)</f>
        <v>0</v>
      </c>
      <c r="S17">
        <f>SmtRes!AC34</f>
        <v>0</v>
      </c>
      <c r="T17">
        <f>ROUND(ROUND(Q17*Source!I34, 6)*SmtRes!AK34, 2)</f>
        <v>0</v>
      </c>
      <c r="U17">
        <f>SmtRes!X34</f>
        <v>-68218516</v>
      </c>
      <c r="V17">
        <v>-1756337381</v>
      </c>
      <c r="W17">
        <v>1346167613</v>
      </c>
      <c r="X17">
        <v>3</v>
      </c>
    </row>
    <row r="18" spans="1:24" x14ac:dyDescent="0.2">
      <c r="A18">
        <v>20</v>
      </c>
      <c r="B18">
        <v>39</v>
      </c>
      <c r="C18">
        <v>3</v>
      </c>
      <c r="D18">
        <v>0</v>
      </c>
      <c r="E18">
        <f>SmtRes!AV39</f>
        <v>0</v>
      </c>
      <c r="F18" t="str">
        <f>SmtRes!I39</f>
        <v>21.3-3-8</v>
      </c>
      <c r="G18" t="str">
        <f>SmtRes!K39</f>
        <v>Смеси асфальтобетонные дорожные горячие крупнозернистые, тип Б, марка II</v>
      </c>
      <c r="H18" t="str">
        <f>SmtRes!O39</f>
        <v>т</v>
      </c>
      <c r="I18">
        <f>SmtRes!Y39*Source!I35</f>
        <v>69.015000000000001</v>
      </c>
      <c r="J18">
        <f>SmtRes!AO39</f>
        <v>1</v>
      </c>
      <c r="K18">
        <f>SmtRes!AE39</f>
        <v>2649.07</v>
      </c>
      <c r="L18">
        <f>SmtRes!DB39</f>
        <v>28345.05</v>
      </c>
      <c r="M18">
        <f>ROUND(ROUND(L18*Source!I35, 6)*1, 2)</f>
        <v>182825.57</v>
      </c>
      <c r="N18">
        <f>SmtRes!AA39</f>
        <v>2649.07</v>
      </c>
      <c r="O18">
        <f>ROUND(ROUND(L18*Source!I35, 6)*SmtRes!DA39, 2)</f>
        <v>182825.57</v>
      </c>
      <c r="P18">
        <f>SmtRes!AG39</f>
        <v>0</v>
      </c>
      <c r="Q18">
        <f>SmtRes!DC39</f>
        <v>0</v>
      </c>
      <c r="R18">
        <f>ROUND(ROUND(Q18*Source!I35, 6)*1, 2)</f>
        <v>0</v>
      </c>
      <c r="S18">
        <f>SmtRes!AC39</f>
        <v>0</v>
      </c>
      <c r="T18">
        <f>ROUND(ROUND(Q18*Source!I35, 6)*SmtRes!AK39, 2)</f>
        <v>0</v>
      </c>
      <c r="U18">
        <f>SmtRes!X39</f>
        <v>291499313</v>
      </c>
      <c r="V18">
        <v>1966146403</v>
      </c>
      <c r="W18">
        <v>1742277045</v>
      </c>
      <c r="X18">
        <v>3</v>
      </c>
    </row>
    <row r="19" spans="1:24" x14ac:dyDescent="0.2">
      <c r="A19">
        <v>20</v>
      </c>
      <c r="B19">
        <v>38</v>
      </c>
      <c r="C19">
        <v>3</v>
      </c>
      <c r="D19">
        <v>0</v>
      </c>
      <c r="E19">
        <f>SmtRes!AV38</f>
        <v>0</v>
      </c>
      <c r="F19" t="str">
        <f>SmtRes!I38</f>
        <v>21.1-1-3</v>
      </c>
      <c r="G19" t="str">
        <f>SmtRes!K38</f>
        <v>Битумы нефтяные, дорожные жидкие, марка МГ, СГ</v>
      </c>
      <c r="H19" t="str">
        <f>SmtRes!O38</f>
        <v>т</v>
      </c>
      <c r="I19">
        <f>SmtRes!Y38*Source!I35</f>
        <v>0.38700000000000001</v>
      </c>
      <c r="J19">
        <f>SmtRes!AO38</f>
        <v>1</v>
      </c>
      <c r="K19">
        <f>SmtRes!AE38</f>
        <v>25888.1</v>
      </c>
      <c r="L19">
        <f>SmtRes!DB38</f>
        <v>1553.29</v>
      </c>
      <c r="M19">
        <f>ROUND(ROUND(L19*Source!I35, 6)*1, 2)</f>
        <v>10018.719999999999</v>
      </c>
      <c r="N19">
        <f>SmtRes!AA38</f>
        <v>25888.1</v>
      </c>
      <c r="O19">
        <f>ROUND(ROUND(L19*Source!I35, 6)*SmtRes!DA38, 2)</f>
        <v>10018.719999999999</v>
      </c>
      <c r="P19">
        <f>SmtRes!AG38</f>
        <v>0</v>
      </c>
      <c r="Q19">
        <f>SmtRes!DC38</f>
        <v>0</v>
      </c>
      <c r="R19">
        <f>ROUND(ROUND(Q19*Source!I35, 6)*1, 2)</f>
        <v>0</v>
      </c>
      <c r="S19">
        <f>SmtRes!AC38</f>
        <v>0</v>
      </c>
      <c r="T19">
        <f>ROUND(ROUND(Q19*Source!I35, 6)*SmtRes!AK38, 2)</f>
        <v>0</v>
      </c>
      <c r="U19">
        <f>SmtRes!X38</f>
        <v>-68218516</v>
      </c>
      <c r="V19">
        <v>-1756337381</v>
      </c>
      <c r="W19">
        <v>1346167613</v>
      </c>
      <c r="X19">
        <v>3</v>
      </c>
    </row>
    <row r="20" spans="1:24" x14ac:dyDescent="0.2">
      <c r="A20">
        <f>Source!A67</f>
        <v>4</v>
      </c>
      <c r="B20">
        <v>67</v>
      </c>
      <c r="G20" t="str">
        <f>Source!G67</f>
        <v>Филиал №4 по адресу г. Москва, Хвалынский бульвар, дом 10</v>
      </c>
    </row>
    <row r="21" spans="1:24" x14ac:dyDescent="0.2">
      <c r="A21">
        <v>20</v>
      </c>
      <c r="B21">
        <v>47</v>
      </c>
      <c r="C21">
        <v>3</v>
      </c>
      <c r="D21">
        <v>0</v>
      </c>
      <c r="E21">
        <f>SmtRes!AV47</f>
        <v>0</v>
      </c>
      <c r="F21" t="str">
        <f>SmtRes!I47</f>
        <v>21.3-3-34</v>
      </c>
      <c r="G21" t="str">
        <f>SmtRes!K47</f>
        <v>Смеси асфальтобетонные дорожные горячие песчаные, тип Д, марка III</v>
      </c>
      <c r="H21" t="str">
        <f>SmtRes!O47</f>
        <v>т</v>
      </c>
      <c r="I21">
        <f>SmtRes!Y47*Source!I72</f>
        <v>24.99</v>
      </c>
      <c r="J21">
        <f>SmtRes!AO47</f>
        <v>1</v>
      </c>
      <c r="K21">
        <f>SmtRes!AE47</f>
        <v>2652.04</v>
      </c>
      <c r="L21">
        <f>SmtRes!DB47</f>
        <v>18935.57</v>
      </c>
      <c r="M21">
        <f>ROUND(ROUND(L21*Source!I72, 6)*1, 2)</f>
        <v>66274.5</v>
      </c>
      <c r="N21">
        <f>SmtRes!AA47</f>
        <v>2652.04</v>
      </c>
      <c r="O21">
        <f>ROUND(ROUND(L21*Source!I72, 6)*SmtRes!DA47, 2)</f>
        <v>66274.5</v>
      </c>
      <c r="P21">
        <f>SmtRes!AG47</f>
        <v>0</v>
      </c>
      <c r="Q21">
        <f>SmtRes!DC47</f>
        <v>0</v>
      </c>
      <c r="R21">
        <f>ROUND(ROUND(Q21*Source!I72, 6)*1, 2)</f>
        <v>0</v>
      </c>
      <c r="S21">
        <f>SmtRes!AC47</f>
        <v>0</v>
      </c>
      <c r="T21">
        <f>ROUND(ROUND(Q21*Source!I72, 6)*SmtRes!AK47, 2)</f>
        <v>0</v>
      </c>
      <c r="U21">
        <f>SmtRes!X47</f>
        <v>2062870502</v>
      </c>
      <c r="V21">
        <v>-2092740122</v>
      </c>
      <c r="W21">
        <v>-1992966868</v>
      </c>
      <c r="X21">
        <v>3</v>
      </c>
    </row>
    <row r="22" spans="1:24" x14ac:dyDescent="0.2">
      <c r="A22">
        <v>20</v>
      </c>
      <c r="B22">
        <v>46</v>
      </c>
      <c r="C22">
        <v>3</v>
      </c>
      <c r="D22">
        <v>0</v>
      </c>
      <c r="E22">
        <f>SmtRes!AV46</f>
        <v>0</v>
      </c>
      <c r="F22" t="str">
        <f>SmtRes!I46</f>
        <v>21.1-1-3</v>
      </c>
      <c r="G22" t="str">
        <f>SmtRes!K46</f>
        <v>Битумы нефтяные, дорожные жидкие, марка МГ, СГ</v>
      </c>
      <c r="H22" t="str">
        <f>SmtRes!O46</f>
        <v>т</v>
      </c>
      <c r="I22">
        <f>SmtRes!Y46*Source!I72</f>
        <v>0.21</v>
      </c>
      <c r="J22">
        <f>SmtRes!AO46</f>
        <v>1</v>
      </c>
      <c r="K22">
        <f>SmtRes!AE46</f>
        <v>25888.1</v>
      </c>
      <c r="L22">
        <f>SmtRes!DB46</f>
        <v>1553.29</v>
      </c>
      <c r="M22">
        <f>ROUND(ROUND(L22*Source!I72, 6)*1, 2)</f>
        <v>5436.52</v>
      </c>
      <c r="N22">
        <f>SmtRes!AA46</f>
        <v>25888.1</v>
      </c>
      <c r="O22">
        <f>ROUND(ROUND(L22*Source!I72, 6)*SmtRes!DA46, 2)</f>
        <v>5436.52</v>
      </c>
      <c r="P22">
        <f>SmtRes!AG46</f>
        <v>0</v>
      </c>
      <c r="Q22">
        <f>SmtRes!DC46</f>
        <v>0</v>
      </c>
      <c r="R22">
        <f>ROUND(ROUND(Q22*Source!I72, 6)*1, 2)</f>
        <v>0</v>
      </c>
      <c r="S22">
        <f>SmtRes!AC46</f>
        <v>0</v>
      </c>
      <c r="T22">
        <f>ROUND(ROUND(Q22*Source!I72, 6)*SmtRes!AK46, 2)</f>
        <v>0</v>
      </c>
      <c r="U22">
        <f>SmtRes!X46</f>
        <v>-68218516</v>
      </c>
      <c r="V22">
        <v>-1756337381</v>
      </c>
      <c r="W22">
        <v>1346167613</v>
      </c>
      <c r="X22">
        <v>3</v>
      </c>
    </row>
    <row r="23" spans="1:24" x14ac:dyDescent="0.2">
      <c r="A23">
        <v>20</v>
      </c>
      <c r="B23">
        <v>51</v>
      </c>
      <c r="C23">
        <v>3</v>
      </c>
      <c r="D23">
        <v>0</v>
      </c>
      <c r="E23">
        <f>SmtRes!AV51</f>
        <v>0</v>
      </c>
      <c r="F23" t="str">
        <f>SmtRes!I51</f>
        <v>21.3-3-8</v>
      </c>
      <c r="G23" t="str">
        <f>SmtRes!K51</f>
        <v>Смеси асфальтобетонные дорожные горячие крупнозернистые, тип Б, марка II</v>
      </c>
      <c r="H23" t="str">
        <f>SmtRes!O51</f>
        <v>т</v>
      </c>
      <c r="I23">
        <f>SmtRes!Y51*Source!I73</f>
        <v>37.449999999999996</v>
      </c>
      <c r="J23">
        <f>SmtRes!AO51</f>
        <v>1</v>
      </c>
      <c r="K23">
        <f>SmtRes!AE51</f>
        <v>2649.07</v>
      </c>
      <c r="L23">
        <f>SmtRes!DB51</f>
        <v>28345.05</v>
      </c>
      <c r="M23">
        <f>ROUND(ROUND(L23*Source!I73, 6)*1, 2)</f>
        <v>99207.679999999993</v>
      </c>
      <c r="N23">
        <f>SmtRes!AA51</f>
        <v>2649.07</v>
      </c>
      <c r="O23">
        <f>ROUND(ROUND(L23*Source!I73, 6)*SmtRes!DA51, 2)</f>
        <v>99207.679999999993</v>
      </c>
      <c r="P23">
        <f>SmtRes!AG51</f>
        <v>0</v>
      </c>
      <c r="Q23">
        <f>SmtRes!DC51</f>
        <v>0</v>
      </c>
      <c r="R23">
        <f>ROUND(ROUND(Q23*Source!I73, 6)*1, 2)</f>
        <v>0</v>
      </c>
      <c r="S23">
        <f>SmtRes!AC51</f>
        <v>0</v>
      </c>
      <c r="T23">
        <f>ROUND(ROUND(Q23*Source!I73, 6)*SmtRes!AK51, 2)</f>
        <v>0</v>
      </c>
      <c r="U23">
        <f>SmtRes!X51</f>
        <v>291499313</v>
      </c>
      <c r="V23">
        <v>1966146403</v>
      </c>
      <c r="W23">
        <v>1742277045</v>
      </c>
      <c r="X23">
        <v>3</v>
      </c>
    </row>
    <row r="24" spans="1:24" x14ac:dyDescent="0.2">
      <c r="A24">
        <v>20</v>
      </c>
      <c r="B24">
        <v>50</v>
      </c>
      <c r="C24">
        <v>3</v>
      </c>
      <c r="D24">
        <v>0</v>
      </c>
      <c r="E24">
        <f>SmtRes!AV50</f>
        <v>0</v>
      </c>
      <c r="F24" t="str">
        <f>SmtRes!I50</f>
        <v>21.1-1-3</v>
      </c>
      <c r="G24" t="str">
        <f>SmtRes!K50</f>
        <v>Битумы нефтяные, дорожные жидкие, марка МГ, СГ</v>
      </c>
      <c r="H24" t="str">
        <f>SmtRes!O50</f>
        <v>т</v>
      </c>
      <c r="I24">
        <f>SmtRes!Y50*Source!I73</f>
        <v>0.21</v>
      </c>
      <c r="J24">
        <f>SmtRes!AO50</f>
        <v>1</v>
      </c>
      <c r="K24">
        <f>SmtRes!AE50</f>
        <v>25888.1</v>
      </c>
      <c r="L24">
        <f>SmtRes!DB50</f>
        <v>1553.29</v>
      </c>
      <c r="M24">
        <f>ROUND(ROUND(L24*Source!I73, 6)*1, 2)</f>
        <v>5436.52</v>
      </c>
      <c r="N24">
        <f>SmtRes!AA50</f>
        <v>25888.1</v>
      </c>
      <c r="O24">
        <f>ROUND(ROUND(L24*Source!I73, 6)*SmtRes!DA50, 2)</f>
        <v>5436.52</v>
      </c>
      <c r="P24">
        <f>SmtRes!AG50</f>
        <v>0</v>
      </c>
      <c r="Q24">
        <f>SmtRes!DC50</f>
        <v>0</v>
      </c>
      <c r="R24">
        <f>ROUND(ROUND(Q24*Source!I73, 6)*1, 2)</f>
        <v>0</v>
      </c>
      <c r="S24">
        <f>SmtRes!AC50</f>
        <v>0</v>
      </c>
      <c r="T24">
        <f>ROUND(ROUND(Q24*Source!I73, 6)*SmtRes!AK50, 2)</f>
        <v>0</v>
      </c>
      <c r="U24">
        <f>SmtRes!X50</f>
        <v>-68218516</v>
      </c>
      <c r="V24">
        <v>-1756337381</v>
      </c>
      <c r="W24">
        <v>1346167613</v>
      </c>
      <c r="X24">
        <v>3</v>
      </c>
    </row>
    <row r="25" spans="1:24" x14ac:dyDescent="0.2">
      <c r="A25">
        <f>Source!A105</f>
        <v>4</v>
      </c>
      <c r="B25">
        <v>105</v>
      </c>
      <c r="G25" t="str">
        <f>Source!G105</f>
        <v>Перевозка отходов асфальта</v>
      </c>
    </row>
    <row r="26" spans="1:24" x14ac:dyDescent="0.2">
      <c r="A26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7" width="12.7109375" customWidth="1"/>
    <col min="15" max="15" width="115.7109375" hidden="1" customWidth="1"/>
    <col min="16" max="18" width="0" hidden="1" customWidth="1"/>
  </cols>
  <sheetData>
    <row r="2" spans="1:17" ht="16.5" x14ac:dyDescent="0.2">
      <c r="A2" s="80" t="s">
        <v>279</v>
      </c>
      <c r="B2" s="81"/>
      <c r="C2" s="81"/>
      <c r="D2" s="81"/>
      <c r="E2" s="81"/>
      <c r="F2" s="81"/>
      <c r="G2" s="81"/>
    </row>
    <row r="3" spans="1:17" ht="16.5" x14ac:dyDescent="0.2">
      <c r="A3" s="80" t="str">
        <f>CONCATENATE("Объект: ",IF(Source!G172&lt;&gt;"Новый объект", Source!G172, ""))</f>
        <v>Объект: Ремонт асфальта</v>
      </c>
      <c r="B3" s="81"/>
      <c r="C3" s="81"/>
      <c r="D3" s="81"/>
      <c r="E3" s="81"/>
      <c r="F3" s="81"/>
      <c r="G3" s="81"/>
    </row>
    <row r="4" spans="1:17" x14ac:dyDescent="0.2">
      <c r="A4" s="65" t="s">
        <v>280</v>
      </c>
      <c r="B4" s="65" t="s">
        <v>281</v>
      </c>
      <c r="C4" s="65" t="s">
        <v>209</v>
      </c>
      <c r="D4" s="65" t="s">
        <v>282</v>
      </c>
      <c r="E4" s="83" t="s">
        <v>283</v>
      </c>
      <c r="F4" s="84"/>
      <c r="G4" s="65" t="s">
        <v>286</v>
      </c>
    </row>
    <row r="5" spans="1:17" x14ac:dyDescent="0.2">
      <c r="A5" s="66"/>
      <c r="B5" s="66"/>
      <c r="C5" s="66"/>
      <c r="D5" s="66"/>
      <c r="E5" s="85"/>
      <c r="F5" s="86"/>
      <c r="G5" s="66"/>
    </row>
    <row r="6" spans="1:17" ht="14.25" x14ac:dyDescent="0.2">
      <c r="A6" s="82"/>
      <c r="B6" s="82"/>
      <c r="C6" s="82"/>
      <c r="D6" s="82"/>
      <c r="E6" s="18" t="s">
        <v>284</v>
      </c>
      <c r="F6" s="18" t="s">
        <v>285</v>
      </c>
      <c r="G6" s="82"/>
    </row>
    <row r="7" spans="1:17" ht="14.25" x14ac:dyDescent="0.2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</row>
    <row r="8" spans="1:17" ht="16.5" x14ac:dyDescent="0.2">
      <c r="A8" s="80" t="str">
        <f>CONCATENATE("Локальная смета: ",IF(Source!G22&lt;&gt;"Новая локальная смета", Source!G22, ""))</f>
        <v xml:space="preserve">Локальная смета: </v>
      </c>
      <c r="B8" s="81"/>
      <c r="C8" s="81"/>
      <c r="D8" s="81"/>
      <c r="E8" s="81"/>
      <c r="F8" s="81"/>
      <c r="G8" s="81"/>
    </row>
    <row r="9" spans="1:17" ht="16.5" x14ac:dyDescent="0.2">
      <c r="A9" s="80" t="str">
        <f>CONCATENATE("Раздел: ",IF(Source!G26&lt;&gt;"Новый раздел", Source!G26, ""))</f>
        <v>Раздел: Головное здание по адресу г. Москва, ул. Авиаконструктора Миля, дом 5, корпус 1</v>
      </c>
      <c r="B9" s="81"/>
      <c r="C9" s="81"/>
      <c r="D9" s="81"/>
      <c r="E9" s="81"/>
      <c r="F9" s="81"/>
      <c r="G9" s="81"/>
      <c r="O9" s="50" t="s">
        <v>287</v>
      </c>
    </row>
    <row r="10" spans="1:17" ht="14.25" x14ac:dyDescent="0.2">
      <c r="A10" s="87" t="s">
        <v>288</v>
      </c>
      <c r="B10" s="88"/>
      <c r="C10" s="88"/>
      <c r="D10" s="88"/>
      <c r="E10" s="88"/>
      <c r="F10" s="88"/>
      <c r="G10" s="88"/>
    </row>
    <row r="11" spans="1:17" ht="28.5" x14ac:dyDescent="0.2">
      <c r="A11" s="51" t="s">
        <v>146</v>
      </c>
      <c r="B11" s="42" t="s">
        <v>148</v>
      </c>
      <c r="C11" s="42" t="s">
        <v>117</v>
      </c>
      <c r="D11" s="43">
        <f>ROUND(SUMIF(RV_DATA!W8:'RV_DATA'!W19, 530879999, RV_DATA!I8:'RV_DATA'!I19), 6)</f>
        <v>2.86E-2</v>
      </c>
      <c r="E11" s="52">
        <f>ROUND(RV_DATA!K15, 6)</f>
        <v>53313.54</v>
      </c>
      <c r="F11" s="52">
        <f>ROUND(SUMIF(RV_DATA!W8:'RV_DATA'!W19, 530879999, RV_DATA!M8:'RV_DATA'!M19), 6)</f>
        <v>1524.77</v>
      </c>
      <c r="G11" s="52">
        <f>ROUND(SUMIF(RV_DATA!W8:'RV_DATA'!W19, 530879999, RV_DATA!O8:'RV_DATA'!O19), 6)</f>
        <v>1524.77</v>
      </c>
      <c r="Q11">
        <v>3</v>
      </c>
    </row>
    <row r="12" spans="1:17" ht="28.5" x14ac:dyDescent="0.2">
      <c r="A12" s="51" t="s">
        <v>149</v>
      </c>
      <c r="B12" s="42" t="s">
        <v>151</v>
      </c>
      <c r="C12" s="42" t="s">
        <v>40</v>
      </c>
      <c r="D12" s="43">
        <f>ROUND(SUMIF(RV_DATA!W8:'RV_DATA'!W19, 2055348388, RV_DATA!I8:'RV_DATA'!I19), 6)</f>
        <v>0.88400000000000001</v>
      </c>
      <c r="E12" s="52">
        <f>ROUND(RV_DATA!K14, 6)</f>
        <v>590.78</v>
      </c>
      <c r="F12" s="52">
        <f>ROUND(SUMIF(RV_DATA!W8:'RV_DATA'!W19, 2055348388, RV_DATA!M8:'RV_DATA'!M19), 6)</f>
        <v>522.25</v>
      </c>
      <c r="G12" s="52">
        <f>ROUND(SUMIF(RV_DATA!W8:'RV_DATA'!W19, 2055348388, RV_DATA!O8:'RV_DATA'!O19), 6)</f>
        <v>522.25</v>
      </c>
      <c r="Q12">
        <v>3</v>
      </c>
    </row>
    <row r="13" spans="1:17" ht="42.75" x14ac:dyDescent="0.2">
      <c r="A13" s="51" t="s">
        <v>152</v>
      </c>
      <c r="B13" s="42" t="s">
        <v>154</v>
      </c>
      <c r="C13" s="42" t="s">
        <v>40</v>
      </c>
      <c r="D13" s="43">
        <f>ROUND(SUMIF(RV_DATA!W8:'RV_DATA'!W19, -108308994, RV_DATA!I8:'RV_DATA'!I19), 6)</f>
        <v>0.88400000000000001</v>
      </c>
      <c r="E13" s="52">
        <f>ROUND(RV_DATA!K13, 6)</f>
        <v>1436.5</v>
      </c>
      <c r="F13" s="52">
        <f>ROUND(SUMIF(RV_DATA!W8:'RV_DATA'!W19, -108308994, RV_DATA!M8:'RV_DATA'!M19), 6)</f>
        <v>1269.8699999999999</v>
      </c>
      <c r="G13" s="52">
        <f>ROUND(SUMIF(RV_DATA!W8:'RV_DATA'!W19, -108308994, RV_DATA!O8:'RV_DATA'!O19), 6)</f>
        <v>1269.8699999999999</v>
      </c>
      <c r="Q13">
        <v>3</v>
      </c>
    </row>
    <row r="14" spans="1:17" ht="28.5" x14ac:dyDescent="0.2">
      <c r="A14" s="51" t="s">
        <v>155</v>
      </c>
      <c r="B14" s="42" t="s">
        <v>157</v>
      </c>
      <c r="C14" s="42" t="s">
        <v>117</v>
      </c>
      <c r="D14" s="43">
        <f>ROUND(SUMIF(RV_DATA!W8:'RV_DATA'!W19, -1695821691, RV_DATA!I8:'RV_DATA'!I19), 6)</f>
        <v>0.37959999999999999</v>
      </c>
      <c r="E14" s="52">
        <f>ROUND(RV_DATA!K12, 6)</f>
        <v>9548.1200000000008</v>
      </c>
      <c r="F14" s="52">
        <f>ROUND(SUMIF(RV_DATA!W8:'RV_DATA'!W19, -1695821691, RV_DATA!M8:'RV_DATA'!M19), 6)</f>
        <v>3624.47</v>
      </c>
      <c r="G14" s="52">
        <f>ROUND(SUMIF(RV_DATA!W8:'RV_DATA'!W19, -1695821691, RV_DATA!O8:'RV_DATA'!O19), 6)</f>
        <v>3624.47</v>
      </c>
      <c r="Q14">
        <v>3</v>
      </c>
    </row>
    <row r="15" spans="1:17" ht="57" x14ac:dyDescent="0.2">
      <c r="A15" s="51" t="s">
        <v>158</v>
      </c>
      <c r="B15" s="42" t="s">
        <v>160</v>
      </c>
      <c r="C15" s="42" t="s">
        <v>161</v>
      </c>
      <c r="D15" s="43">
        <f>ROUND(SUMIF(RV_DATA!W8:'RV_DATA'!W19, -78886534, RV_DATA!I8:'RV_DATA'!I19), 6)</f>
        <v>2.6</v>
      </c>
      <c r="E15" s="52">
        <f>ROUND(RV_DATA!K11, 6)</f>
        <v>4659.1099999999997</v>
      </c>
      <c r="F15" s="52">
        <f>ROUND(SUMIF(RV_DATA!W8:'RV_DATA'!W19, -78886534, RV_DATA!M8:'RV_DATA'!M19), 6)</f>
        <v>12113.69</v>
      </c>
      <c r="G15" s="52">
        <f>ROUND(SUMIF(RV_DATA!W8:'RV_DATA'!W19, -78886534, RV_DATA!O8:'RV_DATA'!O19), 6)</f>
        <v>12113.69</v>
      </c>
      <c r="Q15">
        <v>3</v>
      </c>
    </row>
    <row r="16" spans="1:17" ht="28.5" x14ac:dyDescent="0.2">
      <c r="A16" s="51" t="s">
        <v>180</v>
      </c>
      <c r="B16" s="42" t="s">
        <v>182</v>
      </c>
      <c r="C16" s="42" t="s">
        <v>117</v>
      </c>
      <c r="D16" s="43">
        <f>ROUND(SUMIF(RV_DATA!W8:'RV_DATA'!W19, 1346167613, RV_DATA!I8:'RV_DATA'!I19), 6)</f>
        <v>0.77400000000000002</v>
      </c>
      <c r="E16" s="52">
        <f>ROUND(RV_DATA!K17, 6)</f>
        <v>25888.1</v>
      </c>
      <c r="F16" s="52">
        <f>ROUND(SUMIF(RV_DATA!W8:'RV_DATA'!W19, 1346167613, RV_DATA!M8:'RV_DATA'!M19), 6)</f>
        <v>20037.439999999999</v>
      </c>
      <c r="G16" s="52">
        <f>ROUND(SUMIF(RV_DATA!W8:'RV_DATA'!W19, 1346167613, RV_DATA!O8:'RV_DATA'!O19), 6)</f>
        <v>20037.439999999999</v>
      </c>
      <c r="Q16">
        <v>3</v>
      </c>
    </row>
    <row r="17" spans="1:17" ht="42.75" x14ac:dyDescent="0.2">
      <c r="A17" s="51" t="s">
        <v>162</v>
      </c>
      <c r="B17" s="42" t="s">
        <v>164</v>
      </c>
      <c r="C17" s="42" t="s">
        <v>117</v>
      </c>
      <c r="D17" s="43">
        <f>ROUND(SUMIF(RV_DATA!W8:'RV_DATA'!W19, -1395063143, RV_DATA!I8:'RV_DATA'!I19), 6)</f>
        <v>0.33800000000000002</v>
      </c>
      <c r="E17" s="52">
        <f>ROUND(RV_DATA!K10, 6)</f>
        <v>4207.5</v>
      </c>
      <c r="F17" s="52">
        <f>ROUND(SUMIF(RV_DATA!W8:'RV_DATA'!W19, -1395063143, RV_DATA!M8:'RV_DATA'!M19), 6)</f>
        <v>1422.14</v>
      </c>
      <c r="G17" s="52">
        <f>ROUND(SUMIF(RV_DATA!W8:'RV_DATA'!W19, -1395063143, RV_DATA!O8:'RV_DATA'!O19), 6)</f>
        <v>1422.14</v>
      </c>
      <c r="Q17">
        <v>3</v>
      </c>
    </row>
    <row r="18" spans="1:17" ht="42.75" x14ac:dyDescent="0.2">
      <c r="A18" s="51" t="s">
        <v>137</v>
      </c>
      <c r="B18" s="42" t="s">
        <v>139</v>
      </c>
      <c r="C18" s="42" t="s">
        <v>117</v>
      </c>
      <c r="D18" s="43">
        <f>ROUND(SUMIF(RV_DATA!W8:'RV_DATA'!W19, -1399263926, RV_DATA!I8:'RV_DATA'!I19), 6)</f>
        <v>5.7480000000000002</v>
      </c>
      <c r="E18" s="52">
        <f>ROUND(RV_DATA!K8, 6)</f>
        <v>2690.29</v>
      </c>
      <c r="F18" s="52">
        <f>ROUND(SUMIF(RV_DATA!W8:'RV_DATA'!W19, -1399263926, RV_DATA!M8:'RV_DATA'!M19), 6)</f>
        <v>15463.79</v>
      </c>
      <c r="G18" s="52">
        <f>ROUND(SUMIF(RV_DATA!W8:'RV_DATA'!W19, -1399263926, RV_DATA!O8:'RV_DATA'!O19), 6)</f>
        <v>15463.79</v>
      </c>
      <c r="Q18">
        <v>3</v>
      </c>
    </row>
    <row r="19" spans="1:17" ht="28.5" x14ac:dyDescent="0.2">
      <c r="A19" s="51" t="s">
        <v>183</v>
      </c>
      <c r="B19" s="42" t="s">
        <v>185</v>
      </c>
      <c r="C19" s="42" t="s">
        <v>117</v>
      </c>
      <c r="D19" s="43">
        <f>ROUND(SUMIF(RV_DATA!W8:'RV_DATA'!W19, -1992966868, RV_DATA!I8:'RV_DATA'!I19), 6)</f>
        <v>46.052999999999997</v>
      </c>
      <c r="E19" s="52">
        <f>ROUND(RV_DATA!K16, 6)</f>
        <v>2652.04</v>
      </c>
      <c r="F19" s="52">
        <f>ROUND(SUMIF(RV_DATA!W8:'RV_DATA'!W19, -1992966868, RV_DATA!M8:'RV_DATA'!M19), 6)</f>
        <v>122134.43</v>
      </c>
      <c r="G19" s="52">
        <f>ROUND(SUMIF(RV_DATA!W8:'RV_DATA'!W19, -1992966868, RV_DATA!O8:'RV_DATA'!O19), 6)</f>
        <v>122134.43</v>
      </c>
      <c r="Q19">
        <v>3</v>
      </c>
    </row>
    <row r="20" spans="1:17" ht="42.75" x14ac:dyDescent="0.2">
      <c r="A20" s="51" t="s">
        <v>186</v>
      </c>
      <c r="B20" s="42" t="s">
        <v>188</v>
      </c>
      <c r="C20" s="42" t="s">
        <v>117</v>
      </c>
      <c r="D20" s="43">
        <f>ROUND(SUMIF(RV_DATA!W8:'RV_DATA'!W19, 1742277045, RV_DATA!I8:'RV_DATA'!I19), 6)</f>
        <v>69.015000000000001</v>
      </c>
      <c r="E20" s="52">
        <f>ROUND(RV_DATA!K18, 6)</f>
        <v>2649.07</v>
      </c>
      <c r="F20" s="52">
        <f>ROUND(SUMIF(RV_DATA!W8:'RV_DATA'!W19, 1742277045, RV_DATA!M8:'RV_DATA'!M19), 6)</f>
        <v>182825.57</v>
      </c>
      <c r="G20" s="52">
        <f>ROUND(SUMIF(RV_DATA!W8:'RV_DATA'!W19, 1742277045, RV_DATA!O8:'RV_DATA'!O19), 6)</f>
        <v>182825.57</v>
      </c>
      <c r="Q20">
        <v>3</v>
      </c>
    </row>
    <row r="21" spans="1:17" ht="71.25" x14ac:dyDescent="0.2">
      <c r="A21" s="51" t="s">
        <v>165</v>
      </c>
      <c r="B21" s="42" t="s">
        <v>167</v>
      </c>
      <c r="C21" s="42" t="s">
        <v>117</v>
      </c>
      <c r="D21" s="43">
        <f>ROUND(SUMIF(RV_DATA!W8:'RV_DATA'!W19, 945938853, RV_DATA!I8:'RV_DATA'!I19), 6)</f>
        <v>7.7999999999999996E-3</v>
      </c>
      <c r="E21" s="52">
        <f>ROUND(RV_DATA!K9, 6)</f>
        <v>36434</v>
      </c>
      <c r="F21" s="52">
        <f>ROUND(SUMIF(RV_DATA!W8:'RV_DATA'!W19, 945938853, RV_DATA!M8:'RV_DATA'!M19), 6)</f>
        <v>284.19</v>
      </c>
      <c r="G21" s="52">
        <f>ROUND(SUMIF(RV_DATA!W8:'RV_DATA'!W19, 945938853, RV_DATA!O8:'RV_DATA'!O19), 6)</f>
        <v>284.19</v>
      </c>
      <c r="Q21">
        <v>3</v>
      </c>
    </row>
    <row r="22" spans="1:17" ht="15" x14ac:dyDescent="0.25">
      <c r="A22" s="89" t="s">
        <v>289</v>
      </c>
      <c r="B22" s="89"/>
      <c r="C22" s="89"/>
      <c r="D22" s="89"/>
      <c r="E22" s="90">
        <f>SUMIF(Q11:Q21, 3, F11:F21)</f>
        <v>361222.61</v>
      </c>
      <c r="F22" s="90"/>
      <c r="G22" s="53">
        <f>SUMIF(Q11:Q21, 3, G11:G21)</f>
        <v>361222.61</v>
      </c>
    </row>
    <row r="23" spans="1:17" ht="16.5" x14ac:dyDescent="0.2">
      <c r="A23" s="80" t="str">
        <f>CONCATENATE("Раздел: ",IF(Source!G69&lt;&gt;"Новый раздел", Source!G69, ""))</f>
        <v>Раздел: Филиал №4 по адресу г. Москва, Хвалынский бульвар, дом 10</v>
      </c>
      <c r="B23" s="81"/>
      <c r="C23" s="81"/>
      <c r="D23" s="81"/>
      <c r="E23" s="81"/>
      <c r="F23" s="81"/>
      <c r="G23" s="81"/>
    </row>
    <row r="24" spans="1:17" ht="14.25" x14ac:dyDescent="0.2">
      <c r="A24" s="87" t="s">
        <v>288</v>
      </c>
      <c r="B24" s="88"/>
      <c r="C24" s="88"/>
      <c r="D24" s="88"/>
      <c r="E24" s="88"/>
      <c r="F24" s="88"/>
      <c r="G24" s="88"/>
    </row>
    <row r="25" spans="1:17" ht="28.5" x14ac:dyDescent="0.2">
      <c r="A25" s="51" t="s">
        <v>180</v>
      </c>
      <c r="B25" s="42" t="s">
        <v>182</v>
      </c>
      <c r="C25" s="42" t="s">
        <v>117</v>
      </c>
      <c r="D25" s="43">
        <f>ROUND(SUMIF(RV_DATA!W21:'RV_DATA'!W24, 1346167613, RV_DATA!I21:'RV_DATA'!I24), 6)</f>
        <v>0.42</v>
      </c>
      <c r="E25" s="52">
        <f>ROUND(RV_DATA!K22, 6)</f>
        <v>25888.1</v>
      </c>
      <c r="F25" s="52">
        <f>ROUND(SUMIF(RV_DATA!W21:'RV_DATA'!W24, 1346167613, RV_DATA!M21:'RV_DATA'!M24), 6)</f>
        <v>10873.04</v>
      </c>
      <c r="G25" s="52">
        <f>ROUND(SUMIF(RV_DATA!W21:'RV_DATA'!W24, 1346167613, RV_DATA!O21:'RV_DATA'!O24), 6)</f>
        <v>10873.04</v>
      </c>
      <c r="Q25">
        <v>3</v>
      </c>
    </row>
    <row r="26" spans="1:17" ht="28.5" x14ac:dyDescent="0.2">
      <c r="A26" s="51" t="s">
        <v>183</v>
      </c>
      <c r="B26" s="42" t="s">
        <v>185</v>
      </c>
      <c r="C26" s="42" t="s">
        <v>117</v>
      </c>
      <c r="D26" s="43">
        <f>ROUND(SUMIF(RV_DATA!W21:'RV_DATA'!W24, -1992966868, RV_DATA!I21:'RV_DATA'!I24), 6)</f>
        <v>24.99</v>
      </c>
      <c r="E26" s="52">
        <f>ROUND(RV_DATA!K21, 6)</f>
        <v>2652.04</v>
      </c>
      <c r="F26" s="52">
        <f>ROUND(SUMIF(RV_DATA!W21:'RV_DATA'!W24, -1992966868, RV_DATA!M21:'RV_DATA'!M24), 6)</f>
        <v>66274.5</v>
      </c>
      <c r="G26" s="52">
        <f>ROUND(SUMIF(RV_DATA!W21:'RV_DATA'!W24, -1992966868, RV_DATA!O21:'RV_DATA'!O24), 6)</f>
        <v>66274.5</v>
      </c>
      <c r="Q26">
        <v>3</v>
      </c>
    </row>
    <row r="27" spans="1:17" ht="42.75" x14ac:dyDescent="0.2">
      <c r="A27" s="51" t="s">
        <v>186</v>
      </c>
      <c r="B27" s="42" t="s">
        <v>188</v>
      </c>
      <c r="C27" s="42" t="s">
        <v>117</v>
      </c>
      <c r="D27" s="43">
        <f>ROUND(SUMIF(RV_DATA!W21:'RV_DATA'!W24, 1742277045, RV_DATA!I21:'RV_DATA'!I24), 6)</f>
        <v>37.450000000000003</v>
      </c>
      <c r="E27" s="52">
        <f>ROUND(RV_DATA!K23, 6)</f>
        <v>2649.07</v>
      </c>
      <c r="F27" s="52">
        <f>ROUND(SUMIF(RV_DATA!W21:'RV_DATA'!W24, 1742277045, RV_DATA!M21:'RV_DATA'!M24), 6)</f>
        <v>99207.679999999993</v>
      </c>
      <c r="G27" s="52">
        <f>ROUND(SUMIF(RV_DATA!W21:'RV_DATA'!W24, 1742277045, RV_DATA!O21:'RV_DATA'!O24), 6)</f>
        <v>99207.679999999993</v>
      </c>
      <c r="Q27">
        <v>3</v>
      </c>
    </row>
    <row r="28" spans="1:17" ht="15" x14ac:dyDescent="0.25">
      <c r="A28" s="89" t="s">
        <v>289</v>
      </c>
      <c r="B28" s="89"/>
      <c r="C28" s="89"/>
      <c r="D28" s="89"/>
      <c r="E28" s="90">
        <f>SUMIF(Q25:Q27, 3, F25:F27)</f>
        <v>176355.22</v>
      </c>
      <c r="F28" s="90"/>
      <c r="G28" s="53">
        <f>SUMIF(Q25:Q27, 3, G25:G27)</f>
        <v>176355.22</v>
      </c>
    </row>
    <row r="29" spans="1:17" ht="16.5" x14ac:dyDescent="0.2">
      <c r="A29" s="80" t="str">
        <f>CONCATENATE("Раздел: ",IF(Source!G107&lt;&gt;"Новый раздел", Source!G107, ""))</f>
        <v>Раздел: Перевозка отходов асфальта</v>
      </c>
      <c r="B29" s="81"/>
      <c r="C29" s="81"/>
      <c r="D29" s="81"/>
      <c r="E29" s="81"/>
      <c r="F29" s="81"/>
      <c r="G29" s="81"/>
    </row>
  </sheetData>
  <sortState ref="A25:R27">
    <sortCondition ref="A25"/>
  </sortState>
  <mergeCells count="18">
    <mergeCell ref="A24:G24"/>
    <mergeCell ref="A28:D28"/>
    <mergeCell ref="E28:F28"/>
    <mergeCell ref="A29:G29"/>
    <mergeCell ref="A8:G8"/>
    <mergeCell ref="A9:G9"/>
    <mergeCell ref="A10:G10"/>
    <mergeCell ref="A22:D22"/>
    <mergeCell ref="E22:F22"/>
    <mergeCell ref="A23:G23"/>
    <mergeCell ref="A2:G2"/>
    <mergeCell ref="A3:G3"/>
    <mergeCell ref="A4:A6"/>
    <mergeCell ref="B4:B6"/>
    <mergeCell ref="C4:C6"/>
    <mergeCell ref="D4:D6"/>
    <mergeCell ref="E4:F5"/>
    <mergeCell ref="G4:G6"/>
  </mergeCells>
  <pageMargins left="0.6" right="0.4" top="0.65" bottom="0.4" header="0.4" footer="0.4"/>
  <pageSetup paperSize="9" scale="84" fitToHeight="0" orientation="portrait" verticalDpi="0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09"/>
  <sheetViews>
    <sheetView workbookViewId="0">
      <selection activeCell="A205" sqref="A205:O205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58634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205</v>
      </c>
      <c r="C12" s="1">
        <v>0</v>
      </c>
      <c r="D12" s="1">
        <f>ROW(A172)</f>
        <v>172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B172</f>
        <v>205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Ремонт асфальта</v>
      </c>
      <c r="H18" s="2"/>
      <c r="I18" s="2"/>
      <c r="J18" s="2"/>
      <c r="K18" s="2"/>
      <c r="L18" s="2"/>
      <c r="M18" s="2"/>
      <c r="N18" s="2"/>
      <c r="O18" s="2">
        <f t="shared" ref="O18:AT18" si="1">O172</f>
        <v>809580.52</v>
      </c>
      <c r="P18" s="2">
        <f t="shared" si="1"/>
        <v>537577.59</v>
      </c>
      <c r="Q18" s="2">
        <f t="shared" si="1"/>
        <v>193124.76</v>
      </c>
      <c r="R18" s="2">
        <f t="shared" si="1"/>
        <v>102348.83</v>
      </c>
      <c r="S18" s="2">
        <f t="shared" si="1"/>
        <v>78878.17</v>
      </c>
      <c r="T18" s="2">
        <f t="shared" si="1"/>
        <v>0</v>
      </c>
      <c r="U18" s="2">
        <f t="shared" si="1"/>
        <v>366.16144000000003</v>
      </c>
      <c r="V18" s="2">
        <f t="shared" si="1"/>
        <v>0</v>
      </c>
      <c r="W18" s="2">
        <f t="shared" si="1"/>
        <v>0</v>
      </c>
      <c r="X18" s="2">
        <f t="shared" si="1"/>
        <v>55214.71</v>
      </c>
      <c r="Y18" s="2">
        <f t="shared" si="1"/>
        <v>7887.83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896582.82</v>
      </c>
      <c r="AS18" s="2">
        <f t="shared" si="1"/>
        <v>0</v>
      </c>
      <c r="AT18" s="2">
        <f t="shared" si="1"/>
        <v>0</v>
      </c>
      <c r="AU18" s="2">
        <f t="shared" ref="AU18:BZ18" si="2">AU172</f>
        <v>896582.82</v>
      </c>
      <c r="AV18" s="2">
        <f t="shared" si="2"/>
        <v>537577.59</v>
      </c>
      <c r="AW18" s="2">
        <f t="shared" si="2"/>
        <v>537577.59</v>
      </c>
      <c r="AX18" s="2">
        <f t="shared" si="2"/>
        <v>0</v>
      </c>
      <c r="AY18" s="2">
        <f t="shared" si="2"/>
        <v>537577.59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CA172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DG172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EM172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FS172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ROW(A142)</f>
        <v>142</v>
      </c>
      <c r="E20" s="1"/>
      <c r="F20" s="1" t="s">
        <v>12</v>
      </c>
      <c r="G20" s="1" t="s">
        <v>12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B142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O142</f>
        <v>809580.52</v>
      </c>
      <c r="P22" s="2">
        <f t="shared" si="8"/>
        <v>537577.59</v>
      </c>
      <c r="Q22" s="2">
        <f t="shared" si="8"/>
        <v>193124.76</v>
      </c>
      <c r="R22" s="2">
        <f t="shared" si="8"/>
        <v>102348.83</v>
      </c>
      <c r="S22" s="2">
        <f t="shared" si="8"/>
        <v>78878.17</v>
      </c>
      <c r="T22" s="2">
        <f t="shared" si="8"/>
        <v>0</v>
      </c>
      <c r="U22" s="2">
        <f t="shared" si="8"/>
        <v>366.16144000000003</v>
      </c>
      <c r="V22" s="2">
        <f t="shared" si="8"/>
        <v>0</v>
      </c>
      <c r="W22" s="2">
        <f t="shared" si="8"/>
        <v>0</v>
      </c>
      <c r="X22" s="2">
        <f t="shared" si="8"/>
        <v>55214.71</v>
      </c>
      <c r="Y22" s="2">
        <f t="shared" si="8"/>
        <v>7887.83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896582.82</v>
      </c>
      <c r="AS22" s="2">
        <f t="shared" si="8"/>
        <v>0</v>
      </c>
      <c r="AT22" s="2">
        <f t="shared" si="8"/>
        <v>0</v>
      </c>
      <c r="AU22" s="2">
        <f t="shared" ref="AU22:BZ22" si="9">AU142</f>
        <v>896582.82</v>
      </c>
      <c r="AV22" s="2">
        <f t="shared" si="9"/>
        <v>537577.59</v>
      </c>
      <c r="AW22" s="2">
        <f t="shared" si="9"/>
        <v>537577.59</v>
      </c>
      <c r="AX22" s="2">
        <f t="shared" si="9"/>
        <v>0</v>
      </c>
      <c r="AY22" s="2">
        <f t="shared" si="9"/>
        <v>537577.59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CA142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DG142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EM142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FS142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ROW(A37)</f>
        <v>37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-1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B37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Головное здание по адресу г. Москва, ул. Авиаконструктора Миля, дом 5, корпус 1</v>
      </c>
      <c r="H26" s="2"/>
      <c r="I26" s="2"/>
      <c r="J26" s="2"/>
      <c r="K26" s="2"/>
      <c r="L26" s="2"/>
      <c r="M26" s="2"/>
      <c r="N26" s="2"/>
      <c r="O26" s="2">
        <f t="shared" ref="O26:AT26" si="15">O37</f>
        <v>445149.81</v>
      </c>
      <c r="P26" s="2">
        <f t="shared" si="15"/>
        <v>361222.45</v>
      </c>
      <c r="Q26" s="2">
        <f t="shared" si="15"/>
        <v>29497.89</v>
      </c>
      <c r="R26" s="2">
        <f t="shared" si="15"/>
        <v>14400.46</v>
      </c>
      <c r="S26" s="2">
        <f t="shared" si="15"/>
        <v>54429.47</v>
      </c>
      <c r="T26" s="2">
        <f t="shared" si="15"/>
        <v>0</v>
      </c>
      <c r="U26" s="2">
        <f t="shared" si="15"/>
        <v>253.37394</v>
      </c>
      <c r="V26" s="2">
        <f t="shared" si="15"/>
        <v>0</v>
      </c>
      <c r="W26" s="2">
        <f t="shared" si="15"/>
        <v>0</v>
      </c>
      <c r="X26" s="2">
        <f t="shared" si="15"/>
        <v>38100.620000000003</v>
      </c>
      <c r="Y26" s="2">
        <f t="shared" si="15"/>
        <v>5442.95</v>
      </c>
      <c r="Z26" s="2">
        <f t="shared" si="15"/>
        <v>0</v>
      </c>
      <c r="AA26" s="2">
        <f t="shared" si="15"/>
        <v>0</v>
      </c>
      <c r="AB26" s="2">
        <f t="shared" si="15"/>
        <v>445149.81</v>
      </c>
      <c r="AC26" s="2">
        <f t="shared" si="15"/>
        <v>361222.45</v>
      </c>
      <c r="AD26" s="2">
        <f t="shared" si="15"/>
        <v>29497.89</v>
      </c>
      <c r="AE26" s="2">
        <f t="shared" si="15"/>
        <v>14400.46</v>
      </c>
      <c r="AF26" s="2">
        <f t="shared" si="15"/>
        <v>54429.47</v>
      </c>
      <c r="AG26" s="2">
        <f t="shared" si="15"/>
        <v>0</v>
      </c>
      <c r="AH26" s="2">
        <f t="shared" si="15"/>
        <v>253.37394</v>
      </c>
      <c r="AI26" s="2">
        <f t="shared" si="15"/>
        <v>0</v>
      </c>
      <c r="AJ26" s="2">
        <f t="shared" si="15"/>
        <v>0</v>
      </c>
      <c r="AK26" s="2">
        <f t="shared" si="15"/>
        <v>38100.620000000003</v>
      </c>
      <c r="AL26" s="2">
        <f t="shared" si="15"/>
        <v>5442.95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504245.88</v>
      </c>
      <c r="AS26" s="2">
        <f t="shared" si="15"/>
        <v>0</v>
      </c>
      <c r="AT26" s="2">
        <f t="shared" si="15"/>
        <v>0</v>
      </c>
      <c r="AU26" s="2">
        <f t="shared" ref="AU26:BZ26" si="16">AU37</f>
        <v>504245.88</v>
      </c>
      <c r="AV26" s="2">
        <f t="shared" si="16"/>
        <v>361222.45</v>
      </c>
      <c r="AW26" s="2">
        <f t="shared" si="16"/>
        <v>361222.45</v>
      </c>
      <c r="AX26" s="2">
        <f t="shared" si="16"/>
        <v>0</v>
      </c>
      <c r="AY26" s="2">
        <f t="shared" si="16"/>
        <v>361222.45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CA37</f>
        <v>504245.88</v>
      </c>
      <c r="CB26" s="2">
        <f t="shared" si="17"/>
        <v>0</v>
      </c>
      <c r="CC26" s="2">
        <f t="shared" si="17"/>
        <v>0</v>
      </c>
      <c r="CD26" s="2">
        <f t="shared" si="17"/>
        <v>504245.88</v>
      </c>
      <c r="CE26" s="2">
        <f t="shared" si="17"/>
        <v>361222.45</v>
      </c>
      <c r="CF26" s="2">
        <f t="shared" si="17"/>
        <v>361222.45</v>
      </c>
      <c r="CG26" s="2">
        <f t="shared" si="17"/>
        <v>0</v>
      </c>
      <c r="CH26" s="2">
        <f t="shared" si="17"/>
        <v>361222.45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DG37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EM37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FS37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ROW(SmtRes!A1)</f>
        <v>1</v>
      </c>
      <c r="D28">
        <f>ROW(EtalonRes!A1)</f>
        <v>1</v>
      </c>
      <c r="E28" t="s">
        <v>15</v>
      </c>
      <c r="F28" t="s">
        <v>16</v>
      </c>
      <c r="G28" t="s">
        <v>17</v>
      </c>
      <c r="H28" t="s">
        <v>18</v>
      </c>
      <c r="I28">
        <f>ROUND(60/1000,9)</f>
        <v>0.06</v>
      </c>
      <c r="J28">
        <v>0</v>
      </c>
      <c r="O28">
        <f t="shared" ref="O28:O35" si="21">ROUND(CP28,2)</f>
        <v>646.33000000000004</v>
      </c>
      <c r="P28">
        <f t="shared" ref="P28:P35" si="22">ROUND(CQ28*I28,2)</f>
        <v>0</v>
      </c>
      <c r="Q28">
        <f t="shared" ref="Q28:Q35" si="23">ROUND(CR28*I28,2)</f>
        <v>0</v>
      </c>
      <c r="R28">
        <f t="shared" ref="R28:R35" si="24">ROUND(CS28*I28,2)</f>
        <v>0</v>
      </c>
      <c r="S28">
        <f t="shared" ref="S28:S35" si="25">ROUND(CT28*I28,2)</f>
        <v>646.33000000000004</v>
      </c>
      <c r="T28">
        <f t="shared" ref="T28:T35" si="26">ROUND(CU28*I28,2)</f>
        <v>0</v>
      </c>
      <c r="U28">
        <f t="shared" ref="U28:U35" si="27">CV28*I28</f>
        <v>3.5760000000000001</v>
      </c>
      <c r="V28">
        <f t="shared" ref="V28:V35" si="28">CW28*I28</f>
        <v>0</v>
      </c>
      <c r="W28">
        <f t="shared" ref="W28:W35" si="29">ROUND(CX28*I28,2)</f>
        <v>0</v>
      </c>
      <c r="X28">
        <f t="shared" ref="X28:Y35" si="30">ROUND(CY28,2)</f>
        <v>452.43</v>
      </c>
      <c r="Y28">
        <f t="shared" si="30"/>
        <v>64.63</v>
      </c>
      <c r="AA28">
        <v>38115817</v>
      </c>
      <c r="AB28">
        <f t="shared" ref="AB28:AB35" si="31">ROUND((AC28+AD28+AF28),6)</f>
        <v>10772.1</v>
      </c>
      <c r="AC28">
        <f>ROUND((ES28),6)</f>
        <v>0</v>
      </c>
      <c r="AD28">
        <f>ROUND((((ET28)-(EU28))+AE28),6)</f>
        <v>0</v>
      </c>
      <c r="AE28">
        <f>ROUND((EU28),6)</f>
        <v>0</v>
      </c>
      <c r="AF28">
        <f>ROUND((EV28),6)</f>
        <v>10772.1</v>
      </c>
      <c r="AG28">
        <f t="shared" ref="AG28:AG35" si="32">ROUND((AP28),6)</f>
        <v>0</v>
      </c>
      <c r="AH28">
        <f>(EW28)</f>
        <v>59.6</v>
      </c>
      <c r="AI28">
        <f>(EX28)</f>
        <v>0</v>
      </c>
      <c r="AJ28">
        <f t="shared" ref="AJ28:AJ35" si="33">(AS28)</f>
        <v>0</v>
      </c>
      <c r="AK28">
        <v>10772.1</v>
      </c>
      <c r="AL28">
        <v>0</v>
      </c>
      <c r="AM28">
        <v>0</v>
      </c>
      <c r="AN28">
        <v>0</v>
      </c>
      <c r="AO28">
        <v>10772.1</v>
      </c>
      <c r="AP28">
        <v>0</v>
      </c>
      <c r="AQ28">
        <v>59.6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5" si="34">(P28+Q28+S28)</f>
        <v>646.33000000000004</v>
      </c>
      <c r="CQ28">
        <f t="shared" ref="CQ28:CQ35" si="35">(AC28*BC28*AW28)</f>
        <v>0</v>
      </c>
      <c r="CR28">
        <f>((((ET28)*BB28-(EU28)*BS28)+AE28*BS28)*AV28)</f>
        <v>0</v>
      </c>
      <c r="CS28">
        <f t="shared" ref="CS28:CS35" si="36">(AE28*BS28*AV28)</f>
        <v>0</v>
      </c>
      <c r="CT28">
        <f t="shared" ref="CT28:CT35" si="37">(AF28*BA28*AV28)</f>
        <v>10772.1</v>
      </c>
      <c r="CU28">
        <f t="shared" ref="CU28:CU35" si="38">AG28</f>
        <v>0</v>
      </c>
      <c r="CV28">
        <f t="shared" ref="CV28:CV35" si="39">(AH28*AV28)</f>
        <v>59.6</v>
      </c>
      <c r="CW28">
        <f t="shared" ref="CW28:CX35" si="40">AI28</f>
        <v>0</v>
      </c>
      <c r="CX28">
        <f t="shared" si="40"/>
        <v>0</v>
      </c>
      <c r="CY28">
        <f t="shared" ref="CY28:CY35" si="41">((S28*BZ28)/100)</f>
        <v>452.43100000000004</v>
      </c>
      <c r="CZ28">
        <f t="shared" ref="CZ28:CZ35" si="42">((S28*CA28)/100)</f>
        <v>64.632999999999996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1000</v>
      </c>
      <c r="DZ28" t="s">
        <v>3</v>
      </c>
      <c r="EA28" t="s">
        <v>3</v>
      </c>
      <c r="EB28" t="s">
        <v>3</v>
      </c>
      <c r="EC28" t="s">
        <v>3</v>
      </c>
      <c r="EE28">
        <v>37377619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0</v>
      </c>
      <c r="ER28">
        <v>10772.1</v>
      </c>
      <c r="ES28">
        <v>0</v>
      </c>
      <c r="ET28">
        <v>0</v>
      </c>
      <c r="EU28">
        <v>0</v>
      </c>
      <c r="EV28">
        <v>10772.1</v>
      </c>
      <c r="EW28">
        <v>59.6</v>
      </c>
      <c r="EX28">
        <v>0</v>
      </c>
      <c r="EY28">
        <v>0</v>
      </c>
      <c r="FQ28">
        <v>0</v>
      </c>
      <c r="FR28">
        <f t="shared" ref="FR28:FR35" si="43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413797123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ref="GL28:GL35" si="44">ROUND(IF(AND(BH28=3,BI28=3,FS28&lt;&gt;0),P28,0),2)</f>
        <v>0</v>
      </c>
      <c r="GM28">
        <f t="shared" ref="GM28:GM35" si="45">ROUND(O28+X28+Y28+GK28,2)+GX28</f>
        <v>1163.3900000000001</v>
      </c>
      <c r="GN28">
        <f t="shared" ref="GN28:GN35" si="46">IF(OR(BI28=0,BI28=1),ROUND(O28+X28+Y28+GK28,2),0)</f>
        <v>0</v>
      </c>
      <c r="GO28">
        <f t="shared" ref="GO28:GO35" si="47">IF(BI28=2,ROUND(O28+X28+Y28+GK28,2),0)</f>
        <v>0</v>
      </c>
      <c r="GP28">
        <f t="shared" ref="GP28:GP35" si="48">IF(BI28=4,ROUND(O28+X28+Y28+GK28,2)+GX28,0)</f>
        <v>1163.3900000000001</v>
      </c>
      <c r="GR28">
        <v>0</v>
      </c>
      <c r="GS28">
        <v>3</v>
      </c>
      <c r="GT28">
        <v>0</v>
      </c>
      <c r="GU28" t="s">
        <v>3</v>
      </c>
      <c r="GV28">
        <f t="shared" ref="GV28:GV35" si="49">ROUND((GT28),6)</f>
        <v>0</v>
      </c>
      <c r="GW28">
        <v>1</v>
      </c>
      <c r="GX28">
        <f t="shared" ref="GX28:GX35" si="50">ROUND(HC28*I28,2)</f>
        <v>0</v>
      </c>
      <c r="HA28">
        <v>0</v>
      </c>
      <c r="HB28">
        <v>0</v>
      </c>
      <c r="HC28">
        <f t="shared" ref="HC28:HC35" si="51">GV28*GW28</f>
        <v>0</v>
      </c>
      <c r="HE28" t="s">
        <v>3</v>
      </c>
      <c r="HF28" t="s">
        <v>3</v>
      </c>
      <c r="IK28">
        <v>0</v>
      </c>
    </row>
    <row r="29" spans="1:245" x14ac:dyDescent="0.2">
      <c r="A29">
        <v>17</v>
      </c>
      <c r="B29">
        <v>1</v>
      </c>
      <c r="C29">
        <f>ROW(SmtRes!A5)</f>
        <v>5</v>
      </c>
      <c r="D29">
        <f>ROW(EtalonRes!A5)</f>
        <v>5</v>
      </c>
      <c r="E29" t="s">
        <v>23</v>
      </c>
      <c r="F29" t="s">
        <v>24</v>
      </c>
      <c r="G29" t="s">
        <v>25</v>
      </c>
      <c r="H29" t="s">
        <v>26</v>
      </c>
      <c r="I29">
        <f>ROUND(60/100,9)</f>
        <v>0.6</v>
      </c>
      <c r="J29">
        <v>0</v>
      </c>
      <c r="O29">
        <f t="shared" si="21"/>
        <v>18305.04</v>
      </c>
      <c r="P29">
        <f t="shared" si="22"/>
        <v>15463.79</v>
      </c>
      <c r="Q29">
        <f t="shared" si="23"/>
        <v>979.67</v>
      </c>
      <c r="R29">
        <f t="shared" si="24"/>
        <v>554.87</v>
      </c>
      <c r="S29">
        <f t="shared" si="25"/>
        <v>1861.58</v>
      </c>
      <c r="T29">
        <f t="shared" si="26"/>
        <v>0</v>
      </c>
      <c r="U29">
        <f t="shared" si="27"/>
        <v>8.1419999999999995</v>
      </c>
      <c r="V29">
        <f t="shared" si="28"/>
        <v>0</v>
      </c>
      <c r="W29">
        <f t="shared" si="29"/>
        <v>0</v>
      </c>
      <c r="X29">
        <f t="shared" si="30"/>
        <v>1303.1099999999999</v>
      </c>
      <c r="Y29">
        <f t="shared" si="30"/>
        <v>186.16</v>
      </c>
      <c r="AA29">
        <v>38115817</v>
      </c>
      <c r="AB29">
        <f t="shared" si="31"/>
        <v>30508.400000000001</v>
      </c>
      <c r="AC29">
        <f>ROUND((ES29),6)</f>
        <v>25772.98</v>
      </c>
      <c r="AD29">
        <f>ROUND((((ET29)-(EU29))+AE29),6)</f>
        <v>1632.78</v>
      </c>
      <c r="AE29">
        <f>ROUND((EU29),6)</f>
        <v>924.79</v>
      </c>
      <c r="AF29">
        <f>ROUND((EV29),6)</f>
        <v>3102.64</v>
      </c>
      <c r="AG29">
        <f t="shared" si="32"/>
        <v>0</v>
      </c>
      <c r="AH29">
        <f>(EW29)</f>
        <v>13.57</v>
      </c>
      <c r="AI29">
        <f>(EX29)</f>
        <v>0</v>
      </c>
      <c r="AJ29">
        <f t="shared" si="33"/>
        <v>0</v>
      </c>
      <c r="AK29">
        <v>30508.400000000001</v>
      </c>
      <c r="AL29">
        <v>25772.98</v>
      </c>
      <c r="AM29">
        <v>1632.78</v>
      </c>
      <c r="AN29">
        <v>924.79</v>
      </c>
      <c r="AO29">
        <v>3102.64</v>
      </c>
      <c r="AP29">
        <v>0</v>
      </c>
      <c r="AQ29">
        <v>13.57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27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4"/>
        <v>18305.04</v>
      </c>
      <c r="CQ29">
        <f t="shared" si="35"/>
        <v>25772.98</v>
      </c>
      <c r="CR29">
        <f>((((ET29)*BB29-(EU29)*BS29)+AE29*BS29)*AV29)</f>
        <v>1632.78</v>
      </c>
      <c r="CS29">
        <f t="shared" si="36"/>
        <v>924.79</v>
      </c>
      <c r="CT29">
        <f t="shared" si="37"/>
        <v>3102.64</v>
      </c>
      <c r="CU29">
        <f t="shared" si="38"/>
        <v>0</v>
      </c>
      <c r="CV29">
        <f t="shared" si="39"/>
        <v>13.57</v>
      </c>
      <c r="CW29">
        <f t="shared" si="40"/>
        <v>0</v>
      </c>
      <c r="CX29">
        <f t="shared" si="40"/>
        <v>0</v>
      </c>
      <c r="CY29">
        <f t="shared" si="41"/>
        <v>1303.106</v>
      </c>
      <c r="CZ29">
        <f t="shared" si="42"/>
        <v>186.15799999999999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26</v>
      </c>
      <c r="DW29" t="s">
        <v>26</v>
      </c>
      <c r="DX29">
        <v>100</v>
      </c>
      <c r="DZ29" t="s">
        <v>3</v>
      </c>
      <c r="EA29" t="s">
        <v>3</v>
      </c>
      <c r="EB29" t="s">
        <v>3</v>
      </c>
      <c r="EC29" t="s">
        <v>3</v>
      </c>
      <c r="EE29">
        <v>37377619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0</v>
      </c>
      <c r="ER29">
        <v>30508.400000000001</v>
      </c>
      <c r="ES29">
        <v>25772.98</v>
      </c>
      <c r="ET29">
        <v>1632.78</v>
      </c>
      <c r="EU29">
        <v>924.79</v>
      </c>
      <c r="EV29">
        <v>3102.64</v>
      </c>
      <c r="EW29">
        <v>13.57</v>
      </c>
      <c r="EX29">
        <v>0</v>
      </c>
      <c r="EY29">
        <v>0</v>
      </c>
      <c r="FQ29">
        <v>0</v>
      </c>
      <c r="FR29">
        <f t="shared" si="43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-1989043911</v>
      </c>
      <c r="GG29">
        <v>2</v>
      </c>
      <c r="GH29">
        <v>1</v>
      </c>
      <c r="GI29">
        <v>-2</v>
      </c>
      <c r="GJ29">
        <v>0</v>
      </c>
      <c r="GK29">
        <f>ROUND(R29*(R12)/100,2)</f>
        <v>599.26</v>
      </c>
      <c r="GL29">
        <f t="shared" si="44"/>
        <v>0</v>
      </c>
      <c r="GM29">
        <f t="shared" si="45"/>
        <v>20393.57</v>
      </c>
      <c r="GN29">
        <f t="shared" si="46"/>
        <v>0</v>
      </c>
      <c r="GO29">
        <f t="shared" si="47"/>
        <v>0</v>
      </c>
      <c r="GP29">
        <f t="shared" si="48"/>
        <v>20393.57</v>
      </c>
      <c r="GR29">
        <v>0</v>
      </c>
      <c r="GS29">
        <v>3</v>
      </c>
      <c r="GT29">
        <v>0</v>
      </c>
      <c r="GU29" t="s">
        <v>3</v>
      </c>
      <c r="GV29">
        <f t="shared" si="49"/>
        <v>0</v>
      </c>
      <c r="GW29">
        <v>1</v>
      </c>
      <c r="GX29">
        <f t="shared" si="50"/>
        <v>0</v>
      </c>
      <c r="HA29">
        <v>0</v>
      </c>
      <c r="HB29">
        <v>0</v>
      </c>
      <c r="HC29">
        <f t="shared" si="51"/>
        <v>0</v>
      </c>
      <c r="HE29" t="s">
        <v>3</v>
      </c>
      <c r="HF29" t="s">
        <v>3</v>
      </c>
      <c r="IK29">
        <v>0</v>
      </c>
    </row>
    <row r="30" spans="1:245" x14ac:dyDescent="0.2">
      <c r="A30">
        <v>17</v>
      </c>
      <c r="B30">
        <v>1</v>
      </c>
      <c r="C30">
        <f>ROW(SmtRes!A16)</f>
        <v>16</v>
      </c>
      <c r="D30">
        <f>ROW(EtalonRes!A16)</f>
        <v>16</v>
      </c>
      <c r="E30" t="s">
        <v>28</v>
      </c>
      <c r="F30" t="s">
        <v>29</v>
      </c>
      <c r="G30" t="s">
        <v>30</v>
      </c>
      <c r="H30" t="s">
        <v>31</v>
      </c>
      <c r="I30">
        <f>ROUND(26/100,9)</f>
        <v>0.26</v>
      </c>
      <c r="J30">
        <v>0</v>
      </c>
      <c r="O30">
        <f t="shared" si="21"/>
        <v>1347.09</v>
      </c>
      <c r="P30">
        <f t="shared" si="22"/>
        <v>0</v>
      </c>
      <c r="Q30">
        <f t="shared" si="23"/>
        <v>39.67</v>
      </c>
      <c r="R30">
        <f t="shared" si="24"/>
        <v>24.35</v>
      </c>
      <c r="S30">
        <f t="shared" si="25"/>
        <v>1307.42</v>
      </c>
      <c r="T30">
        <f t="shared" si="26"/>
        <v>0</v>
      </c>
      <c r="U30">
        <f t="shared" si="27"/>
        <v>6.4672400000000012</v>
      </c>
      <c r="V30">
        <f t="shared" si="28"/>
        <v>0</v>
      </c>
      <c r="W30">
        <f t="shared" si="29"/>
        <v>0</v>
      </c>
      <c r="X30">
        <f t="shared" si="30"/>
        <v>915.19</v>
      </c>
      <c r="Y30">
        <f t="shared" si="30"/>
        <v>130.74</v>
      </c>
      <c r="AA30">
        <v>38115817</v>
      </c>
      <c r="AB30">
        <f t="shared" si="31"/>
        <v>5181.09</v>
      </c>
      <c r="AC30">
        <f>ROUND(((ES30*0)),6)</f>
        <v>0</v>
      </c>
      <c r="AD30">
        <f>ROUND(((((ET30*0.2))-((EU30*0.2)))+AE30),6)</f>
        <v>152.56200000000001</v>
      </c>
      <c r="AE30">
        <f>ROUND(((EU30*0.2)),6)</f>
        <v>93.668000000000006</v>
      </c>
      <c r="AF30">
        <f>ROUND(((EV30*0.2)),6)</f>
        <v>5028.5280000000002</v>
      </c>
      <c r="AG30">
        <f t="shared" si="32"/>
        <v>0</v>
      </c>
      <c r="AH30">
        <f>((EW30*0.2))</f>
        <v>24.874000000000002</v>
      </c>
      <c r="AI30">
        <f>((EX30*0.2))</f>
        <v>0</v>
      </c>
      <c r="AJ30">
        <f t="shared" si="33"/>
        <v>0</v>
      </c>
      <c r="AK30">
        <v>105792.07</v>
      </c>
      <c r="AL30">
        <v>79886.62</v>
      </c>
      <c r="AM30">
        <v>762.81</v>
      </c>
      <c r="AN30">
        <v>468.34</v>
      </c>
      <c r="AO30">
        <v>25142.639999999999</v>
      </c>
      <c r="AP30">
        <v>0</v>
      </c>
      <c r="AQ30">
        <v>124.37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32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192</v>
      </c>
      <c r="CO30">
        <v>0</v>
      </c>
      <c r="CP30">
        <f t="shared" si="34"/>
        <v>1347.0900000000001</v>
      </c>
      <c r="CQ30">
        <f t="shared" si="35"/>
        <v>0</v>
      </c>
      <c r="CR30">
        <f>(((((ET30*0.2))*BB30-((EU30*0.2))*BS30)+AE30*BS30)*AV30)</f>
        <v>152.56199999999998</v>
      </c>
      <c r="CS30">
        <f t="shared" si="36"/>
        <v>93.668000000000006</v>
      </c>
      <c r="CT30">
        <f t="shared" si="37"/>
        <v>5028.5280000000002</v>
      </c>
      <c r="CU30">
        <f t="shared" si="38"/>
        <v>0</v>
      </c>
      <c r="CV30">
        <f t="shared" si="39"/>
        <v>24.874000000000002</v>
      </c>
      <c r="CW30">
        <f t="shared" si="40"/>
        <v>0</v>
      </c>
      <c r="CX30">
        <f t="shared" si="40"/>
        <v>0</v>
      </c>
      <c r="CY30">
        <f t="shared" si="41"/>
        <v>915.19400000000007</v>
      </c>
      <c r="CZ30">
        <f t="shared" si="42"/>
        <v>130.74200000000002</v>
      </c>
      <c r="DC30" t="s">
        <v>3</v>
      </c>
      <c r="DD30" t="s">
        <v>33</v>
      </c>
      <c r="DE30" t="s">
        <v>34</v>
      </c>
      <c r="DF30" t="s">
        <v>34</v>
      </c>
      <c r="DG30" t="s">
        <v>34</v>
      </c>
      <c r="DH30" t="s">
        <v>3</v>
      </c>
      <c r="DI30" t="s">
        <v>34</v>
      </c>
      <c r="DJ30" t="s">
        <v>34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1003</v>
      </c>
      <c r="DV30" t="s">
        <v>31</v>
      </c>
      <c r="DW30" t="s">
        <v>31</v>
      </c>
      <c r="DX30">
        <v>100</v>
      </c>
      <c r="DZ30" t="s">
        <v>3</v>
      </c>
      <c r="EA30" t="s">
        <v>3</v>
      </c>
      <c r="EB30" t="s">
        <v>3</v>
      </c>
      <c r="EC30" t="s">
        <v>3</v>
      </c>
      <c r="EE30">
        <v>37377619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35</v>
      </c>
      <c r="EQ30">
        <v>0</v>
      </c>
      <c r="ER30">
        <v>105792.07</v>
      </c>
      <c r="ES30">
        <v>79886.62</v>
      </c>
      <c r="ET30">
        <v>762.81</v>
      </c>
      <c r="EU30">
        <v>468.34</v>
      </c>
      <c r="EV30">
        <v>25142.639999999999</v>
      </c>
      <c r="EW30">
        <v>124.37</v>
      </c>
      <c r="EX30">
        <v>0</v>
      </c>
      <c r="EY30">
        <v>0</v>
      </c>
      <c r="FQ30">
        <v>0</v>
      </c>
      <c r="FR30">
        <f t="shared" si="43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975154479</v>
      </c>
      <c r="GG30">
        <v>2</v>
      </c>
      <c r="GH30">
        <v>1</v>
      </c>
      <c r="GI30">
        <v>-2</v>
      </c>
      <c r="GJ30">
        <v>0</v>
      </c>
      <c r="GK30">
        <f>ROUND(R30*(R12)/100,2)</f>
        <v>26.3</v>
      </c>
      <c r="GL30">
        <f t="shared" si="44"/>
        <v>0</v>
      </c>
      <c r="GM30">
        <f t="shared" si="45"/>
        <v>2419.3200000000002</v>
      </c>
      <c r="GN30">
        <f t="shared" si="46"/>
        <v>0</v>
      </c>
      <c r="GO30">
        <f t="shared" si="47"/>
        <v>0</v>
      </c>
      <c r="GP30">
        <f t="shared" si="48"/>
        <v>2419.3200000000002</v>
      </c>
      <c r="GR30">
        <v>0</v>
      </c>
      <c r="GS30">
        <v>3</v>
      </c>
      <c r="GT30">
        <v>0</v>
      </c>
      <c r="GU30" t="s">
        <v>3</v>
      </c>
      <c r="GV30">
        <f t="shared" si="49"/>
        <v>0</v>
      </c>
      <c r="GW30">
        <v>1</v>
      </c>
      <c r="GX30">
        <f t="shared" si="50"/>
        <v>0</v>
      </c>
      <c r="HA30">
        <v>0</v>
      </c>
      <c r="HB30">
        <v>0</v>
      </c>
      <c r="HC30">
        <f t="shared" si="51"/>
        <v>0</v>
      </c>
      <c r="HE30" t="s">
        <v>3</v>
      </c>
      <c r="HF30" t="s">
        <v>3</v>
      </c>
      <c r="IK30">
        <v>0</v>
      </c>
    </row>
    <row r="31" spans="1:245" x14ac:dyDescent="0.2">
      <c r="A31">
        <v>17</v>
      </c>
      <c r="B31">
        <v>1</v>
      </c>
      <c r="C31">
        <f>ROW(SmtRes!A27)</f>
        <v>27</v>
      </c>
      <c r="D31">
        <f>ROW(EtalonRes!A27)</f>
        <v>27</v>
      </c>
      <c r="E31" t="s">
        <v>36</v>
      </c>
      <c r="F31" t="s">
        <v>29</v>
      </c>
      <c r="G31" t="s">
        <v>30</v>
      </c>
      <c r="H31" t="s">
        <v>31</v>
      </c>
      <c r="I31">
        <f>ROUND(26/100,9)</f>
        <v>0.26</v>
      </c>
      <c r="J31">
        <v>0</v>
      </c>
      <c r="O31">
        <f t="shared" si="21"/>
        <v>27505.94</v>
      </c>
      <c r="P31">
        <f t="shared" si="22"/>
        <v>20770.52</v>
      </c>
      <c r="Q31">
        <f t="shared" si="23"/>
        <v>198.33</v>
      </c>
      <c r="R31">
        <f t="shared" si="24"/>
        <v>121.77</v>
      </c>
      <c r="S31">
        <f t="shared" si="25"/>
        <v>6537.09</v>
      </c>
      <c r="T31">
        <f t="shared" si="26"/>
        <v>0</v>
      </c>
      <c r="U31">
        <f t="shared" si="27"/>
        <v>32.336200000000005</v>
      </c>
      <c r="V31">
        <f t="shared" si="28"/>
        <v>0</v>
      </c>
      <c r="W31">
        <f t="shared" si="29"/>
        <v>0</v>
      </c>
      <c r="X31">
        <f t="shared" si="30"/>
        <v>4575.96</v>
      </c>
      <c r="Y31">
        <f t="shared" si="30"/>
        <v>653.71</v>
      </c>
      <c r="AA31">
        <v>38115817</v>
      </c>
      <c r="AB31">
        <f t="shared" si="31"/>
        <v>105792.07</v>
      </c>
      <c r="AC31">
        <f>ROUND((ES31),6)</f>
        <v>79886.62</v>
      </c>
      <c r="AD31">
        <f>ROUND((((ET31)-(EU31))+AE31),6)</f>
        <v>762.81</v>
      </c>
      <c r="AE31">
        <f t="shared" ref="AE31:AF35" si="52">ROUND((EU31),6)</f>
        <v>468.34</v>
      </c>
      <c r="AF31">
        <f t="shared" si="52"/>
        <v>25142.639999999999</v>
      </c>
      <c r="AG31">
        <f t="shared" si="32"/>
        <v>0</v>
      </c>
      <c r="AH31">
        <f t="shared" ref="AH31:AI35" si="53">(EW31)</f>
        <v>124.37</v>
      </c>
      <c r="AI31">
        <f t="shared" si="53"/>
        <v>0</v>
      </c>
      <c r="AJ31">
        <f t="shared" si="33"/>
        <v>0</v>
      </c>
      <c r="AK31">
        <v>105792.07</v>
      </c>
      <c r="AL31">
        <v>79886.62</v>
      </c>
      <c r="AM31">
        <v>762.81</v>
      </c>
      <c r="AN31">
        <v>468.34</v>
      </c>
      <c r="AO31">
        <v>25142.639999999999</v>
      </c>
      <c r="AP31">
        <v>0</v>
      </c>
      <c r="AQ31">
        <v>124.37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32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4"/>
        <v>27505.940000000002</v>
      </c>
      <c r="CQ31">
        <f t="shared" si="35"/>
        <v>79886.62</v>
      </c>
      <c r="CR31">
        <f>((((ET31)*BB31-(EU31)*BS31)+AE31*BS31)*AV31)</f>
        <v>762.81</v>
      </c>
      <c r="CS31">
        <f t="shared" si="36"/>
        <v>468.34</v>
      </c>
      <c r="CT31">
        <f t="shared" si="37"/>
        <v>25142.639999999999</v>
      </c>
      <c r="CU31">
        <f t="shared" si="38"/>
        <v>0</v>
      </c>
      <c r="CV31">
        <f t="shared" si="39"/>
        <v>124.37</v>
      </c>
      <c r="CW31">
        <f t="shared" si="40"/>
        <v>0</v>
      </c>
      <c r="CX31">
        <f t="shared" si="40"/>
        <v>0</v>
      </c>
      <c r="CY31">
        <f t="shared" si="41"/>
        <v>4575.9629999999997</v>
      </c>
      <c r="CZ31">
        <f t="shared" si="42"/>
        <v>653.70900000000006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1003</v>
      </c>
      <c r="DV31" t="s">
        <v>31</v>
      </c>
      <c r="DW31" t="s">
        <v>31</v>
      </c>
      <c r="DX31">
        <v>100</v>
      </c>
      <c r="DZ31" t="s">
        <v>3</v>
      </c>
      <c r="EA31" t="s">
        <v>3</v>
      </c>
      <c r="EB31" t="s">
        <v>3</v>
      </c>
      <c r="EC31" t="s">
        <v>3</v>
      </c>
      <c r="EE31">
        <v>37377619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0</v>
      </c>
      <c r="ER31">
        <v>105792.07</v>
      </c>
      <c r="ES31">
        <v>79886.62</v>
      </c>
      <c r="ET31">
        <v>762.81</v>
      </c>
      <c r="EU31">
        <v>468.34</v>
      </c>
      <c r="EV31">
        <v>25142.639999999999</v>
      </c>
      <c r="EW31">
        <v>124.37</v>
      </c>
      <c r="EX31">
        <v>0</v>
      </c>
      <c r="EY31">
        <v>0</v>
      </c>
      <c r="FQ31">
        <v>0</v>
      </c>
      <c r="FR31">
        <f t="shared" si="43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975154479</v>
      </c>
      <c r="GG31">
        <v>2</v>
      </c>
      <c r="GH31">
        <v>1</v>
      </c>
      <c r="GI31">
        <v>-2</v>
      </c>
      <c r="GJ31">
        <v>0</v>
      </c>
      <c r="GK31">
        <f>ROUND(R31*(R12)/100,2)</f>
        <v>131.51</v>
      </c>
      <c r="GL31">
        <f t="shared" si="44"/>
        <v>0</v>
      </c>
      <c r="GM31">
        <f t="shared" si="45"/>
        <v>32867.120000000003</v>
      </c>
      <c r="GN31">
        <f t="shared" si="46"/>
        <v>0</v>
      </c>
      <c r="GO31">
        <f t="shared" si="47"/>
        <v>0</v>
      </c>
      <c r="GP31">
        <f t="shared" si="48"/>
        <v>32867.120000000003</v>
      </c>
      <c r="GR31">
        <v>0</v>
      </c>
      <c r="GS31">
        <v>3</v>
      </c>
      <c r="GT31">
        <v>0</v>
      </c>
      <c r="GU31" t="s">
        <v>3</v>
      </c>
      <c r="GV31">
        <f t="shared" si="49"/>
        <v>0</v>
      </c>
      <c r="GW31">
        <v>1</v>
      </c>
      <c r="GX31">
        <f t="shared" si="50"/>
        <v>0</v>
      </c>
      <c r="HA31">
        <v>0</v>
      </c>
      <c r="HB31">
        <v>0</v>
      </c>
      <c r="HC31">
        <f t="shared" si="51"/>
        <v>0</v>
      </c>
      <c r="HE31" t="s">
        <v>3</v>
      </c>
      <c r="HF31" t="s">
        <v>3</v>
      </c>
      <c r="IK31">
        <v>0</v>
      </c>
    </row>
    <row r="32" spans="1:245" x14ac:dyDescent="0.2">
      <c r="A32">
        <v>18</v>
      </c>
      <c r="B32">
        <v>1</v>
      </c>
      <c r="C32">
        <v>26</v>
      </c>
      <c r="E32" t="s">
        <v>37</v>
      </c>
      <c r="F32" t="s">
        <v>38</v>
      </c>
      <c r="G32" t="s">
        <v>39</v>
      </c>
      <c r="H32" t="s">
        <v>40</v>
      </c>
      <c r="I32">
        <f>I31*J32</f>
        <v>-0.26</v>
      </c>
      <c r="J32">
        <v>-1</v>
      </c>
      <c r="O32">
        <f t="shared" si="21"/>
        <v>-9.17</v>
      </c>
      <c r="P32">
        <f t="shared" si="22"/>
        <v>-9.17</v>
      </c>
      <c r="Q32">
        <f t="shared" si="23"/>
        <v>0</v>
      </c>
      <c r="R32">
        <f t="shared" si="2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0"/>
        <v>0</v>
      </c>
      <c r="AA32">
        <v>38115817</v>
      </c>
      <c r="AB32">
        <f t="shared" si="31"/>
        <v>35.25</v>
      </c>
      <c r="AC32">
        <f>ROUND((ES32),6)</f>
        <v>35.25</v>
      </c>
      <c r="AD32">
        <f>ROUND((((ET32)-(EU32))+AE32),6)</f>
        <v>0</v>
      </c>
      <c r="AE32">
        <f t="shared" si="52"/>
        <v>0</v>
      </c>
      <c r="AF32">
        <f t="shared" si="52"/>
        <v>0</v>
      </c>
      <c r="AG32">
        <f t="shared" si="32"/>
        <v>0</v>
      </c>
      <c r="AH32">
        <f t="shared" si="53"/>
        <v>0</v>
      </c>
      <c r="AI32">
        <f t="shared" si="53"/>
        <v>0</v>
      </c>
      <c r="AJ32">
        <f t="shared" si="33"/>
        <v>0</v>
      </c>
      <c r="AK32">
        <v>35.25</v>
      </c>
      <c r="AL32">
        <v>35.25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3</v>
      </c>
      <c r="BI32">
        <v>4</v>
      </c>
      <c r="BJ32" t="s">
        <v>41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4"/>
        <v>-9.17</v>
      </c>
      <c r="CQ32">
        <f t="shared" si="35"/>
        <v>35.25</v>
      </c>
      <c r="CR32">
        <f>((((ET32)*BB32-(EU32)*BS32)+AE32*BS32)*AV32)</f>
        <v>0</v>
      </c>
      <c r="CS32">
        <f t="shared" si="36"/>
        <v>0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  <c r="CX32">
        <f t="shared" si="40"/>
        <v>0</v>
      </c>
      <c r="CY32">
        <f t="shared" si="41"/>
        <v>0</v>
      </c>
      <c r="CZ32">
        <f t="shared" si="42"/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1007</v>
      </c>
      <c r="DV32" t="s">
        <v>40</v>
      </c>
      <c r="DW32" t="s">
        <v>40</v>
      </c>
      <c r="DX32">
        <v>1</v>
      </c>
      <c r="DZ32" t="s">
        <v>3</v>
      </c>
      <c r="EA32" t="s">
        <v>3</v>
      </c>
      <c r="EB32" t="s">
        <v>3</v>
      </c>
      <c r="EC32" t="s">
        <v>3</v>
      </c>
      <c r="EE32">
        <v>37377619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0</v>
      </c>
      <c r="EL32" t="s">
        <v>21</v>
      </c>
      <c r="EM32" t="s">
        <v>22</v>
      </c>
      <c r="EO32" t="s">
        <v>3</v>
      </c>
      <c r="EQ32">
        <v>0</v>
      </c>
      <c r="ER32">
        <v>35.25</v>
      </c>
      <c r="ES32">
        <v>35.25</v>
      </c>
      <c r="ET32">
        <v>0</v>
      </c>
      <c r="EU32">
        <v>0</v>
      </c>
      <c r="EV32">
        <v>0</v>
      </c>
      <c r="EW32">
        <v>0</v>
      </c>
      <c r="EX32">
        <v>0</v>
      </c>
      <c r="FQ32">
        <v>0</v>
      </c>
      <c r="FR32">
        <f t="shared" si="43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1927597627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44"/>
        <v>0</v>
      </c>
      <c r="GM32">
        <f t="shared" si="45"/>
        <v>-9.17</v>
      </c>
      <c r="GN32">
        <f t="shared" si="46"/>
        <v>0</v>
      </c>
      <c r="GO32">
        <f t="shared" si="47"/>
        <v>0</v>
      </c>
      <c r="GP32">
        <f t="shared" si="48"/>
        <v>-9.17</v>
      </c>
      <c r="GR32">
        <v>0</v>
      </c>
      <c r="GS32">
        <v>3</v>
      </c>
      <c r="GT32">
        <v>0</v>
      </c>
      <c r="GU32" t="s">
        <v>3</v>
      </c>
      <c r="GV32">
        <f t="shared" si="49"/>
        <v>0</v>
      </c>
      <c r="GW32">
        <v>1</v>
      </c>
      <c r="GX32">
        <f t="shared" si="50"/>
        <v>0</v>
      </c>
      <c r="HA32">
        <v>0</v>
      </c>
      <c r="HB32">
        <v>0</v>
      </c>
      <c r="HC32">
        <f t="shared" si="51"/>
        <v>0</v>
      </c>
      <c r="HE32" t="s">
        <v>3</v>
      </c>
      <c r="HF32" t="s">
        <v>3</v>
      </c>
      <c r="IK32">
        <v>0</v>
      </c>
    </row>
    <row r="33" spans="1:245" x14ac:dyDescent="0.2">
      <c r="A33">
        <v>17</v>
      </c>
      <c r="B33">
        <v>1</v>
      </c>
      <c r="C33">
        <f>ROW(SmtRes!A31)</f>
        <v>31</v>
      </c>
      <c r="D33">
        <f>ROW(EtalonRes!A31)</f>
        <v>31</v>
      </c>
      <c r="E33" t="s">
        <v>42</v>
      </c>
      <c r="F33" t="s">
        <v>43</v>
      </c>
      <c r="G33" t="s">
        <v>44</v>
      </c>
      <c r="H33" t="s">
        <v>45</v>
      </c>
      <c r="I33">
        <f>ROUND(45.15/100,9)</f>
        <v>0.45150000000000001</v>
      </c>
      <c r="J33">
        <v>0</v>
      </c>
      <c r="O33">
        <f t="shared" si="21"/>
        <v>27490.41</v>
      </c>
      <c r="P33">
        <f t="shared" si="22"/>
        <v>0</v>
      </c>
      <c r="Q33">
        <f t="shared" si="23"/>
        <v>13792.74</v>
      </c>
      <c r="R33">
        <f t="shared" si="24"/>
        <v>7614.29</v>
      </c>
      <c r="S33">
        <f t="shared" si="25"/>
        <v>13697.67</v>
      </c>
      <c r="T33">
        <f t="shared" si="26"/>
        <v>0</v>
      </c>
      <c r="U33">
        <f t="shared" si="27"/>
        <v>69.982500000000002</v>
      </c>
      <c r="V33">
        <f t="shared" si="28"/>
        <v>0</v>
      </c>
      <c r="W33">
        <f t="shared" si="29"/>
        <v>0</v>
      </c>
      <c r="X33">
        <f t="shared" si="30"/>
        <v>9588.3700000000008</v>
      </c>
      <c r="Y33">
        <f t="shared" si="30"/>
        <v>1369.77</v>
      </c>
      <c r="AA33">
        <v>38115817</v>
      </c>
      <c r="AB33">
        <f t="shared" si="31"/>
        <v>60886.85</v>
      </c>
      <c r="AC33">
        <f>ROUND((ES33),6)</f>
        <v>0</v>
      </c>
      <c r="AD33">
        <f>ROUND((((ET33)-(EU33))+AE33),6)</f>
        <v>30548.7</v>
      </c>
      <c r="AE33">
        <f t="shared" si="52"/>
        <v>16864.419999999998</v>
      </c>
      <c r="AF33">
        <f t="shared" si="52"/>
        <v>30338.15</v>
      </c>
      <c r="AG33">
        <f t="shared" si="32"/>
        <v>0</v>
      </c>
      <c r="AH33">
        <f t="shared" si="53"/>
        <v>155</v>
      </c>
      <c r="AI33">
        <f t="shared" si="53"/>
        <v>0</v>
      </c>
      <c r="AJ33">
        <f t="shared" si="33"/>
        <v>0</v>
      </c>
      <c r="AK33">
        <v>60886.85</v>
      </c>
      <c r="AL33">
        <v>0</v>
      </c>
      <c r="AM33">
        <v>30548.7</v>
      </c>
      <c r="AN33">
        <v>16864.419999999998</v>
      </c>
      <c r="AO33">
        <v>30338.15</v>
      </c>
      <c r="AP33">
        <v>0</v>
      </c>
      <c r="AQ33">
        <v>155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46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4"/>
        <v>27490.41</v>
      </c>
      <c r="CQ33">
        <f t="shared" si="35"/>
        <v>0</v>
      </c>
      <c r="CR33">
        <f>((((ET33)*BB33-(EU33)*BS33)+AE33*BS33)*AV33)</f>
        <v>30548.7</v>
      </c>
      <c r="CS33">
        <f t="shared" si="36"/>
        <v>16864.419999999998</v>
      </c>
      <c r="CT33">
        <f t="shared" si="37"/>
        <v>30338.15</v>
      </c>
      <c r="CU33">
        <f t="shared" si="38"/>
        <v>0</v>
      </c>
      <c r="CV33">
        <f t="shared" si="39"/>
        <v>155</v>
      </c>
      <c r="CW33">
        <f t="shared" si="40"/>
        <v>0</v>
      </c>
      <c r="CX33">
        <f t="shared" si="40"/>
        <v>0</v>
      </c>
      <c r="CY33">
        <f t="shared" si="41"/>
        <v>9588.3690000000006</v>
      </c>
      <c r="CZ33">
        <f t="shared" si="42"/>
        <v>1369.7670000000001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1007</v>
      </c>
      <c r="DV33" t="s">
        <v>45</v>
      </c>
      <c r="DW33" t="s">
        <v>45</v>
      </c>
      <c r="DX33">
        <v>100</v>
      </c>
      <c r="DZ33" t="s">
        <v>3</v>
      </c>
      <c r="EA33" t="s">
        <v>3</v>
      </c>
      <c r="EB33" t="s">
        <v>3</v>
      </c>
      <c r="EC33" t="s">
        <v>3</v>
      </c>
      <c r="EE33">
        <v>37377619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0</v>
      </c>
      <c r="EL33" t="s">
        <v>21</v>
      </c>
      <c r="EM33" t="s">
        <v>22</v>
      </c>
      <c r="EO33" t="s">
        <v>3</v>
      </c>
      <c r="EQ33">
        <v>0</v>
      </c>
      <c r="ER33">
        <v>60886.85</v>
      </c>
      <c r="ES33">
        <v>0</v>
      </c>
      <c r="ET33">
        <v>30548.7</v>
      </c>
      <c r="EU33">
        <v>16864.419999999998</v>
      </c>
      <c r="EV33">
        <v>30338.15</v>
      </c>
      <c r="EW33">
        <v>155</v>
      </c>
      <c r="EX33">
        <v>0</v>
      </c>
      <c r="EY33">
        <v>0</v>
      </c>
      <c r="FQ33">
        <v>0</v>
      </c>
      <c r="FR33">
        <f t="shared" si="43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-985569131</v>
      </c>
      <c r="GG33">
        <v>2</v>
      </c>
      <c r="GH33">
        <v>1</v>
      </c>
      <c r="GI33">
        <v>-2</v>
      </c>
      <c r="GJ33">
        <v>0</v>
      </c>
      <c r="GK33">
        <f>ROUND(R33*(R12)/100,2)</f>
        <v>8223.43</v>
      </c>
      <c r="GL33">
        <f t="shared" si="44"/>
        <v>0</v>
      </c>
      <c r="GM33">
        <f t="shared" si="45"/>
        <v>46671.98</v>
      </c>
      <c r="GN33">
        <f t="shared" si="46"/>
        <v>0</v>
      </c>
      <c r="GO33">
        <f t="shared" si="47"/>
        <v>0</v>
      </c>
      <c r="GP33">
        <f t="shared" si="48"/>
        <v>46671.98</v>
      </c>
      <c r="GR33">
        <v>0</v>
      </c>
      <c r="GS33">
        <v>3</v>
      </c>
      <c r="GT33">
        <v>0</v>
      </c>
      <c r="GU33" t="s">
        <v>3</v>
      </c>
      <c r="GV33">
        <f t="shared" si="49"/>
        <v>0</v>
      </c>
      <c r="GW33">
        <v>1</v>
      </c>
      <c r="GX33">
        <f t="shared" si="50"/>
        <v>0</v>
      </c>
      <c r="HA33">
        <v>0</v>
      </c>
      <c r="HB33">
        <v>0</v>
      </c>
      <c r="HC33">
        <f t="shared" si="51"/>
        <v>0</v>
      </c>
      <c r="HE33" t="s">
        <v>3</v>
      </c>
      <c r="HF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ROW(SmtRes!A35)</f>
        <v>35</v>
      </c>
      <c r="D34">
        <f>ROW(EtalonRes!A35)</f>
        <v>35</v>
      </c>
      <c r="E34" t="s">
        <v>47</v>
      </c>
      <c r="F34" t="s">
        <v>48</v>
      </c>
      <c r="G34" t="s">
        <v>49</v>
      </c>
      <c r="H34" t="s">
        <v>26</v>
      </c>
      <c r="I34">
        <f>ROUND(645/100,9)</f>
        <v>6.45</v>
      </c>
      <c r="J34">
        <v>0</v>
      </c>
      <c r="O34">
        <f t="shared" si="21"/>
        <v>154586.51</v>
      </c>
      <c r="P34">
        <f t="shared" si="22"/>
        <v>132153.07999999999</v>
      </c>
      <c r="Q34">
        <f t="shared" si="23"/>
        <v>7243.74</v>
      </c>
      <c r="R34">
        <f t="shared" si="24"/>
        <v>3042.59</v>
      </c>
      <c r="S34">
        <f t="shared" si="25"/>
        <v>15189.69</v>
      </c>
      <c r="T34">
        <f t="shared" si="26"/>
        <v>0</v>
      </c>
      <c r="U34">
        <f t="shared" si="27"/>
        <v>66.435000000000002</v>
      </c>
      <c r="V34">
        <f t="shared" si="28"/>
        <v>0</v>
      </c>
      <c r="W34">
        <f t="shared" si="29"/>
        <v>0</v>
      </c>
      <c r="X34">
        <f t="shared" si="30"/>
        <v>10632.78</v>
      </c>
      <c r="Y34">
        <f t="shared" si="30"/>
        <v>1518.97</v>
      </c>
      <c r="AA34">
        <v>38115817</v>
      </c>
      <c r="AB34">
        <f t="shared" si="31"/>
        <v>23966.9</v>
      </c>
      <c r="AC34">
        <f>ROUND((ES34),6)</f>
        <v>20488.849999999999</v>
      </c>
      <c r="AD34">
        <f>ROUND((((ET34)-(EU34))+AE34),6)</f>
        <v>1123.06</v>
      </c>
      <c r="AE34">
        <f t="shared" si="52"/>
        <v>471.72</v>
      </c>
      <c r="AF34">
        <f t="shared" si="52"/>
        <v>2354.9899999999998</v>
      </c>
      <c r="AG34">
        <f t="shared" si="32"/>
        <v>0</v>
      </c>
      <c r="AH34">
        <f t="shared" si="53"/>
        <v>10.3</v>
      </c>
      <c r="AI34">
        <f t="shared" si="53"/>
        <v>0</v>
      </c>
      <c r="AJ34">
        <f t="shared" si="33"/>
        <v>0</v>
      </c>
      <c r="AK34">
        <v>23966.9</v>
      </c>
      <c r="AL34">
        <v>20488.849999999999</v>
      </c>
      <c r="AM34">
        <v>1123.06</v>
      </c>
      <c r="AN34">
        <v>471.72</v>
      </c>
      <c r="AO34">
        <v>2354.9899999999998</v>
      </c>
      <c r="AP34">
        <v>0</v>
      </c>
      <c r="AQ34">
        <v>10.3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50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4"/>
        <v>154586.50999999998</v>
      </c>
      <c r="CQ34">
        <f t="shared" si="35"/>
        <v>20488.849999999999</v>
      </c>
      <c r="CR34">
        <f>((((ET34)*BB34-(EU34)*BS34)+AE34*BS34)*AV34)</f>
        <v>1123.06</v>
      </c>
      <c r="CS34">
        <f t="shared" si="36"/>
        <v>471.72</v>
      </c>
      <c r="CT34">
        <f t="shared" si="37"/>
        <v>2354.9899999999998</v>
      </c>
      <c r="CU34">
        <f t="shared" si="38"/>
        <v>0</v>
      </c>
      <c r="CV34">
        <f t="shared" si="39"/>
        <v>10.3</v>
      </c>
      <c r="CW34">
        <f t="shared" si="40"/>
        <v>0</v>
      </c>
      <c r="CX34">
        <f t="shared" si="40"/>
        <v>0</v>
      </c>
      <c r="CY34">
        <f t="shared" si="41"/>
        <v>10632.783000000001</v>
      </c>
      <c r="CZ34">
        <f t="shared" si="42"/>
        <v>1518.9690000000001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1005</v>
      </c>
      <c r="DV34" t="s">
        <v>26</v>
      </c>
      <c r="DW34" t="s">
        <v>26</v>
      </c>
      <c r="DX34">
        <v>100</v>
      </c>
      <c r="DZ34" t="s">
        <v>3</v>
      </c>
      <c r="EA34" t="s">
        <v>3</v>
      </c>
      <c r="EB34" t="s">
        <v>3</v>
      </c>
      <c r="EC34" t="s">
        <v>3</v>
      </c>
      <c r="EE34">
        <v>37377619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0</v>
      </c>
      <c r="ER34">
        <v>23966.9</v>
      </c>
      <c r="ES34">
        <v>20488.849999999999</v>
      </c>
      <c r="ET34">
        <v>1123.06</v>
      </c>
      <c r="EU34">
        <v>471.72</v>
      </c>
      <c r="EV34">
        <v>2354.9899999999998</v>
      </c>
      <c r="EW34">
        <v>10.3</v>
      </c>
      <c r="EX34">
        <v>0</v>
      </c>
      <c r="EY34">
        <v>0</v>
      </c>
      <c r="FQ34">
        <v>0</v>
      </c>
      <c r="FR34">
        <f t="shared" si="43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280582152</v>
      </c>
      <c r="GG34">
        <v>2</v>
      </c>
      <c r="GH34">
        <v>1</v>
      </c>
      <c r="GI34">
        <v>-2</v>
      </c>
      <c r="GJ34">
        <v>0</v>
      </c>
      <c r="GK34">
        <f>ROUND(R34*(R12)/100,2)</f>
        <v>3286</v>
      </c>
      <c r="GL34">
        <f t="shared" si="44"/>
        <v>0</v>
      </c>
      <c r="GM34">
        <f t="shared" si="45"/>
        <v>170024.26</v>
      </c>
      <c r="GN34">
        <f t="shared" si="46"/>
        <v>0</v>
      </c>
      <c r="GO34">
        <f t="shared" si="47"/>
        <v>0</v>
      </c>
      <c r="GP34">
        <f t="shared" si="48"/>
        <v>170024.26</v>
      </c>
      <c r="GR34">
        <v>0</v>
      </c>
      <c r="GS34">
        <v>3</v>
      </c>
      <c r="GT34">
        <v>0</v>
      </c>
      <c r="GU34" t="s">
        <v>3</v>
      </c>
      <c r="GV34">
        <f t="shared" si="49"/>
        <v>0</v>
      </c>
      <c r="GW34">
        <v>1</v>
      </c>
      <c r="GX34">
        <f t="shared" si="50"/>
        <v>0</v>
      </c>
      <c r="HA34">
        <v>0</v>
      </c>
      <c r="HB34">
        <v>0</v>
      </c>
      <c r="HC34">
        <f t="shared" si="51"/>
        <v>0</v>
      </c>
      <c r="HE34" t="s">
        <v>3</v>
      </c>
      <c r="HF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ROW(SmtRes!A39)</f>
        <v>39</v>
      </c>
      <c r="D35">
        <f>ROW(EtalonRes!A39)</f>
        <v>39</v>
      </c>
      <c r="E35" t="s">
        <v>51</v>
      </c>
      <c r="F35" t="s">
        <v>52</v>
      </c>
      <c r="G35" t="s">
        <v>53</v>
      </c>
      <c r="H35" t="s">
        <v>26</v>
      </c>
      <c r="I35">
        <f>ROUND(645/100,9)</f>
        <v>6.45</v>
      </c>
      <c r="J35">
        <v>0</v>
      </c>
      <c r="O35">
        <f t="shared" si="21"/>
        <v>215277.66</v>
      </c>
      <c r="P35">
        <f t="shared" si="22"/>
        <v>192844.23</v>
      </c>
      <c r="Q35">
        <f t="shared" si="23"/>
        <v>7243.74</v>
      </c>
      <c r="R35">
        <f t="shared" si="24"/>
        <v>3042.59</v>
      </c>
      <c r="S35">
        <f t="shared" si="25"/>
        <v>15189.69</v>
      </c>
      <c r="T35">
        <f t="shared" si="26"/>
        <v>0</v>
      </c>
      <c r="U35">
        <f t="shared" si="27"/>
        <v>66.435000000000002</v>
      </c>
      <c r="V35">
        <f t="shared" si="28"/>
        <v>0</v>
      </c>
      <c r="W35">
        <f t="shared" si="29"/>
        <v>0</v>
      </c>
      <c r="X35">
        <f t="shared" si="30"/>
        <v>10632.78</v>
      </c>
      <c r="Y35">
        <f t="shared" si="30"/>
        <v>1518.97</v>
      </c>
      <c r="AA35">
        <v>38115817</v>
      </c>
      <c r="AB35">
        <f t="shared" si="31"/>
        <v>33376.379999999997</v>
      </c>
      <c r="AC35">
        <f>ROUND((ES35),6)</f>
        <v>29898.33</v>
      </c>
      <c r="AD35">
        <f>ROUND((((ET35)-(EU35))+AE35),6)</f>
        <v>1123.06</v>
      </c>
      <c r="AE35">
        <f t="shared" si="52"/>
        <v>471.72</v>
      </c>
      <c r="AF35">
        <f t="shared" si="52"/>
        <v>2354.9899999999998</v>
      </c>
      <c r="AG35">
        <f t="shared" si="32"/>
        <v>0</v>
      </c>
      <c r="AH35">
        <f t="shared" si="53"/>
        <v>10.3</v>
      </c>
      <c r="AI35">
        <f t="shared" si="53"/>
        <v>0</v>
      </c>
      <c r="AJ35">
        <f t="shared" si="33"/>
        <v>0</v>
      </c>
      <c r="AK35">
        <v>33376.379999999997</v>
      </c>
      <c r="AL35">
        <v>29898.33</v>
      </c>
      <c r="AM35">
        <v>1123.06</v>
      </c>
      <c r="AN35">
        <v>471.72</v>
      </c>
      <c r="AO35">
        <v>2354.9899999999998</v>
      </c>
      <c r="AP35">
        <v>0</v>
      </c>
      <c r="AQ35">
        <v>10.3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54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4"/>
        <v>215277.66</v>
      </c>
      <c r="CQ35">
        <f t="shared" si="35"/>
        <v>29898.33</v>
      </c>
      <c r="CR35">
        <f>((((ET35)*BB35-(EU35)*BS35)+AE35*BS35)*AV35)</f>
        <v>1123.06</v>
      </c>
      <c r="CS35">
        <f t="shared" si="36"/>
        <v>471.72</v>
      </c>
      <c r="CT35">
        <f t="shared" si="37"/>
        <v>2354.9899999999998</v>
      </c>
      <c r="CU35">
        <f t="shared" si="38"/>
        <v>0</v>
      </c>
      <c r="CV35">
        <f t="shared" si="39"/>
        <v>10.3</v>
      </c>
      <c r="CW35">
        <f t="shared" si="40"/>
        <v>0</v>
      </c>
      <c r="CX35">
        <f t="shared" si="40"/>
        <v>0</v>
      </c>
      <c r="CY35">
        <f t="shared" si="41"/>
        <v>10632.783000000001</v>
      </c>
      <c r="CZ35">
        <f t="shared" si="42"/>
        <v>1518.9690000000001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1005</v>
      </c>
      <c r="DV35" t="s">
        <v>26</v>
      </c>
      <c r="DW35" t="s">
        <v>26</v>
      </c>
      <c r="DX35">
        <v>100</v>
      </c>
      <c r="DZ35" t="s">
        <v>3</v>
      </c>
      <c r="EA35" t="s">
        <v>3</v>
      </c>
      <c r="EB35" t="s">
        <v>3</v>
      </c>
      <c r="EC35" t="s">
        <v>3</v>
      </c>
      <c r="EE35">
        <v>37377619</v>
      </c>
      <c r="EF35">
        <v>1</v>
      </c>
      <c r="EG35" t="s">
        <v>20</v>
      </c>
      <c r="EH35">
        <v>0</v>
      </c>
      <c r="EI35" t="s">
        <v>3</v>
      </c>
      <c r="EJ35">
        <v>4</v>
      </c>
      <c r="EK35">
        <v>0</v>
      </c>
      <c r="EL35" t="s">
        <v>21</v>
      </c>
      <c r="EM35" t="s">
        <v>22</v>
      </c>
      <c r="EO35" t="s">
        <v>3</v>
      </c>
      <c r="EQ35">
        <v>0</v>
      </c>
      <c r="ER35">
        <v>33376.379999999997</v>
      </c>
      <c r="ES35">
        <v>29898.33</v>
      </c>
      <c r="ET35">
        <v>1123.06</v>
      </c>
      <c r="EU35">
        <v>471.72</v>
      </c>
      <c r="EV35">
        <v>2354.9899999999998</v>
      </c>
      <c r="EW35">
        <v>10.3</v>
      </c>
      <c r="EX35">
        <v>0</v>
      </c>
      <c r="EY35">
        <v>0</v>
      </c>
      <c r="FQ35">
        <v>0</v>
      </c>
      <c r="FR35">
        <f t="shared" si="43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1849447365</v>
      </c>
      <c r="GG35">
        <v>2</v>
      </c>
      <c r="GH35">
        <v>1</v>
      </c>
      <c r="GI35">
        <v>-2</v>
      </c>
      <c r="GJ35">
        <v>0</v>
      </c>
      <c r="GK35">
        <f>ROUND(R35*(R12)/100,2)</f>
        <v>3286</v>
      </c>
      <c r="GL35">
        <f t="shared" si="44"/>
        <v>0</v>
      </c>
      <c r="GM35">
        <f t="shared" si="45"/>
        <v>230715.41</v>
      </c>
      <c r="GN35">
        <f t="shared" si="46"/>
        <v>0</v>
      </c>
      <c r="GO35">
        <f t="shared" si="47"/>
        <v>0</v>
      </c>
      <c r="GP35">
        <f t="shared" si="48"/>
        <v>230715.41</v>
      </c>
      <c r="GR35">
        <v>0</v>
      </c>
      <c r="GS35">
        <v>3</v>
      </c>
      <c r="GT35">
        <v>0</v>
      </c>
      <c r="GU35" t="s">
        <v>3</v>
      </c>
      <c r="GV35">
        <f t="shared" si="49"/>
        <v>0</v>
      </c>
      <c r="GW35">
        <v>1</v>
      </c>
      <c r="GX35">
        <f t="shared" si="50"/>
        <v>0</v>
      </c>
      <c r="HA35">
        <v>0</v>
      </c>
      <c r="HB35">
        <v>0</v>
      </c>
      <c r="HC35">
        <f t="shared" si="51"/>
        <v>0</v>
      </c>
      <c r="HE35" t="s">
        <v>3</v>
      </c>
      <c r="HF35" t="s">
        <v>3</v>
      </c>
      <c r="IK35">
        <v>0</v>
      </c>
    </row>
    <row r="37" spans="1:245" x14ac:dyDescent="0.2">
      <c r="A37" s="2">
        <v>51</v>
      </c>
      <c r="B37" s="2">
        <f>B24</f>
        <v>1</v>
      </c>
      <c r="C37" s="2">
        <f>A24</f>
        <v>4</v>
      </c>
      <c r="D37" s="2">
        <f>ROW(A24)</f>
        <v>24</v>
      </c>
      <c r="E37" s="2"/>
      <c r="F37" s="2" t="str">
        <f>IF(F24&lt;&gt;"",F24,"")</f>
        <v>Новый раздел</v>
      </c>
      <c r="G37" s="2" t="str">
        <f>IF(G24&lt;&gt;"",G24,"")</f>
        <v>Головное здание по адресу г. Москва, ул. Авиаконструктора Миля, дом 5, корпус 1</v>
      </c>
      <c r="H37" s="2">
        <v>0</v>
      </c>
      <c r="I37" s="2"/>
      <c r="J37" s="2"/>
      <c r="K37" s="2"/>
      <c r="L37" s="2"/>
      <c r="M37" s="2"/>
      <c r="N37" s="2"/>
      <c r="O37" s="2">
        <f t="shared" ref="O37:T37" si="54">ROUND(AB37,2)</f>
        <v>445149.81</v>
      </c>
      <c r="P37" s="2">
        <f t="shared" si="54"/>
        <v>361222.45</v>
      </c>
      <c r="Q37" s="2">
        <f t="shared" si="54"/>
        <v>29497.89</v>
      </c>
      <c r="R37" s="2">
        <f t="shared" si="54"/>
        <v>14400.46</v>
      </c>
      <c r="S37" s="2">
        <f t="shared" si="54"/>
        <v>54429.47</v>
      </c>
      <c r="T37" s="2">
        <f t="shared" si="54"/>
        <v>0</v>
      </c>
      <c r="U37" s="2">
        <f>AH37</f>
        <v>253.37394</v>
      </c>
      <c r="V37" s="2">
        <f>AI37</f>
        <v>0</v>
      </c>
      <c r="W37" s="2">
        <f>ROUND(AJ37,2)</f>
        <v>0</v>
      </c>
      <c r="X37" s="2">
        <f>ROUND(AK37,2)</f>
        <v>38100.620000000003</v>
      </c>
      <c r="Y37" s="2">
        <f>ROUND(AL37,2)</f>
        <v>5442.95</v>
      </c>
      <c r="Z37" s="2"/>
      <c r="AA37" s="2"/>
      <c r="AB37" s="2">
        <f>ROUND(SUMIF(AA28:AA35,"=38115817",O28:O35),2)</f>
        <v>445149.81</v>
      </c>
      <c r="AC37" s="2">
        <f>ROUND(SUMIF(AA28:AA35,"=38115817",P28:P35),2)</f>
        <v>361222.45</v>
      </c>
      <c r="AD37" s="2">
        <f>ROUND(SUMIF(AA28:AA35,"=38115817",Q28:Q35),2)</f>
        <v>29497.89</v>
      </c>
      <c r="AE37" s="2">
        <f>ROUND(SUMIF(AA28:AA35,"=38115817",R28:R35),2)</f>
        <v>14400.46</v>
      </c>
      <c r="AF37" s="2">
        <f>ROUND(SUMIF(AA28:AA35,"=38115817",S28:S35),2)</f>
        <v>54429.47</v>
      </c>
      <c r="AG37" s="2">
        <f>ROUND(SUMIF(AA28:AA35,"=38115817",T28:T35),2)</f>
        <v>0</v>
      </c>
      <c r="AH37" s="2">
        <f>SUMIF(AA28:AA35,"=38115817",U28:U35)</f>
        <v>253.37394</v>
      </c>
      <c r="AI37" s="2">
        <f>SUMIF(AA28:AA35,"=38115817",V28:V35)</f>
        <v>0</v>
      </c>
      <c r="AJ37" s="2">
        <f>ROUND(SUMIF(AA28:AA35,"=38115817",W28:W35),2)</f>
        <v>0</v>
      </c>
      <c r="AK37" s="2">
        <f>ROUND(SUMIF(AA28:AA35,"=38115817",X28:X35),2)</f>
        <v>38100.620000000003</v>
      </c>
      <c r="AL37" s="2">
        <f>ROUND(SUMIF(AA28:AA35,"=38115817",Y28:Y35),2)</f>
        <v>5442.95</v>
      </c>
      <c r="AM37" s="2"/>
      <c r="AN37" s="2"/>
      <c r="AO37" s="2">
        <f t="shared" ref="AO37:BD37" si="55">ROUND(BX37,2)</f>
        <v>0</v>
      </c>
      <c r="AP37" s="2">
        <f t="shared" si="55"/>
        <v>0</v>
      </c>
      <c r="AQ37" s="2">
        <f t="shared" si="55"/>
        <v>0</v>
      </c>
      <c r="AR37" s="2">
        <f t="shared" si="55"/>
        <v>504245.88</v>
      </c>
      <c r="AS37" s="2">
        <f t="shared" si="55"/>
        <v>0</v>
      </c>
      <c r="AT37" s="2">
        <f t="shared" si="55"/>
        <v>0</v>
      </c>
      <c r="AU37" s="2">
        <f t="shared" si="55"/>
        <v>504245.88</v>
      </c>
      <c r="AV37" s="2">
        <f t="shared" si="55"/>
        <v>361222.45</v>
      </c>
      <c r="AW37" s="2">
        <f t="shared" si="55"/>
        <v>361222.45</v>
      </c>
      <c r="AX37" s="2">
        <f t="shared" si="55"/>
        <v>0</v>
      </c>
      <c r="AY37" s="2">
        <f t="shared" si="55"/>
        <v>361222.45</v>
      </c>
      <c r="AZ37" s="2">
        <f t="shared" si="55"/>
        <v>0</v>
      </c>
      <c r="BA37" s="2">
        <f t="shared" si="55"/>
        <v>0</v>
      </c>
      <c r="BB37" s="2">
        <f t="shared" si="55"/>
        <v>0</v>
      </c>
      <c r="BC37" s="2">
        <f t="shared" si="55"/>
        <v>0</v>
      </c>
      <c r="BD37" s="2">
        <f t="shared" si="55"/>
        <v>0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>
        <f>ROUND(SUMIF(AA28:AA35,"=38115817",FQ28:FQ35),2)</f>
        <v>0</v>
      </c>
      <c r="BY37" s="2">
        <f>ROUND(SUMIF(AA28:AA35,"=38115817",FR28:FR35),2)</f>
        <v>0</v>
      </c>
      <c r="BZ37" s="2">
        <f>ROUND(SUMIF(AA28:AA35,"=38115817",GL28:GL35),2)</f>
        <v>0</v>
      </c>
      <c r="CA37" s="2">
        <f>ROUND(SUMIF(AA28:AA35,"=38115817",GM28:GM35),2)</f>
        <v>504245.88</v>
      </c>
      <c r="CB37" s="2">
        <f>ROUND(SUMIF(AA28:AA35,"=38115817",GN28:GN35),2)</f>
        <v>0</v>
      </c>
      <c r="CC37" s="2">
        <f>ROUND(SUMIF(AA28:AA35,"=38115817",GO28:GO35),2)</f>
        <v>0</v>
      </c>
      <c r="CD37" s="2">
        <f>ROUND(SUMIF(AA28:AA35,"=38115817",GP28:GP35),2)</f>
        <v>504245.88</v>
      </c>
      <c r="CE37" s="2">
        <f>AC37-BX37</f>
        <v>361222.45</v>
      </c>
      <c r="CF37" s="2">
        <f>AC37-BY37</f>
        <v>361222.45</v>
      </c>
      <c r="CG37" s="2">
        <f>BX37-BZ37</f>
        <v>0</v>
      </c>
      <c r="CH37" s="2">
        <f>AC37-BX37-BY37+BZ37</f>
        <v>361222.45</v>
      </c>
      <c r="CI37" s="2">
        <f>BY37-BZ37</f>
        <v>0</v>
      </c>
      <c r="CJ37" s="2">
        <f>ROUND(SUMIF(AA28:AA35,"=38115817",GX28:GX35),2)</f>
        <v>0</v>
      </c>
      <c r="CK37" s="2">
        <f>ROUND(SUMIF(AA28:AA35,"=38115817",GY28:GY35),2)</f>
        <v>0</v>
      </c>
      <c r="CL37" s="2">
        <f>ROUND(SUMIF(AA28:AA35,"=38115817",GZ28:GZ35),2)</f>
        <v>0</v>
      </c>
      <c r="CM37" s="2">
        <f>ROUND(SUMIF(AA28:AA35,"=38115817",HD28:HD35),2)</f>
        <v>0</v>
      </c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>
        <v>0</v>
      </c>
    </row>
    <row r="39" spans="1:245" x14ac:dyDescent="0.2">
      <c r="A39" s="4">
        <v>50</v>
      </c>
      <c r="B39" s="4">
        <v>0</v>
      </c>
      <c r="C39" s="4">
        <v>0</v>
      </c>
      <c r="D39" s="4">
        <v>1</v>
      </c>
      <c r="E39" s="4">
        <v>201</v>
      </c>
      <c r="F39" s="4">
        <f>ROUND(Source!O37,O39)</f>
        <v>445149.81</v>
      </c>
      <c r="G39" s="4" t="s">
        <v>55</v>
      </c>
      <c r="H39" s="4" t="s">
        <v>56</v>
      </c>
      <c r="I39" s="4"/>
      <c r="J39" s="4"/>
      <c r="K39" s="4">
        <v>201</v>
      </c>
      <c r="L39" s="4">
        <v>1</v>
      </c>
      <c r="M39" s="4">
        <v>3</v>
      </c>
      <c r="N39" s="4" t="s">
        <v>3</v>
      </c>
      <c r="O39" s="4">
        <v>2</v>
      </c>
      <c r="P39" s="4"/>
      <c r="Q39" s="4"/>
      <c r="R39" s="4"/>
      <c r="S39" s="4"/>
      <c r="T39" s="4"/>
      <c r="U39" s="4"/>
      <c r="V39" s="4"/>
      <c r="W39" s="4"/>
    </row>
    <row r="40" spans="1:245" x14ac:dyDescent="0.2">
      <c r="A40" s="4">
        <v>50</v>
      </c>
      <c r="B40" s="4">
        <v>0</v>
      </c>
      <c r="C40" s="4">
        <v>0</v>
      </c>
      <c r="D40" s="4">
        <v>1</v>
      </c>
      <c r="E40" s="4">
        <v>202</v>
      </c>
      <c r="F40" s="4">
        <f>ROUND(Source!P37,O40)</f>
        <v>361222.45</v>
      </c>
      <c r="G40" s="4" t="s">
        <v>57</v>
      </c>
      <c r="H40" s="4" t="s">
        <v>58</v>
      </c>
      <c r="I40" s="4"/>
      <c r="J40" s="4"/>
      <c r="K40" s="4">
        <v>202</v>
      </c>
      <c r="L40" s="4">
        <v>2</v>
      </c>
      <c r="M40" s="4">
        <v>3</v>
      </c>
      <c r="N40" s="4" t="s">
        <v>3</v>
      </c>
      <c r="O40" s="4">
        <v>2</v>
      </c>
      <c r="P40" s="4"/>
      <c r="Q40" s="4"/>
      <c r="R40" s="4"/>
      <c r="S40" s="4"/>
      <c r="T40" s="4"/>
      <c r="U40" s="4"/>
      <c r="V40" s="4"/>
      <c r="W40" s="4"/>
    </row>
    <row r="41" spans="1:245" x14ac:dyDescent="0.2">
      <c r="A41" s="4">
        <v>50</v>
      </c>
      <c r="B41" s="4">
        <v>0</v>
      </c>
      <c r="C41" s="4">
        <v>0</v>
      </c>
      <c r="D41" s="4">
        <v>1</v>
      </c>
      <c r="E41" s="4">
        <v>222</v>
      </c>
      <c r="F41" s="4">
        <f>ROUND(Source!AO37,O41)</f>
        <v>0</v>
      </c>
      <c r="G41" s="4" t="s">
        <v>59</v>
      </c>
      <c r="H41" s="4" t="s">
        <v>60</v>
      </c>
      <c r="I41" s="4"/>
      <c r="J41" s="4"/>
      <c r="K41" s="4">
        <v>222</v>
      </c>
      <c r="L41" s="4">
        <v>3</v>
      </c>
      <c r="M41" s="4">
        <v>3</v>
      </c>
      <c r="N41" s="4" t="s">
        <v>3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225</v>
      </c>
      <c r="F42" s="4">
        <f>ROUND(Source!AV37,O42)</f>
        <v>361222.45</v>
      </c>
      <c r="G42" s="4" t="s">
        <v>61</v>
      </c>
      <c r="H42" s="4" t="s">
        <v>62</v>
      </c>
      <c r="I42" s="4"/>
      <c r="J42" s="4"/>
      <c r="K42" s="4">
        <v>225</v>
      </c>
      <c r="L42" s="4">
        <v>4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226</v>
      </c>
      <c r="F43" s="4">
        <f>ROUND(Source!AW37,O43)</f>
        <v>361222.45</v>
      </c>
      <c r="G43" s="4" t="s">
        <v>63</v>
      </c>
      <c r="H43" s="4" t="s">
        <v>64</v>
      </c>
      <c r="I43" s="4"/>
      <c r="J43" s="4"/>
      <c r="K43" s="4">
        <v>226</v>
      </c>
      <c r="L43" s="4">
        <v>5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227</v>
      </c>
      <c r="F44" s="4">
        <f>ROUND(Source!AX37,O44)</f>
        <v>0</v>
      </c>
      <c r="G44" s="4" t="s">
        <v>65</v>
      </c>
      <c r="H44" s="4" t="s">
        <v>66</v>
      </c>
      <c r="I44" s="4"/>
      <c r="J44" s="4"/>
      <c r="K44" s="4">
        <v>227</v>
      </c>
      <c r="L44" s="4">
        <v>6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228</v>
      </c>
      <c r="F45" s="4">
        <f>ROUND(Source!AY37,O45)</f>
        <v>361222.45</v>
      </c>
      <c r="G45" s="4" t="s">
        <v>67</v>
      </c>
      <c r="H45" s="4" t="s">
        <v>68</v>
      </c>
      <c r="I45" s="4"/>
      <c r="J45" s="4"/>
      <c r="K45" s="4">
        <v>228</v>
      </c>
      <c r="L45" s="4">
        <v>7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216</v>
      </c>
      <c r="F46" s="4">
        <f>ROUND(Source!AP37,O46)</f>
        <v>0</v>
      </c>
      <c r="G46" s="4" t="s">
        <v>69</v>
      </c>
      <c r="H46" s="4" t="s">
        <v>70</v>
      </c>
      <c r="I46" s="4"/>
      <c r="J46" s="4"/>
      <c r="K46" s="4">
        <v>216</v>
      </c>
      <c r="L46" s="4">
        <v>8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223</v>
      </c>
      <c r="F47" s="4">
        <f>ROUND(Source!AQ37,O47)</f>
        <v>0</v>
      </c>
      <c r="G47" s="4" t="s">
        <v>71</v>
      </c>
      <c r="H47" s="4" t="s">
        <v>72</v>
      </c>
      <c r="I47" s="4"/>
      <c r="J47" s="4"/>
      <c r="K47" s="4">
        <v>223</v>
      </c>
      <c r="L47" s="4">
        <v>9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229</v>
      </c>
      <c r="F48" s="4">
        <f>ROUND(Source!AZ37,O48)</f>
        <v>0</v>
      </c>
      <c r="G48" s="4" t="s">
        <v>73</v>
      </c>
      <c r="H48" s="4" t="s">
        <v>74</v>
      </c>
      <c r="I48" s="4"/>
      <c r="J48" s="4"/>
      <c r="K48" s="4">
        <v>229</v>
      </c>
      <c r="L48" s="4">
        <v>10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203</v>
      </c>
      <c r="F49" s="4">
        <f>ROUND(Source!Q37,O49)</f>
        <v>29497.89</v>
      </c>
      <c r="G49" s="4" t="s">
        <v>75</v>
      </c>
      <c r="H49" s="4" t="s">
        <v>76</v>
      </c>
      <c r="I49" s="4"/>
      <c r="J49" s="4"/>
      <c r="K49" s="4">
        <v>203</v>
      </c>
      <c r="L49" s="4">
        <v>11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231</v>
      </c>
      <c r="F50" s="4">
        <f>ROUND(Source!BB37,O50)</f>
        <v>0</v>
      </c>
      <c r="G50" s="4" t="s">
        <v>77</v>
      </c>
      <c r="H50" s="4" t="s">
        <v>78</v>
      </c>
      <c r="I50" s="4"/>
      <c r="J50" s="4"/>
      <c r="K50" s="4">
        <v>231</v>
      </c>
      <c r="L50" s="4">
        <v>12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204</v>
      </c>
      <c r="F51" s="4">
        <f>ROUND(Source!R37,O51)</f>
        <v>14400.46</v>
      </c>
      <c r="G51" s="4" t="s">
        <v>79</v>
      </c>
      <c r="H51" s="4" t="s">
        <v>80</v>
      </c>
      <c r="I51" s="4"/>
      <c r="J51" s="4"/>
      <c r="K51" s="4">
        <v>204</v>
      </c>
      <c r="L51" s="4">
        <v>13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205</v>
      </c>
      <c r="F52" s="4">
        <f>ROUND(Source!S37,O52)</f>
        <v>54429.47</v>
      </c>
      <c r="G52" s="4" t="s">
        <v>81</v>
      </c>
      <c r="H52" s="4" t="s">
        <v>82</v>
      </c>
      <c r="I52" s="4"/>
      <c r="J52" s="4"/>
      <c r="K52" s="4">
        <v>205</v>
      </c>
      <c r="L52" s="4">
        <v>14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232</v>
      </c>
      <c r="F53" s="4">
        <f>ROUND(Source!BC37,O53)</f>
        <v>0</v>
      </c>
      <c r="G53" s="4" t="s">
        <v>83</v>
      </c>
      <c r="H53" s="4" t="s">
        <v>84</v>
      </c>
      <c r="I53" s="4"/>
      <c r="J53" s="4"/>
      <c r="K53" s="4">
        <v>232</v>
      </c>
      <c r="L53" s="4">
        <v>15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214</v>
      </c>
      <c r="F54" s="4">
        <f>ROUND(Source!AS37,O54)</f>
        <v>0</v>
      </c>
      <c r="G54" s="4" t="s">
        <v>85</v>
      </c>
      <c r="H54" s="4" t="s">
        <v>86</v>
      </c>
      <c r="I54" s="4"/>
      <c r="J54" s="4"/>
      <c r="K54" s="4">
        <v>214</v>
      </c>
      <c r="L54" s="4">
        <v>16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215</v>
      </c>
      <c r="F55" s="4">
        <f>ROUND(Source!AT37,O55)</f>
        <v>0</v>
      </c>
      <c r="G55" s="4" t="s">
        <v>87</v>
      </c>
      <c r="H55" s="4" t="s">
        <v>88</v>
      </c>
      <c r="I55" s="4"/>
      <c r="J55" s="4"/>
      <c r="K55" s="4">
        <v>215</v>
      </c>
      <c r="L55" s="4">
        <v>17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217</v>
      </c>
      <c r="F56" s="4">
        <f>ROUND(Source!AU37,O56)</f>
        <v>504245.88</v>
      </c>
      <c r="G56" s="4" t="s">
        <v>89</v>
      </c>
      <c r="H56" s="4" t="s">
        <v>90</v>
      </c>
      <c r="I56" s="4"/>
      <c r="J56" s="4"/>
      <c r="K56" s="4">
        <v>217</v>
      </c>
      <c r="L56" s="4">
        <v>18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230</v>
      </c>
      <c r="F57" s="4">
        <f>ROUND(Source!BA37,O57)</f>
        <v>0</v>
      </c>
      <c r="G57" s="4" t="s">
        <v>91</v>
      </c>
      <c r="H57" s="4" t="s">
        <v>92</v>
      </c>
      <c r="I57" s="4"/>
      <c r="J57" s="4"/>
      <c r="K57" s="4">
        <v>230</v>
      </c>
      <c r="L57" s="4">
        <v>19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206</v>
      </c>
      <c r="F58" s="4">
        <f>ROUND(Source!T37,O58)</f>
        <v>0</v>
      </c>
      <c r="G58" s="4" t="s">
        <v>93</v>
      </c>
      <c r="H58" s="4" t="s">
        <v>94</v>
      </c>
      <c r="I58" s="4"/>
      <c r="J58" s="4"/>
      <c r="K58" s="4">
        <v>206</v>
      </c>
      <c r="L58" s="4">
        <v>20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207</v>
      </c>
      <c r="F59" s="4">
        <f>Source!U37</f>
        <v>253.37394</v>
      </c>
      <c r="G59" s="4" t="s">
        <v>95</v>
      </c>
      <c r="H59" s="4" t="s">
        <v>96</v>
      </c>
      <c r="I59" s="4"/>
      <c r="J59" s="4"/>
      <c r="K59" s="4">
        <v>207</v>
      </c>
      <c r="L59" s="4">
        <v>21</v>
      </c>
      <c r="M59" s="4">
        <v>3</v>
      </c>
      <c r="N59" s="4" t="s">
        <v>3</v>
      </c>
      <c r="O59" s="4">
        <v>-1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208</v>
      </c>
      <c r="F60" s="4">
        <f>Source!V37</f>
        <v>0</v>
      </c>
      <c r="G60" s="4" t="s">
        <v>97</v>
      </c>
      <c r="H60" s="4" t="s">
        <v>98</v>
      </c>
      <c r="I60" s="4"/>
      <c r="J60" s="4"/>
      <c r="K60" s="4">
        <v>208</v>
      </c>
      <c r="L60" s="4">
        <v>22</v>
      </c>
      <c r="M60" s="4">
        <v>3</v>
      </c>
      <c r="N60" s="4" t="s">
        <v>3</v>
      </c>
      <c r="O60" s="4">
        <v>-1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209</v>
      </c>
      <c r="F61" s="4">
        <f>ROUND(Source!W37,O61)</f>
        <v>0</v>
      </c>
      <c r="G61" s="4" t="s">
        <v>99</v>
      </c>
      <c r="H61" s="4" t="s">
        <v>100</v>
      </c>
      <c r="I61" s="4"/>
      <c r="J61" s="4"/>
      <c r="K61" s="4">
        <v>209</v>
      </c>
      <c r="L61" s="4">
        <v>23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233</v>
      </c>
      <c r="F62" s="4">
        <f>ROUND(Source!BD37,O62)</f>
        <v>0</v>
      </c>
      <c r="G62" s="4" t="s">
        <v>101</v>
      </c>
      <c r="H62" s="4" t="s">
        <v>102</v>
      </c>
      <c r="I62" s="4"/>
      <c r="J62" s="4"/>
      <c r="K62" s="4">
        <v>233</v>
      </c>
      <c r="L62" s="4">
        <v>24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210</v>
      </c>
      <c r="F63" s="4">
        <f>ROUND(Source!X37,O63)</f>
        <v>38100.620000000003</v>
      </c>
      <c r="G63" s="4" t="s">
        <v>103</v>
      </c>
      <c r="H63" s="4" t="s">
        <v>104</v>
      </c>
      <c r="I63" s="4"/>
      <c r="J63" s="4"/>
      <c r="K63" s="4">
        <v>210</v>
      </c>
      <c r="L63" s="4">
        <v>25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211</v>
      </c>
      <c r="F64" s="4">
        <f>ROUND(Source!Y37,O64)</f>
        <v>5442.95</v>
      </c>
      <c r="G64" s="4" t="s">
        <v>105</v>
      </c>
      <c r="H64" s="4" t="s">
        <v>106</v>
      </c>
      <c r="I64" s="4"/>
      <c r="J64" s="4"/>
      <c r="K64" s="4">
        <v>211</v>
      </c>
      <c r="L64" s="4">
        <v>26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224</v>
      </c>
      <c r="F65" s="4">
        <f>ROUND(Source!AR37,O65)</f>
        <v>504245.88</v>
      </c>
      <c r="G65" s="4" t="s">
        <v>107</v>
      </c>
      <c r="H65" s="4" t="s">
        <v>108</v>
      </c>
      <c r="I65" s="4"/>
      <c r="J65" s="4"/>
      <c r="K65" s="4">
        <v>224</v>
      </c>
      <c r="L65" s="4">
        <v>27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7" spans="1:245" x14ac:dyDescent="0.2">
      <c r="A67" s="1">
        <v>4</v>
      </c>
      <c r="B67" s="1">
        <v>1</v>
      </c>
      <c r="C67" s="1"/>
      <c r="D67" s="1">
        <f>ROW(A75)</f>
        <v>75</v>
      </c>
      <c r="E67" s="1"/>
      <c r="F67" s="1" t="s">
        <v>13</v>
      </c>
      <c r="G67" s="1" t="s">
        <v>109</v>
      </c>
      <c r="H67" s="1" t="s">
        <v>3</v>
      </c>
      <c r="I67" s="1">
        <v>0</v>
      </c>
      <c r="J67" s="1"/>
      <c r="K67" s="1">
        <v>-1</v>
      </c>
      <c r="L67" s="1"/>
      <c r="M67" s="1" t="s">
        <v>3</v>
      </c>
      <c r="N67" s="1"/>
      <c r="O67" s="1"/>
      <c r="P67" s="1"/>
      <c r="Q67" s="1"/>
      <c r="R67" s="1"/>
      <c r="S67" s="1">
        <v>0</v>
      </c>
      <c r="T67" s="1"/>
      <c r="U67" s="1" t="s">
        <v>3</v>
      </c>
      <c r="V67" s="1">
        <v>0</v>
      </c>
      <c r="W67" s="1"/>
      <c r="X67" s="1"/>
      <c r="Y67" s="1"/>
      <c r="Z67" s="1"/>
      <c r="AA67" s="1"/>
      <c r="AB67" s="1" t="s">
        <v>3</v>
      </c>
      <c r="AC67" s="1" t="s">
        <v>3</v>
      </c>
      <c r="AD67" s="1" t="s">
        <v>3</v>
      </c>
      <c r="AE67" s="1" t="s">
        <v>3</v>
      </c>
      <c r="AF67" s="1" t="s">
        <v>3</v>
      </c>
      <c r="AG67" s="1" t="s">
        <v>3</v>
      </c>
      <c r="AH67" s="1"/>
      <c r="AI67" s="1"/>
      <c r="AJ67" s="1"/>
      <c r="AK67" s="1"/>
      <c r="AL67" s="1"/>
      <c r="AM67" s="1"/>
      <c r="AN67" s="1"/>
      <c r="AO67" s="1"/>
      <c r="AP67" s="1" t="s">
        <v>3</v>
      </c>
      <c r="AQ67" s="1" t="s">
        <v>3</v>
      </c>
      <c r="AR67" s="1" t="s">
        <v>3</v>
      </c>
      <c r="AS67" s="1"/>
      <c r="AT67" s="1"/>
      <c r="AU67" s="1"/>
      <c r="AV67" s="1"/>
      <c r="AW67" s="1"/>
      <c r="AX67" s="1"/>
      <c r="AY67" s="1"/>
      <c r="AZ67" s="1" t="s">
        <v>3</v>
      </c>
      <c r="BA67" s="1"/>
      <c r="BB67" s="1" t="s">
        <v>3</v>
      </c>
      <c r="BC67" s="1" t="s">
        <v>3</v>
      </c>
      <c r="BD67" s="1" t="s">
        <v>3</v>
      </c>
      <c r="BE67" s="1" t="s">
        <v>3</v>
      </c>
      <c r="BF67" s="1" t="s">
        <v>3</v>
      </c>
      <c r="BG67" s="1" t="s">
        <v>3</v>
      </c>
      <c r="BH67" s="1" t="s">
        <v>3</v>
      </c>
      <c r="BI67" s="1" t="s">
        <v>3</v>
      </c>
      <c r="BJ67" s="1" t="s">
        <v>3</v>
      </c>
      <c r="BK67" s="1" t="s">
        <v>3</v>
      </c>
      <c r="BL67" s="1" t="s">
        <v>3</v>
      </c>
      <c r="BM67" s="1" t="s">
        <v>3</v>
      </c>
      <c r="BN67" s="1" t="s">
        <v>3</v>
      </c>
      <c r="BO67" s="1" t="s">
        <v>3</v>
      </c>
      <c r="BP67" s="1" t="s">
        <v>3</v>
      </c>
      <c r="BQ67" s="1"/>
      <c r="BR67" s="1"/>
      <c r="BS67" s="1"/>
      <c r="BT67" s="1"/>
      <c r="BU67" s="1"/>
      <c r="BV67" s="1"/>
      <c r="BW67" s="1"/>
      <c r="BX67" s="1">
        <v>0</v>
      </c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>
        <v>0</v>
      </c>
    </row>
    <row r="69" spans="1:245" x14ac:dyDescent="0.2">
      <c r="A69" s="2">
        <v>52</v>
      </c>
      <c r="B69" s="2">
        <f t="shared" ref="B69:G69" si="56">B75</f>
        <v>1</v>
      </c>
      <c r="C69" s="2">
        <f t="shared" si="56"/>
        <v>4</v>
      </c>
      <c r="D69" s="2">
        <f t="shared" si="56"/>
        <v>67</v>
      </c>
      <c r="E69" s="2">
        <f t="shared" si="56"/>
        <v>0</v>
      </c>
      <c r="F69" s="2" t="str">
        <f t="shared" si="56"/>
        <v>Новый раздел</v>
      </c>
      <c r="G69" s="2" t="str">
        <f t="shared" si="56"/>
        <v>Филиал №4 по адресу г. Москва, Хвалынский бульвар, дом 10</v>
      </c>
      <c r="H69" s="2"/>
      <c r="I69" s="2"/>
      <c r="J69" s="2"/>
      <c r="K69" s="2"/>
      <c r="L69" s="2"/>
      <c r="M69" s="2"/>
      <c r="N69" s="2"/>
      <c r="O69" s="2">
        <f t="shared" ref="O69:AT69" si="57">O75</f>
        <v>216684.29</v>
      </c>
      <c r="P69" s="2">
        <f t="shared" si="57"/>
        <v>176355.14</v>
      </c>
      <c r="Q69" s="2">
        <f t="shared" si="57"/>
        <v>15880.45</v>
      </c>
      <c r="R69" s="2">
        <f t="shared" si="57"/>
        <v>7728.95</v>
      </c>
      <c r="S69" s="2">
        <f t="shared" si="57"/>
        <v>24448.7</v>
      </c>
      <c r="T69" s="2">
        <f t="shared" si="57"/>
        <v>0</v>
      </c>
      <c r="U69" s="2">
        <f t="shared" si="57"/>
        <v>112.78750000000002</v>
      </c>
      <c r="V69" s="2">
        <f t="shared" si="57"/>
        <v>0</v>
      </c>
      <c r="W69" s="2">
        <f t="shared" si="57"/>
        <v>0</v>
      </c>
      <c r="X69" s="2">
        <f t="shared" si="57"/>
        <v>17114.09</v>
      </c>
      <c r="Y69" s="2">
        <f t="shared" si="57"/>
        <v>2444.88</v>
      </c>
      <c r="Z69" s="2">
        <f t="shared" si="57"/>
        <v>0</v>
      </c>
      <c r="AA69" s="2">
        <f t="shared" si="57"/>
        <v>0</v>
      </c>
      <c r="AB69" s="2">
        <f t="shared" si="57"/>
        <v>216684.29</v>
      </c>
      <c r="AC69" s="2">
        <f t="shared" si="57"/>
        <v>176355.14</v>
      </c>
      <c r="AD69" s="2">
        <f t="shared" si="57"/>
        <v>15880.45</v>
      </c>
      <c r="AE69" s="2">
        <f t="shared" si="57"/>
        <v>7728.95</v>
      </c>
      <c r="AF69" s="2">
        <f t="shared" si="57"/>
        <v>24448.7</v>
      </c>
      <c r="AG69" s="2">
        <f t="shared" si="57"/>
        <v>0</v>
      </c>
      <c r="AH69" s="2">
        <f t="shared" si="57"/>
        <v>112.78750000000002</v>
      </c>
      <c r="AI69" s="2">
        <f t="shared" si="57"/>
        <v>0</v>
      </c>
      <c r="AJ69" s="2">
        <f t="shared" si="57"/>
        <v>0</v>
      </c>
      <c r="AK69" s="2">
        <f t="shared" si="57"/>
        <v>17114.09</v>
      </c>
      <c r="AL69" s="2">
        <f t="shared" si="57"/>
        <v>2444.88</v>
      </c>
      <c r="AM69" s="2">
        <f t="shared" si="57"/>
        <v>0</v>
      </c>
      <c r="AN69" s="2">
        <f t="shared" si="57"/>
        <v>0</v>
      </c>
      <c r="AO69" s="2">
        <f t="shared" si="57"/>
        <v>0</v>
      </c>
      <c r="AP69" s="2">
        <f t="shared" si="57"/>
        <v>0</v>
      </c>
      <c r="AQ69" s="2">
        <f t="shared" si="57"/>
        <v>0</v>
      </c>
      <c r="AR69" s="2">
        <f t="shared" si="57"/>
        <v>244590.52</v>
      </c>
      <c r="AS69" s="2">
        <f t="shared" si="57"/>
        <v>0</v>
      </c>
      <c r="AT69" s="2">
        <f t="shared" si="57"/>
        <v>0</v>
      </c>
      <c r="AU69" s="2">
        <f t="shared" ref="AU69:BZ69" si="58">AU75</f>
        <v>244590.52</v>
      </c>
      <c r="AV69" s="2">
        <f t="shared" si="58"/>
        <v>176355.14</v>
      </c>
      <c r="AW69" s="2">
        <f t="shared" si="58"/>
        <v>176355.14</v>
      </c>
      <c r="AX69" s="2">
        <f t="shared" si="58"/>
        <v>0</v>
      </c>
      <c r="AY69" s="2">
        <f t="shared" si="58"/>
        <v>176355.14</v>
      </c>
      <c r="AZ69" s="2">
        <f t="shared" si="58"/>
        <v>0</v>
      </c>
      <c r="BA69" s="2">
        <f t="shared" si="58"/>
        <v>0</v>
      </c>
      <c r="BB69" s="2">
        <f t="shared" si="58"/>
        <v>0</v>
      </c>
      <c r="BC69" s="2">
        <f t="shared" si="58"/>
        <v>0</v>
      </c>
      <c r="BD69" s="2">
        <f t="shared" si="58"/>
        <v>0</v>
      </c>
      <c r="BE69" s="2">
        <f t="shared" si="58"/>
        <v>0</v>
      </c>
      <c r="BF69" s="2">
        <f t="shared" si="58"/>
        <v>0</v>
      </c>
      <c r="BG69" s="2">
        <f t="shared" si="58"/>
        <v>0</v>
      </c>
      <c r="BH69" s="2">
        <f t="shared" si="58"/>
        <v>0</v>
      </c>
      <c r="BI69" s="2">
        <f t="shared" si="58"/>
        <v>0</v>
      </c>
      <c r="BJ69" s="2">
        <f t="shared" si="58"/>
        <v>0</v>
      </c>
      <c r="BK69" s="2">
        <f t="shared" si="58"/>
        <v>0</v>
      </c>
      <c r="BL69" s="2">
        <f t="shared" si="58"/>
        <v>0</v>
      </c>
      <c r="BM69" s="2">
        <f t="shared" si="58"/>
        <v>0</v>
      </c>
      <c r="BN69" s="2">
        <f t="shared" si="58"/>
        <v>0</v>
      </c>
      <c r="BO69" s="2">
        <f t="shared" si="58"/>
        <v>0</v>
      </c>
      <c r="BP69" s="2">
        <f t="shared" si="58"/>
        <v>0</v>
      </c>
      <c r="BQ69" s="2">
        <f t="shared" si="58"/>
        <v>0</v>
      </c>
      <c r="BR69" s="2">
        <f t="shared" si="58"/>
        <v>0</v>
      </c>
      <c r="BS69" s="2">
        <f t="shared" si="58"/>
        <v>0</v>
      </c>
      <c r="BT69" s="2">
        <f t="shared" si="58"/>
        <v>0</v>
      </c>
      <c r="BU69" s="2">
        <f t="shared" si="58"/>
        <v>0</v>
      </c>
      <c r="BV69" s="2">
        <f t="shared" si="58"/>
        <v>0</v>
      </c>
      <c r="BW69" s="2">
        <f t="shared" si="58"/>
        <v>0</v>
      </c>
      <c r="BX69" s="2">
        <f t="shared" si="58"/>
        <v>0</v>
      </c>
      <c r="BY69" s="2">
        <f t="shared" si="58"/>
        <v>0</v>
      </c>
      <c r="BZ69" s="2">
        <f t="shared" si="58"/>
        <v>0</v>
      </c>
      <c r="CA69" s="2">
        <f t="shared" ref="CA69:DF69" si="59">CA75</f>
        <v>244590.52</v>
      </c>
      <c r="CB69" s="2">
        <f t="shared" si="59"/>
        <v>0</v>
      </c>
      <c r="CC69" s="2">
        <f t="shared" si="59"/>
        <v>0</v>
      </c>
      <c r="CD69" s="2">
        <f t="shared" si="59"/>
        <v>244590.52</v>
      </c>
      <c r="CE69" s="2">
        <f t="shared" si="59"/>
        <v>176355.14</v>
      </c>
      <c r="CF69" s="2">
        <f t="shared" si="59"/>
        <v>176355.14</v>
      </c>
      <c r="CG69" s="2">
        <f t="shared" si="59"/>
        <v>0</v>
      </c>
      <c r="CH69" s="2">
        <f t="shared" si="59"/>
        <v>176355.14</v>
      </c>
      <c r="CI69" s="2">
        <f t="shared" si="59"/>
        <v>0</v>
      </c>
      <c r="CJ69" s="2">
        <f t="shared" si="59"/>
        <v>0</v>
      </c>
      <c r="CK69" s="2">
        <f t="shared" si="59"/>
        <v>0</v>
      </c>
      <c r="CL69" s="2">
        <f t="shared" si="59"/>
        <v>0</v>
      </c>
      <c r="CM69" s="2">
        <f t="shared" si="59"/>
        <v>0</v>
      </c>
      <c r="CN69" s="2">
        <f t="shared" si="59"/>
        <v>0</v>
      </c>
      <c r="CO69" s="2">
        <f t="shared" si="59"/>
        <v>0</v>
      </c>
      <c r="CP69" s="2">
        <f t="shared" si="59"/>
        <v>0</v>
      </c>
      <c r="CQ69" s="2">
        <f t="shared" si="59"/>
        <v>0</v>
      </c>
      <c r="CR69" s="2">
        <f t="shared" si="59"/>
        <v>0</v>
      </c>
      <c r="CS69" s="2">
        <f t="shared" si="59"/>
        <v>0</v>
      </c>
      <c r="CT69" s="2">
        <f t="shared" si="59"/>
        <v>0</v>
      </c>
      <c r="CU69" s="2">
        <f t="shared" si="59"/>
        <v>0</v>
      </c>
      <c r="CV69" s="2">
        <f t="shared" si="59"/>
        <v>0</v>
      </c>
      <c r="CW69" s="2">
        <f t="shared" si="59"/>
        <v>0</v>
      </c>
      <c r="CX69" s="2">
        <f t="shared" si="59"/>
        <v>0</v>
      </c>
      <c r="CY69" s="2">
        <f t="shared" si="59"/>
        <v>0</v>
      </c>
      <c r="CZ69" s="2">
        <f t="shared" si="59"/>
        <v>0</v>
      </c>
      <c r="DA69" s="2">
        <f t="shared" si="59"/>
        <v>0</v>
      </c>
      <c r="DB69" s="2">
        <f t="shared" si="59"/>
        <v>0</v>
      </c>
      <c r="DC69" s="2">
        <f t="shared" si="59"/>
        <v>0</v>
      </c>
      <c r="DD69" s="2">
        <f t="shared" si="59"/>
        <v>0</v>
      </c>
      <c r="DE69" s="2">
        <f t="shared" si="59"/>
        <v>0</v>
      </c>
      <c r="DF69" s="2">
        <f t="shared" si="59"/>
        <v>0</v>
      </c>
      <c r="DG69" s="3">
        <f t="shared" ref="DG69:EL69" si="60">DG75</f>
        <v>0</v>
      </c>
      <c r="DH69" s="3">
        <f t="shared" si="60"/>
        <v>0</v>
      </c>
      <c r="DI69" s="3">
        <f t="shared" si="60"/>
        <v>0</v>
      </c>
      <c r="DJ69" s="3">
        <f t="shared" si="60"/>
        <v>0</v>
      </c>
      <c r="DK69" s="3">
        <f t="shared" si="60"/>
        <v>0</v>
      </c>
      <c r="DL69" s="3">
        <f t="shared" si="60"/>
        <v>0</v>
      </c>
      <c r="DM69" s="3">
        <f t="shared" si="60"/>
        <v>0</v>
      </c>
      <c r="DN69" s="3">
        <f t="shared" si="60"/>
        <v>0</v>
      </c>
      <c r="DO69" s="3">
        <f t="shared" si="60"/>
        <v>0</v>
      </c>
      <c r="DP69" s="3">
        <f t="shared" si="60"/>
        <v>0</v>
      </c>
      <c r="DQ69" s="3">
        <f t="shared" si="60"/>
        <v>0</v>
      </c>
      <c r="DR69" s="3">
        <f t="shared" si="60"/>
        <v>0</v>
      </c>
      <c r="DS69" s="3">
        <f t="shared" si="60"/>
        <v>0</v>
      </c>
      <c r="DT69" s="3">
        <f t="shared" si="60"/>
        <v>0</v>
      </c>
      <c r="DU69" s="3">
        <f t="shared" si="60"/>
        <v>0</v>
      </c>
      <c r="DV69" s="3">
        <f t="shared" si="60"/>
        <v>0</v>
      </c>
      <c r="DW69" s="3">
        <f t="shared" si="60"/>
        <v>0</v>
      </c>
      <c r="DX69" s="3">
        <f t="shared" si="60"/>
        <v>0</v>
      </c>
      <c r="DY69" s="3">
        <f t="shared" si="60"/>
        <v>0</v>
      </c>
      <c r="DZ69" s="3">
        <f t="shared" si="60"/>
        <v>0</v>
      </c>
      <c r="EA69" s="3">
        <f t="shared" si="60"/>
        <v>0</v>
      </c>
      <c r="EB69" s="3">
        <f t="shared" si="60"/>
        <v>0</v>
      </c>
      <c r="EC69" s="3">
        <f t="shared" si="60"/>
        <v>0</v>
      </c>
      <c r="ED69" s="3">
        <f t="shared" si="60"/>
        <v>0</v>
      </c>
      <c r="EE69" s="3">
        <f t="shared" si="60"/>
        <v>0</v>
      </c>
      <c r="EF69" s="3">
        <f t="shared" si="60"/>
        <v>0</v>
      </c>
      <c r="EG69" s="3">
        <f t="shared" si="60"/>
        <v>0</v>
      </c>
      <c r="EH69" s="3">
        <f t="shared" si="60"/>
        <v>0</v>
      </c>
      <c r="EI69" s="3">
        <f t="shared" si="60"/>
        <v>0</v>
      </c>
      <c r="EJ69" s="3">
        <f t="shared" si="60"/>
        <v>0</v>
      </c>
      <c r="EK69" s="3">
        <f t="shared" si="60"/>
        <v>0</v>
      </c>
      <c r="EL69" s="3">
        <f t="shared" si="60"/>
        <v>0</v>
      </c>
      <c r="EM69" s="3">
        <f t="shared" ref="EM69:FR69" si="61">EM75</f>
        <v>0</v>
      </c>
      <c r="EN69" s="3">
        <f t="shared" si="61"/>
        <v>0</v>
      </c>
      <c r="EO69" s="3">
        <f t="shared" si="61"/>
        <v>0</v>
      </c>
      <c r="EP69" s="3">
        <f t="shared" si="61"/>
        <v>0</v>
      </c>
      <c r="EQ69" s="3">
        <f t="shared" si="61"/>
        <v>0</v>
      </c>
      <c r="ER69" s="3">
        <f t="shared" si="61"/>
        <v>0</v>
      </c>
      <c r="ES69" s="3">
        <f t="shared" si="61"/>
        <v>0</v>
      </c>
      <c r="ET69" s="3">
        <f t="shared" si="61"/>
        <v>0</v>
      </c>
      <c r="EU69" s="3">
        <f t="shared" si="61"/>
        <v>0</v>
      </c>
      <c r="EV69" s="3">
        <f t="shared" si="61"/>
        <v>0</v>
      </c>
      <c r="EW69" s="3">
        <f t="shared" si="61"/>
        <v>0</v>
      </c>
      <c r="EX69" s="3">
        <f t="shared" si="61"/>
        <v>0</v>
      </c>
      <c r="EY69" s="3">
        <f t="shared" si="61"/>
        <v>0</v>
      </c>
      <c r="EZ69" s="3">
        <f t="shared" si="61"/>
        <v>0</v>
      </c>
      <c r="FA69" s="3">
        <f t="shared" si="61"/>
        <v>0</v>
      </c>
      <c r="FB69" s="3">
        <f t="shared" si="61"/>
        <v>0</v>
      </c>
      <c r="FC69" s="3">
        <f t="shared" si="61"/>
        <v>0</v>
      </c>
      <c r="FD69" s="3">
        <f t="shared" si="61"/>
        <v>0</v>
      </c>
      <c r="FE69" s="3">
        <f t="shared" si="61"/>
        <v>0</v>
      </c>
      <c r="FF69" s="3">
        <f t="shared" si="61"/>
        <v>0</v>
      </c>
      <c r="FG69" s="3">
        <f t="shared" si="61"/>
        <v>0</v>
      </c>
      <c r="FH69" s="3">
        <f t="shared" si="61"/>
        <v>0</v>
      </c>
      <c r="FI69" s="3">
        <f t="shared" si="61"/>
        <v>0</v>
      </c>
      <c r="FJ69" s="3">
        <f t="shared" si="61"/>
        <v>0</v>
      </c>
      <c r="FK69" s="3">
        <f t="shared" si="61"/>
        <v>0</v>
      </c>
      <c r="FL69" s="3">
        <f t="shared" si="61"/>
        <v>0</v>
      </c>
      <c r="FM69" s="3">
        <f t="shared" si="61"/>
        <v>0</v>
      </c>
      <c r="FN69" s="3">
        <f t="shared" si="61"/>
        <v>0</v>
      </c>
      <c r="FO69" s="3">
        <f t="shared" si="61"/>
        <v>0</v>
      </c>
      <c r="FP69" s="3">
        <f t="shared" si="61"/>
        <v>0</v>
      </c>
      <c r="FQ69" s="3">
        <f t="shared" si="61"/>
        <v>0</v>
      </c>
      <c r="FR69" s="3">
        <f t="shared" si="61"/>
        <v>0</v>
      </c>
      <c r="FS69" s="3">
        <f t="shared" ref="FS69:GX69" si="62">FS75</f>
        <v>0</v>
      </c>
      <c r="FT69" s="3">
        <f t="shared" si="62"/>
        <v>0</v>
      </c>
      <c r="FU69" s="3">
        <f t="shared" si="62"/>
        <v>0</v>
      </c>
      <c r="FV69" s="3">
        <f t="shared" si="62"/>
        <v>0</v>
      </c>
      <c r="FW69" s="3">
        <f t="shared" si="62"/>
        <v>0</v>
      </c>
      <c r="FX69" s="3">
        <f t="shared" si="62"/>
        <v>0</v>
      </c>
      <c r="FY69" s="3">
        <f t="shared" si="62"/>
        <v>0</v>
      </c>
      <c r="FZ69" s="3">
        <f t="shared" si="62"/>
        <v>0</v>
      </c>
      <c r="GA69" s="3">
        <f t="shared" si="62"/>
        <v>0</v>
      </c>
      <c r="GB69" s="3">
        <f t="shared" si="62"/>
        <v>0</v>
      </c>
      <c r="GC69" s="3">
        <f t="shared" si="62"/>
        <v>0</v>
      </c>
      <c r="GD69" s="3">
        <f t="shared" si="62"/>
        <v>0</v>
      </c>
      <c r="GE69" s="3">
        <f t="shared" si="62"/>
        <v>0</v>
      </c>
      <c r="GF69" s="3">
        <f t="shared" si="62"/>
        <v>0</v>
      </c>
      <c r="GG69" s="3">
        <f t="shared" si="62"/>
        <v>0</v>
      </c>
      <c r="GH69" s="3">
        <f t="shared" si="62"/>
        <v>0</v>
      </c>
      <c r="GI69" s="3">
        <f t="shared" si="62"/>
        <v>0</v>
      </c>
      <c r="GJ69" s="3">
        <f t="shared" si="62"/>
        <v>0</v>
      </c>
      <c r="GK69" s="3">
        <f t="shared" si="62"/>
        <v>0</v>
      </c>
      <c r="GL69" s="3">
        <f t="shared" si="62"/>
        <v>0</v>
      </c>
      <c r="GM69" s="3">
        <f t="shared" si="62"/>
        <v>0</v>
      </c>
      <c r="GN69" s="3">
        <f t="shared" si="62"/>
        <v>0</v>
      </c>
      <c r="GO69" s="3">
        <f t="shared" si="62"/>
        <v>0</v>
      </c>
      <c r="GP69" s="3">
        <f t="shared" si="62"/>
        <v>0</v>
      </c>
      <c r="GQ69" s="3">
        <f t="shared" si="62"/>
        <v>0</v>
      </c>
      <c r="GR69" s="3">
        <f t="shared" si="62"/>
        <v>0</v>
      </c>
      <c r="GS69" s="3">
        <f t="shared" si="62"/>
        <v>0</v>
      </c>
      <c r="GT69" s="3">
        <f t="shared" si="62"/>
        <v>0</v>
      </c>
      <c r="GU69" s="3">
        <f t="shared" si="62"/>
        <v>0</v>
      </c>
      <c r="GV69" s="3">
        <f t="shared" si="62"/>
        <v>0</v>
      </c>
      <c r="GW69" s="3">
        <f t="shared" si="62"/>
        <v>0</v>
      </c>
      <c r="GX69" s="3">
        <f t="shared" si="62"/>
        <v>0</v>
      </c>
    </row>
    <row r="71" spans="1:245" x14ac:dyDescent="0.2">
      <c r="A71">
        <v>17</v>
      </c>
      <c r="B71">
        <v>1</v>
      </c>
      <c r="C71">
        <f>ROW(SmtRes!A43)</f>
        <v>43</v>
      </c>
      <c r="D71">
        <f>ROW(EtalonRes!A43)</f>
        <v>43</v>
      </c>
      <c r="E71" t="s">
        <v>110</v>
      </c>
      <c r="F71" t="s">
        <v>43</v>
      </c>
      <c r="G71" t="s">
        <v>44</v>
      </c>
      <c r="H71" t="s">
        <v>45</v>
      </c>
      <c r="I71">
        <f>ROUND(26.25/100,9)</f>
        <v>0.26250000000000001</v>
      </c>
      <c r="J71">
        <v>0</v>
      </c>
      <c r="O71">
        <f>ROUND(CP71,2)</f>
        <v>15982.79</v>
      </c>
      <c r="P71">
        <f>ROUND(CQ71*I71,2)</f>
        <v>0</v>
      </c>
      <c r="Q71">
        <f>ROUND(CR71*I71,2)</f>
        <v>8019.03</v>
      </c>
      <c r="R71">
        <f>ROUND(CS71*I71,2)</f>
        <v>4426.91</v>
      </c>
      <c r="S71">
        <f>ROUND(CT71*I71,2)</f>
        <v>7963.76</v>
      </c>
      <c r="T71">
        <f>ROUND(CU71*I71,2)</f>
        <v>0</v>
      </c>
      <c r="U71">
        <f>CV71*I71</f>
        <v>40.6875</v>
      </c>
      <c r="V71">
        <f>CW71*I71</f>
        <v>0</v>
      </c>
      <c r="W71">
        <f>ROUND(CX71*I71,2)</f>
        <v>0</v>
      </c>
      <c r="X71">
        <f t="shared" ref="X71:Y73" si="63">ROUND(CY71,2)</f>
        <v>5574.63</v>
      </c>
      <c r="Y71">
        <f t="shared" si="63"/>
        <v>796.38</v>
      </c>
      <c r="AA71">
        <v>38115817</v>
      </c>
      <c r="AB71">
        <f>ROUND((AC71+AD71+AF71),6)</f>
        <v>60886.85</v>
      </c>
      <c r="AC71">
        <f>ROUND((ES71),6)</f>
        <v>0</v>
      </c>
      <c r="AD71">
        <f>ROUND((((ET71)-(EU71))+AE71),6)</f>
        <v>30548.7</v>
      </c>
      <c r="AE71">
        <f t="shared" ref="AE71:AF73" si="64">ROUND((EU71),6)</f>
        <v>16864.419999999998</v>
      </c>
      <c r="AF71">
        <f t="shared" si="64"/>
        <v>30338.15</v>
      </c>
      <c r="AG71">
        <f>ROUND((AP71),6)</f>
        <v>0</v>
      </c>
      <c r="AH71">
        <f t="shared" ref="AH71:AI73" si="65">(EW71)</f>
        <v>155</v>
      </c>
      <c r="AI71">
        <f t="shared" si="65"/>
        <v>0</v>
      </c>
      <c r="AJ71">
        <f>(AS71)</f>
        <v>0</v>
      </c>
      <c r="AK71">
        <v>60886.85</v>
      </c>
      <c r="AL71">
        <v>0</v>
      </c>
      <c r="AM71">
        <v>30548.7</v>
      </c>
      <c r="AN71">
        <v>16864.419999999998</v>
      </c>
      <c r="AO71">
        <v>30338.15</v>
      </c>
      <c r="AP71">
        <v>0</v>
      </c>
      <c r="AQ71">
        <v>155</v>
      </c>
      <c r="AR71">
        <v>0</v>
      </c>
      <c r="AS71">
        <v>0</v>
      </c>
      <c r="AT71">
        <v>70</v>
      </c>
      <c r="AU71">
        <v>10</v>
      </c>
      <c r="AV71">
        <v>1</v>
      </c>
      <c r="AW71">
        <v>1</v>
      </c>
      <c r="AZ71">
        <v>1</v>
      </c>
      <c r="BA71">
        <v>1</v>
      </c>
      <c r="BB71">
        <v>1</v>
      </c>
      <c r="BC71">
        <v>1</v>
      </c>
      <c r="BD71" t="s">
        <v>3</v>
      </c>
      <c r="BE71" t="s">
        <v>3</v>
      </c>
      <c r="BF71" t="s">
        <v>3</v>
      </c>
      <c r="BG71" t="s">
        <v>3</v>
      </c>
      <c r="BH71">
        <v>0</v>
      </c>
      <c r="BI71">
        <v>4</v>
      </c>
      <c r="BJ71" t="s">
        <v>46</v>
      </c>
      <c r="BM71">
        <v>0</v>
      </c>
      <c r="BN71">
        <v>0</v>
      </c>
      <c r="BO71" t="s">
        <v>3</v>
      </c>
      <c r="BP71">
        <v>0</v>
      </c>
      <c r="BQ71">
        <v>1</v>
      </c>
      <c r="BR71">
        <v>0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 t="s">
        <v>3</v>
      </c>
      <c r="BZ71">
        <v>70</v>
      </c>
      <c r="CA71">
        <v>10</v>
      </c>
      <c r="CE71">
        <v>0</v>
      </c>
      <c r="CF71">
        <v>0</v>
      </c>
      <c r="CG71">
        <v>0</v>
      </c>
      <c r="CM71">
        <v>0</v>
      </c>
      <c r="CN71" t="s">
        <v>3</v>
      </c>
      <c r="CO71">
        <v>0</v>
      </c>
      <c r="CP71">
        <f>(P71+Q71+S71)</f>
        <v>15982.79</v>
      </c>
      <c r="CQ71">
        <f>(AC71*BC71*AW71)</f>
        <v>0</v>
      </c>
      <c r="CR71">
        <f>((((ET71)*BB71-(EU71)*BS71)+AE71*BS71)*AV71)</f>
        <v>30548.7</v>
      </c>
      <c r="CS71">
        <f>(AE71*BS71*AV71)</f>
        <v>16864.419999999998</v>
      </c>
      <c r="CT71">
        <f>(AF71*BA71*AV71)</f>
        <v>30338.15</v>
      </c>
      <c r="CU71">
        <f>AG71</f>
        <v>0</v>
      </c>
      <c r="CV71">
        <f>(AH71*AV71)</f>
        <v>155</v>
      </c>
      <c r="CW71">
        <f t="shared" ref="CW71:CX73" si="66">AI71</f>
        <v>0</v>
      </c>
      <c r="CX71">
        <f t="shared" si="66"/>
        <v>0</v>
      </c>
      <c r="CY71">
        <f>((S71*BZ71)/100)</f>
        <v>5574.6320000000005</v>
      </c>
      <c r="CZ71">
        <f>((S71*CA71)/100)</f>
        <v>796.37600000000009</v>
      </c>
      <c r="DC71" t="s">
        <v>3</v>
      </c>
      <c r="DD71" t="s">
        <v>3</v>
      </c>
      <c r="DE71" t="s">
        <v>3</v>
      </c>
      <c r="DF71" t="s">
        <v>3</v>
      </c>
      <c r="DG71" t="s">
        <v>3</v>
      </c>
      <c r="DH71" t="s">
        <v>3</v>
      </c>
      <c r="DI71" t="s">
        <v>3</v>
      </c>
      <c r="DJ71" t="s">
        <v>3</v>
      </c>
      <c r="DK71" t="s">
        <v>3</v>
      </c>
      <c r="DL71" t="s">
        <v>3</v>
      </c>
      <c r="DM71" t="s">
        <v>3</v>
      </c>
      <c r="DN71">
        <v>0</v>
      </c>
      <c r="DO71">
        <v>0</v>
      </c>
      <c r="DP71">
        <v>1</v>
      </c>
      <c r="DQ71">
        <v>1</v>
      </c>
      <c r="DU71">
        <v>1007</v>
      </c>
      <c r="DV71" t="s">
        <v>45</v>
      </c>
      <c r="DW71" t="s">
        <v>45</v>
      </c>
      <c r="DX71">
        <v>100</v>
      </c>
      <c r="DZ71" t="s">
        <v>3</v>
      </c>
      <c r="EA71" t="s">
        <v>3</v>
      </c>
      <c r="EB71" t="s">
        <v>3</v>
      </c>
      <c r="EC71" t="s">
        <v>3</v>
      </c>
      <c r="EE71">
        <v>37377619</v>
      </c>
      <c r="EF71">
        <v>1</v>
      </c>
      <c r="EG71" t="s">
        <v>20</v>
      </c>
      <c r="EH71">
        <v>0</v>
      </c>
      <c r="EI71" t="s">
        <v>3</v>
      </c>
      <c r="EJ71">
        <v>4</v>
      </c>
      <c r="EK71">
        <v>0</v>
      </c>
      <c r="EL71" t="s">
        <v>21</v>
      </c>
      <c r="EM71" t="s">
        <v>22</v>
      </c>
      <c r="EO71" t="s">
        <v>3</v>
      </c>
      <c r="EQ71">
        <v>0</v>
      </c>
      <c r="ER71">
        <v>60886.85</v>
      </c>
      <c r="ES71">
        <v>0</v>
      </c>
      <c r="ET71">
        <v>30548.7</v>
      </c>
      <c r="EU71">
        <v>16864.419999999998</v>
      </c>
      <c r="EV71">
        <v>30338.15</v>
      </c>
      <c r="EW71">
        <v>155</v>
      </c>
      <c r="EX71">
        <v>0</v>
      </c>
      <c r="EY71">
        <v>0</v>
      </c>
      <c r="FQ71">
        <v>0</v>
      </c>
      <c r="FR71">
        <f>ROUND(IF(AND(BH71=3,BI71=3),P71,0),2)</f>
        <v>0</v>
      </c>
      <c r="FS71">
        <v>0</v>
      </c>
      <c r="FX71">
        <v>70</v>
      </c>
      <c r="FY71">
        <v>10</v>
      </c>
      <c r="GA71" t="s">
        <v>3</v>
      </c>
      <c r="GD71">
        <v>0</v>
      </c>
      <c r="GF71">
        <v>-985569131</v>
      </c>
      <c r="GG71">
        <v>2</v>
      </c>
      <c r="GH71">
        <v>1</v>
      </c>
      <c r="GI71">
        <v>-2</v>
      </c>
      <c r="GJ71">
        <v>0</v>
      </c>
      <c r="GK71">
        <f>ROUND(R71*(R12)/100,2)</f>
        <v>4781.0600000000004</v>
      </c>
      <c r="GL71">
        <f>ROUND(IF(AND(BH71=3,BI71=3,FS71&lt;&gt;0),P71,0),2)</f>
        <v>0</v>
      </c>
      <c r="GM71">
        <f>ROUND(O71+X71+Y71+GK71,2)+GX71</f>
        <v>27134.86</v>
      </c>
      <c r="GN71">
        <f>IF(OR(BI71=0,BI71=1),ROUND(O71+X71+Y71+GK71,2),0)</f>
        <v>0</v>
      </c>
      <c r="GO71">
        <f>IF(BI71=2,ROUND(O71+X71+Y71+GK71,2),0)</f>
        <v>0</v>
      </c>
      <c r="GP71">
        <f>IF(BI71=4,ROUND(O71+X71+Y71+GK71,2)+GX71,0)</f>
        <v>27134.86</v>
      </c>
      <c r="GR71">
        <v>0</v>
      </c>
      <c r="GS71">
        <v>3</v>
      </c>
      <c r="GT71">
        <v>0</v>
      </c>
      <c r="GU71" t="s">
        <v>3</v>
      </c>
      <c r="GV71">
        <f>ROUND((GT71),6)</f>
        <v>0</v>
      </c>
      <c r="GW71">
        <v>1</v>
      </c>
      <c r="GX71">
        <f>ROUND(HC71*I71,2)</f>
        <v>0</v>
      </c>
      <c r="HA71">
        <v>0</v>
      </c>
      <c r="HB71">
        <v>0</v>
      </c>
      <c r="HC71">
        <f>GV71*GW71</f>
        <v>0</v>
      </c>
      <c r="HE71" t="s">
        <v>3</v>
      </c>
      <c r="HF71" t="s">
        <v>3</v>
      </c>
      <c r="IK71">
        <v>0</v>
      </c>
    </row>
    <row r="72" spans="1:245" x14ac:dyDescent="0.2">
      <c r="A72">
        <v>17</v>
      </c>
      <c r="B72">
        <v>1</v>
      </c>
      <c r="C72">
        <f>ROW(SmtRes!A47)</f>
        <v>47</v>
      </c>
      <c r="D72">
        <f>ROW(EtalonRes!A47)</f>
        <v>47</v>
      </c>
      <c r="E72" t="s">
        <v>111</v>
      </c>
      <c r="F72" t="s">
        <v>48</v>
      </c>
      <c r="G72" t="s">
        <v>49</v>
      </c>
      <c r="H72" t="s">
        <v>26</v>
      </c>
      <c r="I72">
        <f>ROUND(350/100,9)</f>
        <v>3.5</v>
      </c>
      <c r="J72">
        <v>0</v>
      </c>
      <c r="O72">
        <f>ROUND(CP72,2)</f>
        <v>83884.160000000003</v>
      </c>
      <c r="P72">
        <f>ROUND(CQ72*I72,2)</f>
        <v>71710.98</v>
      </c>
      <c r="Q72">
        <f>ROUND(CR72*I72,2)</f>
        <v>3930.71</v>
      </c>
      <c r="R72">
        <f>ROUND(CS72*I72,2)</f>
        <v>1651.02</v>
      </c>
      <c r="S72">
        <f>ROUND(CT72*I72,2)</f>
        <v>8242.4699999999993</v>
      </c>
      <c r="T72">
        <f>ROUND(CU72*I72,2)</f>
        <v>0</v>
      </c>
      <c r="U72">
        <f>CV72*I72</f>
        <v>36.050000000000004</v>
      </c>
      <c r="V72">
        <f>CW72*I72</f>
        <v>0</v>
      </c>
      <c r="W72">
        <f>ROUND(CX72*I72,2)</f>
        <v>0</v>
      </c>
      <c r="X72">
        <f t="shared" si="63"/>
        <v>5769.73</v>
      </c>
      <c r="Y72">
        <f t="shared" si="63"/>
        <v>824.25</v>
      </c>
      <c r="AA72">
        <v>38115817</v>
      </c>
      <c r="AB72">
        <f>ROUND((AC72+AD72+AF72),6)</f>
        <v>23966.9</v>
      </c>
      <c r="AC72">
        <f>ROUND((ES72),6)</f>
        <v>20488.849999999999</v>
      </c>
      <c r="AD72">
        <f>ROUND((((ET72)-(EU72))+AE72),6)</f>
        <v>1123.06</v>
      </c>
      <c r="AE72">
        <f t="shared" si="64"/>
        <v>471.72</v>
      </c>
      <c r="AF72">
        <f t="shared" si="64"/>
        <v>2354.9899999999998</v>
      </c>
      <c r="AG72">
        <f>ROUND((AP72),6)</f>
        <v>0</v>
      </c>
      <c r="AH72">
        <f t="shared" si="65"/>
        <v>10.3</v>
      </c>
      <c r="AI72">
        <f t="shared" si="65"/>
        <v>0</v>
      </c>
      <c r="AJ72">
        <f>(AS72)</f>
        <v>0</v>
      </c>
      <c r="AK72">
        <v>23966.9</v>
      </c>
      <c r="AL72">
        <v>20488.849999999999</v>
      </c>
      <c r="AM72">
        <v>1123.06</v>
      </c>
      <c r="AN72">
        <v>471.72</v>
      </c>
      <c r="AO72">
        <v>2354.9899999999998</v>
      </c>
      <c r="AP72">
        <v>0</v>
      </c>
      <c r="AQ72">
        <v>10.3</v>
      </c>
      <c r="AR72">
        <v>0</v>
      </c>
      <c r="AS72">
        <v>0</v>
      </c>
      <c r="AT72">
        <v>70</v>
      </c>
      <c r="AU72">
        <v>10</v>
      </c>
      <c r="AV72">
        <v>1</v>
      </c>
      <c r="AW72">
        <v>1</v>
      </c>
      <c r="AZ72">
        <v>1</v>
      </c>
      <c r="BA72">
        <v>1</v>
      </c>
      <c r="BB72">
        <v>1</v>
      </c>
      <c r="BC72">
        <v>1</v>
      </c>
      <c r="BD72" t="s">
        <v>3</v>
      </c>
      <c r="BE72" t="s">
        <v>3</v>
      </c>
      <c r="BF72" t="s">
        <v>3</v>
      </c>
      <c r="BG72" t="s">
        <v>3</v>
      </c>
      <c r="BH72">
        <v>0</v>
      </c>
      <c r="BI72">
        <v>4</v>
      </c>
      <c r="BJ72" t="s">
        <v>50</v>
      </c>
      <c r="BM72">
        <v>0</v>
      </c>
      <c r="BN72">
        <v>0</v>
      </c>
      <c r="BO72" t="s">
        <v>3</v>
      </c>
      <c r="BP72">
        <v>0</v>
      </c>
      <c r="BQ72">
        <v>1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 t="s">
        <v>3</v>
      </c>
      <c r="BZ72">
        <v>70</v>
      </c>
      <c r="CA72">
        <v>10</v>
      </c>
      <c r="CE72">
        <v>0</v>
      </c>
      <c r="CF72">
        <v>0</v>
      </c>
      <c r="CG72">
        <v>0</v>
      </c>
      <c r="CM72">
        <v>0</v>
      </c>
      <c r="CN72" t="s">
        <v>3</v>
      </c>
      <c r="CO72">
        <v>0</v>
      </c>
      <c r="CP72">
        <f>(P72+Q72+S72)</f>
        <v>83884.160000000003</v>
      </c>
      <c r="CQ72">
        <f>(AC72*BC72*AW72)</f>
        <v>20488.849999999999</v>
      </c>
      <c r="CR72">
        <f>((((ET72)*BB72-(EU72)*BS72)+AE72*BS72)*AV72)</f>
        <v>1123.06</v>
      </c>
      <c r="CS72">
        <f>(AE72*BS72*AV72)</f>
        <v>471.72</v>
      </c>
      <c r="CT72">
        <f>(AF72*BA72*AV72)</f>
        <v>2354.9899999999998</v>
      </c>
      <c r="CU72">
        <f>AG72</f>
        <v>0</v>
      </c>
      <c r="CV72">
        <f>(AH72*AV72)</f>
        <v>10.3</v>
      </c>
      <c r="CW72">
        <f t="shared" si="66"/>
        <v>0</v>
      </c>
      <c r="CX72">
        <f t="shared" si="66"/>
        <v>0</v>
      </c>
      <c r="CY72">
        <f>((S72*BZ72)/100)</f>
        <v>5769.7289999999994</v>
      </c>
      <c r="CZ72">
        <f>((S72*CA72)/100)</f>
        <v>824.24699999999996</v>
      </c>
      <c r="DC72" t="s">
        <v>3</v>
      </c>
      <c r="DD72" t="s">
        <v>3</v>
      </c>
      <c r="DE72" t="s">
        <v>3</v>
      </c>
      <c r="DF72" t="s">
        <v>3</v>
      </c>
      <c r="DG72" t="s">
        <v>3</v>
      </c>
      <c r="DH72" t="s">
        <v>3</v>
      </c>
      <c r="DI72" t="s">
        <v>3</v>
      </c>
      <c r="DJ72" t="s">
        <v>3</v>
      </c>
      <c r="DK72" t="s">
        <v>3</v>
      </c>
      <c r="DL72" t="s">
        <v>3</v>
      </c>
      <c r="DM72" t="s">
        <v>3</v>
      </c>
      <c r="DN72">
        <v>0</v>
      </c>
      <c r="DO72">
        <v>0</v>
      </c>
      <c r="DP72">
        <v>1</v>
      </c>
      <c r="DQ72">
        <v>1</v>
      </c>
      <c r="DU72">
        <v>1005</v>
      </c>
      <c r="DV72" t="s">
        <v>26</v>
      </c>
      <c r="DW72" t="s">
        <v>26</v>
      </c>
      <c r="DX72">
        <v>100</v>
      </c>
      <c r="DZ72" t="s">
        <v>3</v>
      </c>
      <c r="EA72" t="s">
        <v>3</v>
      </c>
      <c r="EB72" t="s">
        <v>3</v>
      </c>
      <c r="EC72" t="s">
        <v>3</v>
      </c>
      <c r="EE72">
        <v>37377619</v>
      </c>
      <c r="EF72">
        <v>1</v>
      </c>
      <c r="EG72" t="s">
        <v>20</v>
      </c>
      <c r="EH72">
        <v>0</v>
      </c>
      <c r="EI72" t="s">
        <v>3</v>
      </c>
      <c r="EJ72">
        <v>4</v>
      </c>
      <c r="EK72">
        <v>0</v>
      </c>
      <c r="EL72" t="s">
        <v>21</v>
      </c>
      <c r="EM72" t="s">
        <v>22</v>
      </c>
      <c r="EO72" t="s">
        <v>3</v>
      </c>
      <c r="EQ72">
        <v>0</v>
      </c>
      <c r="ER72">
        <v>23966.9</v>
      </c>
      <c r="ES72">
        <v>20488.849999999999</v>
      </c>
      <c r="ET72">
        <v>1123.06</v>
      </c>
      <c r="EU72">
        <v>471.72</v>
      </c>
      <c r="EV72">
        <v>2354.9899999999998</v>
      </c>
      <c r="EW72">
        <v>10.3</v>
      </c>
      <c r="EX72">
        <v>0</v>
      </c>
      <c r="EY72">
        <v>0</v>
      </c>
      <c r="FQ72">
        <v>0</v>
      </c>
      <c r="FR72">
        <f>ROUND(IF(AND(BH72=3,BI72=3),P72,0),2)</f>
        <v>0</v>
      </c>
      <c r="FS72">
        <v>0</v>
      </c>
      <c r="FX72">
        <v>70</v>
      </c>
      <c r="FY72">
        <v>10</v>
      </c>
      <c r="GA72" t="s">
        <v>3</v>
      </c>
      <c r="GD72">
        <v>0</v>
      </c>
      <c r="GF72">
        <v>280582152</v>
      </c>
      <c r="GG72">
        <v>2</v>
      </c>
      <c r="GH72">
        <v>1</v>
      </c>
      <c r="GI72">
        <v>-2</v>
      </c>
      <c r="GJ72">
        <v>0</v>
      </c>
      <c r="GK72">
        <f>ROUND(R72*(R12)/100,2)</f>
        <v>1783.1</v>
      </c>
      <c r="GL72">
        <f>ROUND(IF(AND(BH72=3,BI72=3,FS72&lt;&gt;0),P72,0),2)</f>
        <v>0</v>
      </c>
      <c r="GM72">
        <f>ROUND(O72+X72+Y72+GK72,2)+GX72</f>
        <v>92261.24</v>
      </c>
      <c r="GN72">
        <f>IF(OR(BI72=0,BI72=1),ROUND(O72+X72+Y72+GK72,2),0)</f>
        <v>0</v>
      </c>
      <c r="GO72">
        <f>IF(BI72=2,ROUND(O72+X72+Y72+GK72,2),0)</f>
        <v>0</v>
      </c>
      <c r="GP72">
        <f>IF(BI72=4,ROUND(O72+X72+Y72+GK72,2)+GX72,0)</f>
        <v>92261.24</v>
      </c>
      <c r="GR72">
        <v>0</v>
      </c>
      <c r="GS72">
        <v>3</v>
      </c>
      <c r="GT72">
        <v>0</v>
      </c>
      <c r="GU72" t="s">
        <v>3</v>
      </c>
      <c r="GV72">
        <f>ROUND((GT72),6)</f>
        <v>0</v>
      </c>
      <c r="GW72">
        <v>1</v>
      </c>
      <c r="GX72">
        <f>ROUND(HC72*I72,2)</f>
        <v>0</v>
      </c>
      <c r="HA72">
        <v>0</v>
      </c>
      <c r="HB72">
        <v>0</v>
      </c>
      <c r="HC72">
        <f>GV72*GW72</f>
        <v>0</v>
      </c>
      <c r="HE72" t="s">
        <v>3</v>
      </c>
      <c r="HF72" t="s">
        <v>3</v>
      </c>
      <c r="IK72">
        <v>0</v>
      </c>
    </row>
    <row r="73" spans="1:245" x14ac:dyDescent="0.2">
      <c r="A73">
        <v>17</v>
      </c>
      <c r="B73">
        <v>1</v>
      </c>
      <c r="C73">
        <f>ROW(SmtRes!A51)</f>
        <v>51</v>
      </c>
      <c r="D73">
        <f>ROW(EtalonRes!A51)</f>
        <v>51</v>
      </c>
      <c r="E73" t="s">
        <v>112</v>
      </c>
      <c r="F73" t="s">
        <v>52</v>
      </c>
      <c r="G73" t="s">
        <v>53</v>
      </c>
      <c r="H73" t="s">
        <v>26</v>
      </c>
      <c r="I73">
        <f>ROUND(350/100,9)</f>
        <v>3.5</v>
      </c>
      <c r="J73">
        <v>0</v>
      </c>
      <c r="O73">
        <f>ROUND(CP73,2)</f>
        <v>116817.34</v>
      </c>
      <c r="P73">
        <f>ROUND(CQ73*I73,2)</f>
        <v>104644.16</v>
      </c>
      <c r="Q73">
        <f>ROUND(CR73*I73,2)</f>
        <v>3930.71</v>
      </c>
      <c r="R73">
        <f>ROUND(CS73*I73,2)</f>
        <v>1651.02</v>
      </c>
      <c r="S73">
        <f>ROUND(CT73*I73,2)</f>
        <v>8242.4699999999993</v>
      </c>
      <c r="T73">
        <f>ROUND(CU73*I73,2)</f>
        <v>0</v>
      </c>
      <c r="U73">
        <f>CV73*I73</f>
        <v>36.050000000000004</v>
      </c>
      <c r="V73">
        <f>CW73*I73</f>
        <v>0</v>
      </c>
      <c r="W73">
        <f>ROUND(CX73*I73,2)</f>
        <v>0</v>
      </c>
      <c r="X73">
        <f t="shared" si="63"/>
        <v>5769.73</v>
      </c>
      <c r="Y73">
        <f t="shared" si="63"/>
        <v>824.25</v>
      </c>
      <c r="AA73">
        <v>38115817</v>
      </c>
      <c r="AB73">
        <f>ROUND((AC73+AD73+AF73),6)</f>
        <v>33376.379999999997</v>
      </c>
      <c r="AC73">
        <f>ROUND((ES73),6)</f>
        <v>29898.33</v>
      </c>
      <c r="AD73">
        <f>ROUND((((ET73)-(EU73))+AE73),6)</f>
        <v>1123.06</v>
      </c>
      <c r="AE73">
        <f t="shared" si="64"/>
        <v>471.72</v>
      </c>
      <c r="AF73">
        <f t="shared" si="64"/>
        <v>2354.9899999999998</v>
      </c>
      <c r="AG73">
        <f>ROUND((AP73),6)</f>
        <v>0</v>
      </c>
      <c r="AH73">
        <f t="shared" si="65"/>
        <v>10.3</v>
      </c>
      <c r="AI73">
        <f t="shared" si="65"/>
        <v>0</v>
      </c>
      <c r="AJ73">
        <f>(AS73)</f>
        <v>0</v>
      </c>
      <c r="AK73">
        <v>33376.379999999997</v>
      </c>
      <c r="AL73">
        <v>29898.33</v>
      </c>
      <c r="AM73">
        <v>1123.06</v>
      </c>
      <c r="AN73">
        <v>471.72</v>
      </c>
      <c r="AO73">
        <v>2354.9899999999998</v>
      </c>
      <c r="AP73">
        <v>0</v>
      </c>
      <c r="AQ73">
        <v>10.3</v>
      </c>
      <c r="AR73">
        <v>0</v>
      </c>
      <c r="AS73">
        <v>0</v>
      </c>
      <c r="AT73">
        <v>70</v>
      </c>
      <c r="AU73">
        <v>10</v>
      </c>
      <c r="AV73">
        <v>1</v>
      </c>
      <c r="AW73">
        <v>1</v>
      </c>
      <c r="AZ73">
        <v>1</v>
      </c>
      <c r="BA73">
        <v>1</v>
      </c>
      <c r="BB73">
        <v>1</v>
      </c>
      <c r="BC73">
        <v>1</v>
      </c>
      <c r="BD73" t="s">
        <v>3</v>
      </c>
      <c r="BE73" t="s">
        <v>3</v>
      </c>
      <c r="BF73" t="s">
        <v>3</v>
      </c>
      <c r="BG73" t="s">
        <v>3</v>
      </c>
      <c r="BH73">
        <v>0</v>
      </c>
      <c r="BI73">
        <v>4</v>
      </c>
      <c r="BJ73" t="s">
        <v>54</v>
      </c>
      <c r="BM73">
        <v>0</v>
      </c>
      <c r="BN73">
        <v>0</v>
      </c>
      <c r="BO73" t="s">
        <v>3</v>
      </c>
      <c r="BP73">
        <v>0</v>
      </c>
      <c r="BQ73">
        <v>1</v>
      </c>
      <c r="BR73">
        <v>0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 t="s">
        <v>3</v>
      </c>
      <c r="BZ73">
        <v>70</v>
      </c>
      <c r="CA73">
        <v>10</v>
      </c>
      <c r="CE73">
        <v>0</v>
      </c>
      <c r="CF73">
        <v>0</v>
      </c>
      <c r="CG73">
        <v>0</v>
      </c>
      <c r="CM73">
        <v>0</v>
      </c>
      <c r="CN73" t="s">
        <v>3</v>
      </c>
      <c r="CO73">
        <v>0</v>
      </c>
      <c r="CP73">
        <f>(P73+Q73+S73)</f>
        <v>116817.34000000001</v>
      </c>
      <c r="CQ73">
        <f>(AC73*BC73*AW73)</f>
        <v>29898.33</v>
      </c>
      <c r="CR73">
        <f>((((ET73)*BB73-(EU73)*BS73)+AE73*BS73)*AV73)</f>
        <v>1123.06</v>
      </c>
      <c r="CS73">
        <f>(AE73*BS73*AV73)</f>
        <v>471.72</v>
      </c>
      <c r="CT73">
        <f>(AF73*BA73*AV73)</f>
        <v>2354.9899999999998</v>
      </c>
      <c r="CU73">
        <f>AG73</f>
        <v>0</v>
      </c>
      <c r="CV73">
        <f>(AH73*AV73)</f>
        <v>10.3</v>
      </c>
      <c r="CW73">
        <f t="shared" si="66"/>
        <v>0</v>
      </c>
      <c r="CX73">
        <f t="shared" si="66"/>
        <v>0</v>
      </c>
      <c r="CY73">
        <f>((S73*BZ73)/100)</f>
        <v>5769.7289999999994</v>
      </c>
      <c r="CZ73">
        <f>((S73*CA73)/100)</f>
        <v>824.24699999999996</v>
      </c>
      <c r="DC73" t="s">
        <v>3</v>
      </c>
      <c r="DD73" t="s">
        <v>3</v>
      </c>
      <c r="DE73" t="s">
        <v>3</v>
      </c>
      <c r="DF73" t="s">
        <v>3</v>
      </c>
      <c r="DG73" t="s">
        <v>3</v>
      </c>
      <c r="DH73" t="s">
        <v>3</v>
      </c>
      <c r="DI73" t="s">
        <v>3</v>
      </c>
      <c r="DJ73" t="s">
        <v>3</v>
      </c>
      <c r="DK73" t="s">
        <v>3</v>
      </c>
      <c r="DL73" t="s">
        <v>3</v>
      </c>
      <c r="DM73" t="s">
        <v>3</v>
      </c>
      <c r="DN73">
        <v>0</v>
      </c>
      <c r="DO73">
        <v>0</v>
      </c>
      <c r="DP73">
        <v>1</v>
      </c>
      <c r="DQ73">
        <v>1</v>
      </c>
      <c r="DU73">
        <v>1005</v>
      </c>
      <c r="DV73" t="s">
        <v>26</v>
      </c>
      <c r="DW73" t="s">
        <v>26</v>
      </c>
      <c r="DX73">
        <v>100</v>
      </c>
      <c r="DZ73" t="s">
        <v>3</v>
      </c>
      <c r="EA73" t="s">
        <v>3</v>
      </c>
      <c r="EB73" t="s">
        <v>3</v>
      </c>
      <c r="EC73" t="s">
        <v>3</v>
      </c>
      <c r="EE73">
        <v>37377619</v>
      </c>
      <c r="EF73">
        <v>1</v>
      </c>
      <c r="EG73" t="s">
        <v>20</v>
      </c>
      <c r="EH73">
        <v>0</v>
      </c>
      <c r="EI73" t="s">
        <v>3</v>
      </c>
      <c r="EJ73">
        <v>4</v>
      </c>
      <c r="EK73">
        <v>0</v>
      </c>
      <c r="EL73" t="s">
        <v>21</v>
      </c>
      <c r="EM73" t="s">
        <v>22</v>
      </c>
      <c r="EO73" t="s">
        <v>3</v>
      </c>
      <c r="EQ73">
        <v>0</v>
      </c>
      <c r="ER73">
        <v>33376.379999999997</v>
      </c>
      <c r="ES73">
        <v>29898.33</v>
      </c>
      <c r="ET73">
        <v>1123.06</v>
      </c>
      <c r="EU73">
        <v>471.72</v>
      </c>
      <c r="EV73">
        <v>2354.9899999999998</v>
      </c>
      <c r="EW73">
        <v>10.3</v>
      </c>
      <c r="EX73">
        <v>0</v>
      </c>
      <c r="EY73">
        <v>0</v>
      </c>
      <c r="FQ73">
        <v>0</v>
      </c>
      <c r="FR73">
        <f>ROUND(IF(AND(BH73=3,BI73=3),P73,0),2)</f>
        <v>0</v>
      </c>
      <c r="FS73">
        <v>0</v>
      </c>
      <c r="FX73">
        <v>70</v>
      </c>
      <c r="FY73">
        <v>10</v>
      </c>
      <c r="GA73" t="s">
        <v>3</v>
      </c>
      <c r="GD73">
        <v>0</v>
      </c>
      <c r="GF73">
        <v>1849447365</v>
      </c>
      <c r="GG73">
        <v>2</v>
      </c>
      <c r="GH73">
        <v>1</v>
      </c>
      <c r="GI73">
        <v>-2</v>
      </c>
      <c r="GJ73">
        <v>0</v>
      </c>
      <c r="GK73">
        <f>ROUND(R73*(R12)/100,2)</f>
        <v>1783.1</v>
      </c>
      <c r="GL73">
        <f>ROUND(IF(AND(BH73=3,BI73=3,FS73&lt;&gt;0),P73,0),2)</f>
        <v>0</v>
      </c>
      <c r="GM73">
        <f>ROUND(O73+X73+Y73+GK73,2)+GX73</f>
        <v>125194.42</v>
      </c>
      <c r="GN73">
        <f>IF(OR(BI73=0,BI73=1),ROUND(O73+X73+Y73+GK73,2),0)</f>
        <v>0</v>
      </c>
      <c r="GO73">
        <f>IF(BI73=2,ROUND(O73+X73+Y73+GK73,2),0)</f>
        <v>0</v>
      </c>
      <c r="GP73">
        <f>IF(BI73=4,ROUND(O73+X73+Y73+GK73,2)+GX73,0)</f>
        <v>125194.42</v>
      </c>
      <c r="GR73">
        <v>0</v>
      </c>
      <c r="GS73">
        <v>3</v>
      </c>
      <c r="GT73">
        <v>0</v>
      </c>
      <c r="GU73" t="s">
        <v>3</v>
      </c>
      <c r="GV73">
        <f>ROUND((GT73),6)</f>
        <v>0</v>
      </c>
      <c r="GW73">
        <v>1</v>
      </c>
      <c r="GX73">
        <f>ROUND(HC73*I73,2)</f>
        <v>0</v>
      </c>
      <c r="HA73">
        <v>0</v>
      </c>
      <c r="HB73">
        <v>0</v>
      </c>
      <c r="HC73">
        <f>GV73*GW73</f>
        <v>0</v>
      </c>
      <c r="HE73" t="s">
        <v>3</v>
      </c>
      <c r="HF73" t="s">
        <v>3</v>
      </c>
      <c r="IK73">
        <v>0</v>
      </c>
    </row>
    <row r="75" spans="1:245" x14ac:dyDescent="0.2">
      <c r="A75" s="2">
        <v>51</v>
      </c>
      <c r="B75" s="2">
        <f>B67</f>
        <v>1</v>
      </c>
      <c r="C75" s="2">
        <f>A67</f>
        <v>4</v>
      </c>
      <c r="D75" s="2">
        <f>ROW(A67)</f>
        <v>67</v>
      </c>
      <c r="E75" s="2"/>
      <c r="F75" s="2" t="str">
        <f>IF(F67&lt;&gt;"",F67,"")</f>
        <v>Новый раздел</v>
      </c>
      <c r="G75" s="2" t="str">
        <f>IF(G67&lt;&gt;"",G67,"")</f>
        <v>Филиал №4 по адресу г. Москва, Хвалынский бульвар, дом 10</v>
      </c>
      <c r="H75" s="2">
        <v>0</v>
      </c>
      <c r="I75" s="2"/>
      <c r="J75" s="2"/>
      <c r="K75" s="2"/>
      <c r="L75" s="2"/>
      <c r="M75" s="2"/>
      <c r="N75" s="2"/>
      <c r="O75" s="2">
        <f t="shared" ref="O75:T75" si="67">ROUND(AB75,2)</f>
        <v>216684.29</v>
      </c>
      <c r="P75" s="2">
        <f t="shared" si="67"/>
        <v>176355.14</v>
      </c>
      <c r="Q75" s="2">
        <f t="shared" si="67"/>
        <v>15880.45</v>
      </c>
      <c r="R75" s="2">
        <f t="shared" si="67"/>
        <v>7728.95</v>
      </c>
      <c r="S75" s="2">
        <f t="shared" si="67"/>
        <v>24448.7</v>
      </c>
      <c r="T75" s="2">
        <f t="shared" si="67"/>
        <v>0</v>
      </c>
      <c r="U75" s="2">
        <f>AH75</f>
        <v>112.78750000000002</v>
      </c>
      <c r="V75" s="2">
        <f>AI75</f>
        <v>0</v>
      </c>
      <c r="W75" s="2">
        <f>ROUND(AJ75,2)</f>
        <v>0</v>
      </c>
      <c r="X75" s="2">
        <f>ROUND(AK75,2)</f>
        <v>17114.09</v>
      </c>
      <c r="Y75" s="2">
        <f>ROUND(AL75,2)</f>
        <v>2444.88</v>
      </c>
      <c r="Z75" s="2"/>
      <c r="AA75" s="2"/>
      <c r="AB75" s="2">
        <f>ROUND(SUMIF(AA71:AA73,"=38115817",O71:O73),2)</f>
        <v>216684.29</v>
      </c>
      <c r="AC75" s="2">
        <f>ROUND(SUMIF(AA71:AA73,"=38115817",P71:P73),2)</f>
        <v>176355.14</v>
      </c>
      <c r="AD75" s="2">
        <f>ROUND(SUMIF(AA71:AA73,"=38115817",Q71:Q73),2)</f>
        <v>15880.45</v>
      </c>
      <c r="AE75" s="2">
        <f>ROUND(SUMIF(AA71:AA73,"=38115817",R71:R73),2)</f>
        <v>7728.95</v>
      </c>
      <c r="AF75" s="2">
        <f>ROUND(SUMIF(AA71:AA73,"=38115817",S71:S73),2)</f>
        <v>24448.7</v>
      </c>
      <c r="AG75" s="2">
        <f>ROUND(SUMIF(AA71:AA73,"=38115817",T71:T73),2)</f>
        <v>0</v>
      </c>
      <c r="AH75" s="2">
        <f>SUMIF(AA71:AA73,"=38115817",U71:U73)</f>
        <v>112.78750000000002</v>
      </c>
      <c r="AI75" s="2">
        <f>SUMIF(AA71:AA73,"=38115817",V71:V73)</f>
        <v>0</v>
      </c>
      <c r="AJ75" s="2">
        <f>ROUND(SUMIF(AA71:AA73,"=38115817",W71:W73),2)</f>
        <v>0</v>
      </c>
      <c r="AK75" s="2">
        <f>ROUND(SUMIF(AA71:AA73,"=38115817",X71:X73),2)</f>
        <v>17114.09</v>
      </c>
      <c r="AL75" s="2">
        <f>ROUND(SUMIF(AA71:AA73,"=38115817",Y71:Y73),2)</f>
        <v>2444.88</v>
      </c>
      <c r="AM75" s="2"/>
      <c r="AN75" s="2"/>
      <c r="AO75" s="2">
        <f t="shared" ref="AO75:BD75" si="68">ROUND(BX75,2)</f>
        <v>0</v>
      </c>
      <c r="AP75" s="2">
        <f t="shared" si="68"/>
        <v>0</v>
      </c>
      <c r="AQ75" s="2">
        <f t="shared" si="68"/>
        <v>0</v>
      </c>
      <c r="AR75" s="2">
        <f t="shared" si="68"/>
        <v>244590.52</v>
      </c>
      <c r="AS75" s="2">
        <f t="shared" si="68"/>
        <v>0</v>
      </c>
      <c r="AT75" s="2">
        <f t="shared" si="68"/>
        <v>0</v>
      </c>
      <c r="AU75" s="2">
        <f t="shared" si="68"/>
        <v>244590.52</v>
      </c>
      <c r="AV75" s="2">
        <f t="shared" si="68"/>
        <v>176355.14</v>
      </c>
      <c r="AW75" s="2">
        <f t="shared" si="68"/>
        <v>176355.14</v>
      </c>
      <c r="AX75" s="2">
        <f t="shared" si="68"/>
        <v>0</v>
      </c>
      <c r="AY75" s="2">
        <f t="shared" si="68"/>
        <v>176355.14</v>
      </c>
      <c r="AZ75" s="2">
        <f t="shared" si="68"/>
        <v>0</v>
      </c>
      <c r="BA75" s="2">
        <f t="shared" si="68"/>
        <v>0</v>
      </c>
      <c r="BB75" s="2">
        <f t="shared" si="68"/>
        <v>0</v>
      </c>
      <c r="BC75" s="2">
        <f t="shared" si="68"/>
        <v>0</v>
      </c>
      <c r="BD75" s="2">
        <f t="shared" si="68"/>
        <v>0</v>
      </c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>
        <f>ROUND(SUMIF(AA71:AA73,"=38115817",FQ71:FQ73),2)</f>
        <v>0</v>
      </c>
      <c r="BY75" s="2">
        <f>ROUND(SUMIF(AA71:AA73,"=38115817",FR71:FR73),2)</f>
        <v>0</v>
      </c>
      <c r="BZ75" s="2">
        <f>ROUND(SUMIF(AA71:AA73,"=38115817",GL71:GL73),2)</f>
        <v>0</v>
      </c>
      <c r="CA75" s="2">
        <f>ROUND(SUMIF(AA71:AA73,"=38115817",GM71:GM73),2)</f>
        <v>244590.52</v>
      </c>
      <c r="CB75" s="2">
        <f>ROUND(SUMIF(AA71:AA73,"=38115817",GN71:GN73),2)</f>
        <v>0</v>
      </c>
      <c r="CC75" s="2">
        <f>ROUND(SUMIF(AA71:AA73,"=38115817",GO71:GO73),2)</f>
        <v>0</v>
      </c>
      <c r="CD75" s="2">
        <f>ROUND(SUMIF(AA71:AA73,"=38115817",GP71:GP73),2)</f>
        <v>244590.52</v>
      </c>
      <c r="CE75" s="2">
        <f>AC75-BX75</f>
        <v>176355.14</v>
      </c>
      <c r="CF75" s="2">
        <f>AC75-BY75</f>
        <v>176355.14</v>
      </c>
      <c r="CG75" s="2">
        <f>BX75-BZ75</f>
        <v>0</v>
      </c>
      <c r="CH75" s="2">
        <f>AC75-BX75-BY75+BZ75</f>
        <v>176355.14</v>
      </c>
      <c r="CI75" s="2">
        <f>BY75-BZ75</f>
        <v>0</v>
      </c>
      <c r="CJ75" s="2">
        <f>ROUND(SUMIF(AA71:AA73,"=38115817",GX71:GX73),2)</f>
        <v>0</v>
      </c>
      <c r="CK75" s="2">
        <f>ROUND(SUMIF(AA71:AA73,"=38115817",GY71:GY73),2)</f>
        <v>0</v>
      </c>
      <c r="CL75" s="2">
        <f>ROUND(SUMIF(AA71:AA73,"=38115817",GZ71:GZ73),2)</f>
        <v>0</v>
      </c>
      <c r="CM75" s="2">
        <f>ROUND(SUMIF(AA71:AA73,"=38115817",HD71:HD73),2)</f>
        <v>0</v>
      </c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>
        <v>0</v>
      </c>
    </row>
    <row r="77" spans="1:245" x14ac:dyDescent="0.2">
      <c r="A77" s="4">
        <v>50</v>
      </c>
      <c r="B77" s="4">
        <v>0</v>
      </c>
      <c r="C77" s="4">
        <v>0</v>
      </c>
      <c r="D77" s="4">
        <v>1</v>
      </c>
      <c r="E77" s="4">
        <v>201</v>
      </c>
      <c r="F77" s="4">
        <f>ROUND(Source!O75,O77)</f>
        <v>216684.29</v>
      </c>
      <c r="G77" s="4" t="s">
        <v>55</v>
      </c>
      <c r="H77" s="4" t="s">
        <v>56</v>
      </c>
      <c r="I77" s="4"/>
      <c r="J77" s="4"/>
      <c r="K77" s="4">
        <v>201</v>
      </c>
      <c r="L77" s="4">
        <v>1</v>
      </c>
      <c r="M77" s="4">
        <v>3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45" x14ac:dyDescent="0.2">
      <c r="A78" s="4">
        <v>50</v>
      </c>
      <c r="B78" s="4">
        <v>0</v>
      </c>
      <c r="C78" s="4">
        <v>0</v>
      </c>
      <c r="D78" s="4">
        <v>1</v>
      </c>
      <c r="E78" s="4">
        <v>202</v>
      </c>
      <c r="F78" s="4">
        <f>ROUND(Source!P75,O78)</f>
        <v>176355.14</v>
      </c>
      <c r="G78" s="4" t="s">
        <v>57</v>
      </c>
      <c r="H78" s="4" t="s">
        <v>58</v>
      </c>
      <c r="I78" s="4"/>
      <c r="J78" s="4"/>
      <c r="K78" s="4">
        <v>202</v>
      </c>
      <c r="L78" s="4">
        <v>2</v>
      </c>
      <c r="M78" s="4">
        <v>3</v>
      </c>
      <c r="N78" s="4" t="s">
        <v>3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45" x14ac:dyDescent="0.2">
      <c r="A79" s="4">
        <v>50</v>
      </c>
      <c r="B79" s="4">
        <v>0</v>
      </c>
      <c r="C79" s="4">
        <v>0</v>
      </c>
      <c r="D79" s="4">
        <v>1</v>
      </c>
      <c r="E79" s="4">
        <v>222</v>
      </c>
      <c r="F79" s="4">
        <f>ROUND(Source!AO75,O79)</f>
        <v>0</v>
      </c>
      <c r="G79" s="4" t="s">
        <v>59</v>
      </c>
      <c r="H79" s="4" t="s">
        <v>60</v>
      </c>
      <c r="I79" s="4"/>
      <c r="J79" s="4"/>
      <c r="K79" s="4">
        <v>222</v>
      </c>
      <c r="L79" s="4">
        <v>3</v>
      </c>
      <c r="M79" s="4">
        <v>3</v>
      </c>
      <c r="N79" s="4" t="s">
        <v>3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45" x14ac:dyDescent="0.2">
      <c r="A80" s="4">
        <v>50</v>
      </c>
      <c r="B80" s="4">
        <v>0</v>
      </c>
      <c r="C80" s="4">
        <v>0</v>
      </c>
      <c r="D80" s="4">
        <v>1</v>
      </c>
      <c r="E80" s="4">
        <v>225</v>
      </c>
      <c r="F80" s="4">
        <f>ROUND(Source!AV75,O80)</f>
        <v>176355.14</v>
      </c>
      <c r="G80" s="4" t="s">
        <v>61</v>
      </c>
      <c r="H80" s="4" t="s">
        <v>62</v>
      </c>
      <c r="I80" s="4"/>
      <c r="J80" s="4"/>
      <c r="K80" s="4">
        <v>225</v>
      </c>
      <c r="L80" s="4">
        <v>4</v>
      </c>
      <c r="M80" s="4">
        <v>3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>
        <v>50</v>
      </c>
      <c r="B81" s="4">
        <v>0</v>
      </c>
      <c r="C81" s="4">
        <v>0</v>
      </c>
      <c r="D81" s="4">
        <v>1</v>
      </c>
      <c r="E81" s="4">
        <v>226</v>
      </c>
      <c r="F81" s="4">
        <f>ROUND(Source!AW75,O81)</f>
        <v>176355.14</v>
      </c>
      <c r="G81" s="4" t="s">
        <v>63</v>
      </c>
      <c r="H81" s="4" t="s">
        <v>64</v>
      </c>
      <c r="I81" s="4"/>
      <c r="J81" s="4"/>
      <c r="K81" s="4">
        <v>226</v>
      </c>
      <c r="L81" s="4">
        <v>5</v>
      </c>
      <c r="M81" s="4">
        <v>3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>
        <v>50</v>
      </c>
      <c r="B82" s="4">
        <v>0</v>
      </c>
      <c r="C82" s="4">
        <v>0</v>
      </c>
      <c r="D82" s="4">
        <v>1</v>
      </c>
      <c r="E82" s="4">
        <v>227</v>
      </c>
      <c r="F82" s="4">
        <f>ROUND(Source!AX75,O82)</f>
        <v>0</v>
      </c>
      <c r="G82" s="4" t="s">
        <v>65</v>
      </c>
      <c r="H82" s="4" t="s">
        <v>66</v>
      </c>
      <c r="I82" s="4"/>
      <c r="J82" s="4"/>
      <c r="K82" s="4">
        <v>227</v>
      </c>
      <c r="L82" s="4">
        <v>6</v>
      </c>
      <c r="M82" s="4">
        <v>3</v>
      </c>
      <c r="N82" s="4" t="s">
        <v>3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>
        <v>50</v>
      </c>
      <c r="B83" s="4">
        <v>0</v>
      </c>
      <c r="C83" s="4">
        <v>0</v>
      </c>
      <c r="D83" s="4">
        <v>1</v>
      </c>
      <c r="E83" s="4">
        <v>228</v>
      </c>
      <c r="F83" s="4">
        <f>ROUND(Source!AY75,O83)</f>
        <v>176355.14</v>
      </c>
      <c r="G83" s="4" t="s">
        <v>67</v>
      </c>
      <c r="H83" s="4" t="s">
        <v>68</v>
      </c>
      <c r="I83" s="4"/>
      <c r="J83" s="4"/>
      <c r="K83" s="4">
        <v>228</v>
      </c>
      <c r="L83" s="4">
        <v>7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>
        <v>50</v>
      </c>
      <c r="B84" s="4">
        <v>0</v>
      </c>
      <c r="C84" s="4">
        <v>0</v>
      </c>
      <c r="D84" s="4">
        <v>1</v>
      </c>
      <c r="E84" s="4">
        <v>216</v>
      </c>
      <c r="F84" s="4">
        <f>ROUND(Source!AP75,O84)</f>
        <v>0</v>
      </c>
      <c r="G84" s="4" t="s">
        <v>69</v>
      </c>
      <c r="H84" s="4" t="s">
        <v>70</v>
      </c>
      <c r="I84" s="4"/>
      <c r="J84" s="4"/>
      <c r="K84" s="4">
        <v>216</v>
      </c>
      <c r="L84" s="4">
        <v>8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>
        <v>50</v>
      </c>
      <c r="B85" s="4">
        <v>0</v>
      </c>
      <c r="C85" s="4">
        <v>0</v>
      </c>
      <c r="D85" s="4">
        <v>1</v>
      </c>
      <c r="E85" s="4">
        <v>223</v>
      </c>
      <c r="F85" s="4">
        <f>ROUND(Source!AQ75,O85)</f>
        <v>0</v>
      </c>
      <c r="G85" s="4" t="s">
        <v>71</v>
      </c>
      <c r="H85" s="4" t="s">
        <v>72</v>
      </c>
      <c r="I85" s="4"/>
      <c r="J85" s="4"/>
      <c r="K85" s="4">
        <v>223</v>
      </c>
      <c r="L85" s="4">
        <v>9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>
        <v>50</v>
      </c>
      <c r="B86" s="4">
        <v>0</v>
      </c>
      <c r="C86" s="4">
        <v>0</v>
      </c>
      <c r="D86" s="4">
        <v>1</v>
      </c>
      <c r="E86" s="4">
        <v>229</v>
      </c>
      <c r="F86" s="4">
        <f>ROUND(Source!AZ75,O86)</f>
        <v>0</v>
      </c>
      <c r="G86" s="4" t="s">
        <v>73</v>
      </c>
      <c r="H86" s="4" t="s">
        <v>74</v>
      </c>
      <c r="I86" s="4"/>
      <c r="J86" s="4"/>
      <c r="K86" s="4">
        <v>229</v>
      </c>
      <c r="L86" s="4">
        <v>10</v>
      </c>
      <c r="M86" s="4">
        <v>3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>
        <v>50</v>
      </c>
      <c r="B87" s="4">
        <v>0</v>
      </c>
      <c r="C87" s="4">
        <v>0</v>
      </c>
      <c r="D87" s="4">
        <v>1</v>
      </c>
      <c r="E87" s="4">
        <v>203</v>
      </c>
      <c r="F87" s="4">
        <f>ROUND(Source!Q75,O87)</f>
        <v>15880.45</v>
      </c>
      <c r="G87" s="4" t="s">
        <v>75</v>
      </c>
      <c r="H87" s="4" t="s">
        <v>76</v>
      </c>
      <c r="I87" s="4"/>
      <c r="J87" s="4"/>
      <c r="K87" s="4">
        <v>203</v>
      </c>
      <c r="L87" s="4">
        <v>11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>
        <v>50</v>
      </c>
      <c r="B88" s="4">
        <v>0</v>
      </c>
      <c r="C88" s="4">
        <v>0</v>
      </c>
      <c r="D88" s="4">
        <v>1</v>
      </c>
      <c r="E88" s="4">
        <v>231</v>
      </c>
      <c r="F88" s="4">
        <f>ROUND(Source!BB75,O88)</f>
        <v>0</v>
      </c>
      <c r="G88" s="4" t="s">
        <v>77</v>
      </c>
      <c r="H88" s="4" t="s">
        <v>78</v>
      </c>
      <c r="I88" s="4"/>
      <c r="J88" s="4"/>
      <c r="K88" s="4">
        <v>231</v>
      </c>
      <c r="L88" s="4">
        <v>12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>
        <v>50</v>
      </c>
      <c r="B89" s="4">
        <v>0</v>
      </c>
      <c r="C89" s="4">
        <v>0</v>
      </c>
      <c r="D89" s="4">
        <v>1</v>
      </c>
      <c r="E89" s="4">
        <v>204</v>
      </c>
      <c r="F89" s="4">
        <f>ROUND(Source!R75,O89)</f>
        <v>7728.95</v>
      </c>
      <c r="G89" s="4" t="s">
        <v>79</v>
      </c>
      <c r="H89" s="4" t="s">
        <v>80</v>
      </c>
      <c r="I89" s="4"/>
      <c r="J89" s="4"/>
      <c r="K89" s="4">
        <v>204</v>
      </c>
      <c r="L89" s="4">
        <v>13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>
        <v>50</v>
      </c>
      <c r="B90" s="4">
        <v>0</v>
      </c>
      <c r="C90" s="4">
        <v>0</v>
      </c>
      <c r="D90" s="4">
        <v>1</v>
      </c>
      <c r="E90" s="4">
        <v>205</v>
      </c>
      <c r="F90" s="4">
        <f>ROUND(Source!S75,O90)</f>
        <v>24448.7</v>
      </c>
      <c r="G90" s="4" t="s">
        <v>81</v>
      </c>
      <c r="H90" s="4" t="s">
        <v>82</v>
      </c>
      <c r="I90" s="4"/>
      <c r="J90" s="4"/>
      <c r="K90" s="4">
        <v>205</v>
      </c>
      <c r="L90" s="4">
        <v>14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>
        <v>50</v>
      </c>
      <c r="B91" s="4">
        <v>0</v>
      </c>
      <c r="C91" s="4">
        <v>0</v>
      </c>
      <c r="D91" s="4">
        <v>1</v>
      </c>
      <c r="E91" s="4">
        <v>232</v>
      </c>
      <c r="F91" s="4">
        <f>ROUND(Source!BC75,O91)</f>
        <v>0</v>
      </c>
      <c r="G91" s="4" t="s">
        <v>83</v>
      </c>
      <c r="H91" s="4" t="s">
        <v>84</v>
      </c>
      <c r="I91" s="4"/>
      <c r="J91" s="4"/>
      <c r="K91" s="4">
        <v>232</v>
      </c>
      <c r="L91" s="4">
        <v>15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>
        <v>50</v>
      </c>
      <c r="B92" s="4">
        <v>0</v>
      </c>
      <c r="C92" s="4">
        <v>0</v>
      </c>
      <c r="D92" s="4">
        <v>1</v>
      </c>
      <c r="E92" s="4">
        <v>214</v>
      </c>
      <c r="F92" s="4">
        <f>ROUND(Source!AS75,O92)</f>
        <v>0</v>
      </c>
      <c r="G92" s="4" t="s">
        <v>85</v>
      </c>
      <c r="H92" s="4" t="s">
        <v>86</v>
      </c>
      <c r="I92" s="4"/>
      <c r="J92" s="4"/>
      <c r="K92" s="4">
        <v>214</v>
      </c>
      <c r="L92" s="4">
        <v>16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>
        <v>50</v>
      </c>
      <c r="B93" s="4">
        <v>0</v>
      </c>
      <c r="C93" s="4">
        <v>0</v>
      </c>
      <c r="D93" s="4">
        <v>1</v>
      </c>
      <c r="E93" s="4">
        <v>215</v>
      </c>
      <c r="F93" s="4">
        <f>ROUND(Source!AT75,O93)</f>
        <v>0</v>
      </c>
      <c r="G93" s="4" t="s">
        <v>87</v>
      </c>
      <c r="H93" s="4" t="s">
        <v>88</v>
      </c>
      <c r="I93" s="4"/>
      <c r="J93" s="4"/>
      <c r="K93" s="4">
        <v>215</v>
      </c>
      <c r="L93" s="4">
        <v>17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>
        <v>50</v>
      </c>
      <c r="B94" s="4">
        <v>0</v>
      </c>
      <c r="C94" s="4">
        <v>0</v>
      </c>
      <c r="D94" s="4">
        <v>1</v>
      </c>
      <c r="E94" s="4">
        <v>217</v>
      </c>
      <c r="F94" s="4">
        <f>ROUND(Source!AU75,O94)</f>
        <v>244590.52</v>
      </c>
      <c r="G94" s="4" t="s">
        <v>89</v>
      </c>
      <c r="H94" s="4" t="s">
        <v>90</v>
      </c>
      <c r="I94" s="4"/>
      <c r="J94" s="4"/>
      <c r="K94" s="4">
        <v>217</v>
      </c>
      <c r="L94" s="4">
        <v>18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>
        <v>50</v>
      </c>
      <c r="B95" s="4">
        <v>0</v>
      </c>
      <c r="C95" s="4">
        <v>0</v>
      </c>
      <c r="D95" s="4">
        <v>1</v>
      </c>
      <c r="E95" s="4">
        <v>230</v>
      </c>
      <c r="F95" s="4">
        <f>ROUND(Source!BA75,O95)</f>
        <v>0</v>
      </c>
      <c r="G95" s="4" t="s">
        <v>91</v>
      </c>
      <c r="H95" s="4" t="s">
        <v>92</v>
      </c>
      <c r="I95" s="4"/>
      <c r="J95" s="4"/>
      <c r="K95" s="4">
        <v>230</v>
      </c>
      <c r="L95" s="4">
        <v>19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>
        <v>50</v>
      </c>
      <c r="B96" s="4">
        <v>0</v>
      </c>
      <c r="C96" s="4">
        <v>0</v>
      </c>
      <c r="D96" s="4">
        <v>1</v>
      </c>
      <c r="E96" s="4">
        <v>206</v>
      </c>
      <c r="F96" s="4">
        <f>ROUND(Source!T75,O96)</f>
        <v>0</v>
      </c>
      <c r="G96" s="4" t="s">
        <v>93</v>
      </c>
      <c r="H96" s="4" t="s">
        <v>94</v>
      </c>
      <c r="I96" s="4"/>
      <c r="J96" s="4"/>
      <c r="K96" s="4">
        <v>206</v>
      </c>
      <c r="L96" s="4">
        <v>20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45" x14ac:dyDescent="0.2">
      <c r="A97" s="4">
        <v>50</v>
      </c>
      <c r="B97" s="4">
        <v>0</v>
      </c>
      <c r="C97" s="4">
        <v>0</v>
      </c>
      <c r="D97" s="4">
        <v>1</v>
      </c>
      <c r="E97" s="4">
        <v>207</v>
      </c>
      <c r="F97" s="4">
        <f>Source!U75</f>
        <v>112.78750000000002</v>
      </c>
      <c r="G97" s="4" t="s">
        <v>95</v>
      </c>
      <c r="H97" s="4" t="s">
        <v>96</v>
      </c>
      <c r="I97" s="4"/>
      <c r="J97" s="4"/>
      <c r="K97" s="4">
        <v>207</v>
      </c>
      <c r="L97" s="4">
        <v>21</v>
      </c>
      <c r="M97" s="4">
        <v>3</v>
      </c>
      <c r="N97" s="4" t="s">
        <v>3</v>
      </c>
      <c r="O97" s="4">
        <v>-1</v>
      </c>
      <c r="P97" s="4"/>
      <c r="Q97" s="4"/>
      <c r="R97" s="4"/>
      <c r="S97" s="4"/>
      <c r="T97" s="4"/>
      <c r="U97" s="4"/>
      <c r="V97" s="4"/>
      <c r="W97" s="4"/>
    </row>
    <row r="98" spans="1:245" x14ac:dyDescent="0.2">
      <c r="A98" s="4">
        <v>50</v>
      </c>
      <c r="B98" s="4">
        <v>0</v>
      </c>
      <c r="C98" s="4">
        <v>0</v>
      </c>
      <c r="D98" s="4">
        <v>1</v>
      </c>
      <c r="E98" s="4">
        <v>208</v>
      </c>
      <c r="F98" s="4">
        <f>Source!V75</f>
        <v>0</v>
      </c>
      <c r="G98" s="4" t="s">
        <v>97</v>
      </c>
      <c r="H98" s="4" t="s">
        <v>98</v>
      </c>
      <c r="I98" s="4"/>
      <c r="J98" s="4"/>
      <c r="K98" s="4">
        <v>208</v>
      </c>
      <c r="L98" s="4">
        <v>22</v>
      </c>
      <c r="M98" s="4">
        <v>3</v>
      </c>
      <c r="N98" s="4" t="s">
        <v>3</v>
      </c>
      <c r="O98" s="4">
        <v>-1</v>
      </c>
      <c r="P98" s="4"/>
      <c r="Q98" s="4"/>
      <c r="R98" s="4"/>
      <c r="S98" s="4"/>
      <c r="T98" s="4"/>
      <c r="U98" s="4"/>
      <c r="V98" s="4"/>
      <c r="W98" s="4"/>
    </row>
    <row r="99" spans="1:245" x14ac:dyDescent="0.2">
      <c r="A99" s="4">
        <v>50</v>
      </c>
      <c r="B99" s="4">
        <v>0</v>
      </c>
      <c r="C99" s="4">
        <v>0</v>
      </c>
      <c r="D99" s="4">
        <v>1</v>
      </c>
      <c r="E99" s="4">
        <v>209</v>
      </c>
      <c r="F99" s="4">
        <f>ROUND(Source!W75,O99)</f>
        <v>0</v>
      </c>
      <c r="G99" s="4" t="s">
        <v>99</v>
      </c>
      <c r="H99" s="4" t="s">
        <v>100</v>
      </c>
      <c r="I99" s="4"/>
      <c r="J99" s="4"/>
      <c r="K99" s="4">
        <v>209</v>
      </c>
      <c r="L99" s="4">
        <v>23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45" x14ac:dyDescent="0.2">
      <c r="A100" s="4">
        <v>50</v>
      </c>
      <c r="B100" s="4">
        <v>0</v>
      </c>
      <c r="C100" s="4">
        <v>0</v>
      </c>
      <c r="D100" s="4">
        <v>1</v>
      </c>
      <c r="E100" s="4">
        <v>233</v>
      </c>
      <c r="F100" s="4">
        <f>ROUND(Source!BD75,O100)</f>
        <v>0</v>
      </c>
      <c r="G100" s="4" t="s">
        <v>101</v>
      </c>
      <c r="H100" s="4" t="s">
        <v>102</v>
      </c>
      <c r="I100" s="4"/>
      <c r="J100" s="4"/>
      <c r="K100" s="4">
        <v>233</v>
      </c>
      <c r="L100" s="4">
        <v>24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45" x14ac:dyDescent="0.2">
      <c r="A101" s="4">
        <v>50</v>
      </c>
      <c r="B101" s="4">
        <v>0</v>
      </c>
      <c r="C101" s="4">
        <v>0</v>
      </c>
      <c r="D101" s="4">
        <v>1</v>
      </c>
      <c r="E101" s="4">
        <v>210</v>
      </c>
      <c r="F101" s="4">
        <f>ROUND(Source!X75,O101)</f>
        <v>17114.09</v>
      </c>
      <c r="G101" s="4" t="s">
        <v>103</v>
      </c>
      <c r="H101" s="4" t="s">
        <v>104</v>
      </c>
      <c r="I101" s="4"/>
      <c r="J101" s="4"/>
      <c r="K101" s="4">
        <v>210</v>
      </c>
      <c r="L101" s="4">
        <v>25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45" x14ac:dyDescent="0.2">
      <c r="A102" s="4">
        <v>50</v>
      </c>
      <c r="B102" s="4">
        <v>0</v>
      </c>
      <c r="C102" s="4">
        <v>0</v>
      </c>
      <c r="D102" s="4">
        <v>1</v>
      </c>
      <c r="E102" s="4">
        <v>211</v>
      </c>
      <c r="F102" s="4">
        <f>ROUND(Source!Y75,O102)</f>
        <v>2444.88</v>
      </c>
      <c r="G102" s="4" t="s">
        <v>105</v>
      </c>
      <c r="H102" s="4" t="s">
        <v>106</v>
      </c>
      <c r="I102" s="4"/>
      <c r="J102" s="4"/>
      <c r="K102" s="4">
        <v>211</v>
      </c>
      <c r="L102" s="4">
        <v>26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45" x14ac:dyDescent="0.2">
      <c r="A103" s="4">
        <v>50</v>
      </c>
      <c r="B103" s="4">
        <v>0</v>
      </c>
      <c r="C103" s="4">
        <v>0</v>
      </c>
      <c r="D103" s="4">
        <v>1</v>
      </c>
      <c r="E103" s="4">
        <v>224</v>
      </c>
      <c r="F103" s="4">
        <f>ROUND(Source!AR75,O103)</f>
        <v>244590.52</v>
      </c>
      <c r="G103" s="4" t="s">
        <v>107</v>
      </c>
      <c r="H103" s="4" t="s">
        <v>108</v>
      </c>
      <c r="I103" s="4"/>
      <c r="J103" s="4"/>
      <c r="K103" s="4">
        <v>224</v>
      </c>
      <c r="L103" s="4">
        <v>27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5" spans="1:245" x14ac:dyDescent="0.2">
      <c r="A105" s="1">
        <v>4</v>
      </c>
      <c r="B105" s="1">
        <v>1</v>
      </c>
      <c r="C105" s="1"/>
      <c r="D105" s="1">
        <f>ROW(A112)</f>
        <v>112</v>
      </c>
      <c r="E105" s="1"/>
      <c r="F105" s="1" t="s">
        <v>13</v>
      </c>
      <c r="G105" s="1" t="s">
        <v>113</v>
      </c>
      <c r="H105" s="1" t="s">
        <v>3</v>
      </c>
      <c r="I105" s="1">
        <v>0</v>
      </c>
      <c r="J105" s="1"/>
      <c r="K105" s="1">
        <v>-1</v>
      </c>
      <c r="L105" s="1"/>
      <c r="M105" s="1" t="s">
        <v>3</v>
      </c>
      <c r="N105" s="1"/>
      <c r="O105" s="1"/>
      <c r="P105" s="1"/>
      <c r="Q105" s="1"/>
      <c r="R105" s="1"/>
      <c r="S105" s="1">
        <v>0</v>
      </c>
      <c r="T105" s="1"/>
      <c r="U105" s="1" t="s">
        <v>3</v>
      </c>
      <c r="V105" s="1">
        <v>0</v>
      </c>
      <c r="W105" s="1"/>
      <c r="X105" s="1"/>
      <c r="Y105" s="1"/>
      <c r="Z105" s="1"/>
      <c r="AA105" s="1"/>
      <c r="AB105" s="1" t="s">
        <v>3</v>
      </c>
      <c r="AC105" s="1" t="s">
        <v>3</v>
      </c>
      <c r="AD105" s="1" t="s">
        <v>3</v>
      </c>
      <c r="AE105" s="1" t="s">
        <v>3</v>
      </c>
      <c r="AF105" s="1" t="s">
        <v>3</v>
      </c>
      <c r="AG105" s="1" t="s">
        <v>3</v>
      </c>
      <c r="AH105" s="1"/>
      <c r="AI105" s="1"/>
      <c r="AJ105" s="1"/>
      <c r="AK105" s="1"/>
      <c r="AL105" s="1"/>
      <c r="AM105" s="1"/>
      <c r="AN105" s="1"/>
      <c r="AO105" s="1"/>
      <c r="AP105" s="1" t="s">
        <v>3</v>
      </c>
      <c r="AQ105" s="1" t="s">
        <v>3</v>
      </c>
      <c r="AR105" s="1" t="s">
        <v>3</v>
      </c>
      <c r="AS105" s="1"/>
      <c r="AT105" s="1"/>
      <c r="AU105" s="1"/>
      <c r="AV105" s="1"/>
      <c r="AW105" s="1"/>
      <c r="AX105" s="1"/>
      <c r="AY105" s="1"/>
      <c r="AZ105" s="1" t="s">
        <v>3</v>
      </c>
      <c r="BA105" s="1"/>
      <c r="BB105" s="1" t="s">
        <v>3</v>
      </c>
      <c r="BC105" s="1" t="s">
        <v>3</v>
      </c>
      <c r="BD105" s="1" t="s">
        <v>3</v>
      </c>
      <c r="BE105" s="1" t="s">
        <v>3</v>
      </c>
      <c r="BF105" s="1" t="s">
        <v>3</v>
      </c>
      <c r="BG105" s="1" t="s">
        <v>3</v>
      </c>
      <c r="BH105" s="1" t="s">
        <v>3</v>
      </c>
      <c r="BI105" s="1" t="s">
        <v>3</v>
      </c>
      <c r="BJ105" s="1" t="s">
        <v>3</v>
      </c>
      <c r="BK105" s="1" t="s">
        <v>3</v>
      </c>
      <c r="BL105" s="1" t="s">
        <v>3</v>
      </c>
      <c r="BM105" s="1" t="s">
        <v>3</v>
      </c>
      <c r="BN105" s="1" t="s">
        <v>3</v>
      </c>
      <c r="BO105" s="1" t="s">
        <v>3</v>
      </c>
      <c r="BP105" s="1" t="s">
        <v>3</v>
      </c>
      <c r="BQ105" s="1"/>
      <c r="BR105" s="1"/>
      <c r="BS105" s="1"/>
      <c r="BT105" s="1"/>
      <c r="BU105" s="1"/>
      <c r="BV105" s="1"/>
      <c r="BW105" s="1"/>
      <c r="BX105" s="1">
        <v>0</v>
      </c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>
        <v>0</v>
      </c>
    </row>
    <row r="107" spans="1:245" x14ac:dyDescent="0.2">
      <c r="A107" s="2">
        <v>52</v>
      </c>
      <c r="B107" s="2">
        <f t="shared" ref="B107:G107" si="69">B112</f>
        <v>1</v>
      </c>
      <c r="C107" s="2">
        <f t="shared" si="69"/>
        <v>4</v>
      </c>
      <c r="D107" s="2">
        <f t="shared" si="69"/>
        <v>105</v>
      </c>
      <c r="E107" s="2">
        <f t="shared" si="69"/>
        <v>0</v>
      </c>
      <c r="F107" s="2" t="str">
        <f t="shared" si="69"/>
        <v>Новый раздел</v>
      </c>
      <c r="G107" s="2" t="str">
        <f t="shared" si="69"/>
        <v>Перевозка отходов асфальта</v>
      </c>
      <c r="H107" s="2"/>
      <c r="I107" s="2"/>
      <c r="J107" s="2"/>
      <c r="K107" s="2"/>
      <c r="L107" s="2"/>
      <c r="M107" s="2"/>
      <c r="N107" s="2"/>
      <c r="O107" s="2">
        <f t="shared" ref="O107:AT107" si="70">O112</f>
        <v>147746.42000000001</v>
      </c>
      <c r="P107" s="2">
        <f t="shared" si="70"/>
        <v>0</v>
      </c>
      <c r="Q107" s="2">
        <f t="shared" si="70"/>
        <v>147746.42000000001</v>
      </c>
      <c r="R107" s="2">
        <f t="shared" si="70"/>
        <v>80219.42</v>
      </c>
      <c r="S107" s="2">
        <f t="shared" si="70"/>
        <v>0</v>
      </c>
      <c r="T107" s="2">
        <f t="shared" si="70"/>
        <v>0</v>
      </c>
      <c r="U107" s="2">
        <f t="shared" si="70"/>
        <v>0</v>
      </c>
      <c r="V107" s="2">
        <f t="shared" si="70"/>
        <v>0</v>
      </c>
      <c r="W107" s="2">
        <f t="shared" si="70"/>
        <v>0</v>
      </c>
      <c r="X107" s="2">
        <f t="shared" si="70"/>
        <v>0</v>
      </c>
      <c r="Y107" s="2">
        <f t="shared" si="70"/>
        <v>0</v>
      </c>
      <c r="Z107" s="2">
        <f t="shared" si="70"/>
        <v>0</v>
      </c>
      <c r="AA107" s="2">
        <f t="shared" si="70"/>
        <v>0</v>
      </c>
      <c r="AB107" s="2">
        <f t="shared" si="70"/>
        <v>147746.42000000001</v>
      </c>
      <c r="AC107" s="2">
        <f t="shared" si="70"/>
        <v>0</v>
      </c>
      <c r="AD107" s="2">
        <f t="shared" si="70"/>
        <v>147746.42000000001</v>
      </c>
      <c r="AE107" s="2">
        <f t="shared" si="70"/>
        <v>80219.42</v>
      </c>
      <c r="AF107" s="2">
        <f t="shared" si="70"/>
        <v>0</v>
      </c>
      <c r="AG107" s="2">
        <f t="shared" si="70"/>
        <v>0</v>
      </c>
      <c r="AH107" s="2">
        <f t="shared" si="70"/>
        <v>0</v>
      </c>
      <c r="AI107" s="2">
        <f t="shared" si="70"/>
        <v>0</v>
      </c>
      <c r="AJ107" s="2">
        <f t="shared" si="70"/>
        <v>0</v>
      </c>
      <c r="AK107" s="2">
        <f t="shared" si="70"/>
        <v>0</v>
      </c>
      <c r="AL107" s="2">
        <f t="shared" si="70"/>
        <v>0</v>
      </c>
      <c r="AM107" s="2">
        <f t="shared" si="70"/>
        <v>0</v>
      </c>
      <c r="AN107" s="2">
        <f t="shared" si="70"/>
        <v>0</v>
      </c>
      <c r="AO107" s="2">
        <f t="shared" si="70"/>
        <v>0</v>
      </c>
      <c r="AP107" s="2">
        <f t="shared" si="70"/>
        <v>0</v>
      </c>
      <c r="AQ107" s="2">
        <f t="shared" si="70"/>
        <v>0</v>
      </c>
      <c r="AR107" s="2">
        <f t="shared" si="70"/>
        <v>147746.42000000001</v>
      </c>
      <c r="AS107" s="2">
        <f t="shared" si="70"/>
        <v>0</v>
      </c>
      <c r="AT107" s="2">
        <f t="shared" si="70"/>
        <v>0</v>
      </c>
      <c r="AU107" s="2">
        <f t="shared" ref="AU107:BZ107" si="71">AU112</f>
        <v>147746.42000000001</v>
      </c>
      <c r="AV107" s="2">
        <f t="shared" si="71"/>
        <v>0</v>
      </c>
      <c r="AW107" s="2">
        <f t="shared" si="71"/>
        <v>0</v>
      </c>
      <c r="AX107" s="2">
        <f t="shared" si="71"/>
        <v>0</v>
      </c>
      <c r="AY107" s="2">
        <f t="shared" si="71"/>
        <v>0</v>
      </c>
      <c r="AZ107" s="2">
        <f t="shared" si="71"/>
        <v>0</v>
      </c>
      <c r="BA107" s="2">
        <f t="shared" si="71"/>
        <v>0</v>
      </c>
      <c r="BB107" s="2">
        <f t="shared" si="71"/>
        <v>0</v>
      </c>
      <c r="BC107" s="2">
        <f t="shared" si="71"/>
        <v>0</v>
      </c>
      <c r="BD107" s="2">
        <f t="shared" si="71"/>
        <v>0</v>
      </c>
      <c r="BE107" s="2">
        <f t="shared" si="71"/>
        <v>0</v>
      </c>
      <c r="BF107" s="2">
        <f t="shared" si="71"/>
        <v>0</v>
      </c>
      <c r="BG107" s="2">
        <f t="shared" si="71"/>
        <v>0</v>
      </c>
      <c r="BH107" s="2">
        <f t="shared" si="71"/>
        <v>0</v>
      </c>
      <c r="BI107" s="2">
        <f t="shared" si="71"/>
        <v>0</v>
      </c>
      <c r="BJ107" s="2">
        <f t="shared" si="71"/>
        <v>0</v>
      </c>
      <c r="BK107" s="2">
        <f t="shared" si="71"/>
        <v>0</v>
      </c>
      <c r="BL107" s="2">
        <f t="shared" si="71"/>
        <v>0</v>
      </c>
      <c r="BM107" s="2">
        <f t="shared" si="71"/>
        <v>0</v>
      </c>
      <c r="BN107" s="2">
        <f t="shared" si="71"/>
        <v>0</v>
      </c>
      <c r="BO107" s="2">
        <f t="shared" si="71"/>
        <v>0</v>
      </c>
      <c r="BP107" s="2">
        <f t="shared" si="71"/>
        <v>0</v>
      </c>
      <c r="BQ107" s="2">
        <f t="shared" si="71"/>
        <v>0</v>
      </c>
      <c r="BR107" s="2">
        <f t="shared" si="71"/>
        <v>0</v>
      </c>
      <c r="BS107" s="2">
        <f t="shared" si="71"/>
        <v>0</v>
      </c>
      <c r="BT107" s="2">
        <f t="shared" si="71"/>
        <v>0</v>
      </c>
      <c r="BU107" s="2">
        <f t="shared" si="71"/>
        <v>0</v>
      </c>
      <c r="BV107" s="2">
        <f t="shared" si="71"/>
        <v>0</v>
      </c>
      <c r="BW107" s="2">
        <f t="shared" si="71"/>
        <v>0</v>
      </c>
      <c r="BX107" s="2">
        <f t="shared" si="71"/>
        <v>0</v>
      </c>
      <c r="BY107" s="2">
        <f t="shared" si="71"/>
        <v>0</v>
      </c>
      <c r="BZ107" s="2">
        <f t="shared" si="71"/>
        <v>0</v>
      </c>
      <c r="CA107" s="2">
        <f t="shared" ref="CA107:DF107" si="72">CA112</f>
        <v>147746.42000000001</v>
      </c>
      <c r="CB107" s="2">
        <f t="shared" si="72"/>
        <v>0</v>
      </c>
      <c r="CC107" s="2">
        <f t="shared" si="72"/>
        <v>0</v>
      </c>
      <c r="CD107" s="2">
        <f t="shared" si="72"/>
        <v>147746.42000000001</v>
      </c>
      <c r="CE107" s="2">
        <f t="shared" si="72"/>
        <v>0</v>
      </c>
      <c r="CF107" s="2">
        <f t="shared" si="72"/>
        <v>0</v>
      </c>
      <c r="CG107" s="2">
        <f t="shared" si="72"/>
        <v>0</v>
      </c>
      <c r="CH107" s="2">
        <f t="shared" si="72"/>
        <v>0</v>
      </c>
      <c r="CI107" s="2">
        <f t="shared" si="72"/>
        <v>0</v>
      </c>
      <c r="CJ107" s="2">
        <f t="shared" si="72"/>
        <v>0</v>
      </c>
      <c r="CK107" s="2">
        <f t="shared" si="72"/>
        <v>0</v>
      </c>
      <c r="CL107" s="2">
        <f t="shared" si="72"/>
        <v>0</v>
      </c>
      <c r="CM107" s="2">
        <f t="shared" si="72"/>
        <v>0</v>
      </c>
      <c r="CN107" s="2">
        <f t="shared" si="72"/>
        <v>0</v>
      </c>
      <c r="CO107" s="2">
        <f t="shared" si="72"/>
        <v>0</v>
      </c>
      <c r="CP107" s="2">
        <f t="shared" si="72"/>
        <v>0</v>
      </c>
      <c r="CQ107" s="2">
        <f t="shared" si="72"/>
        <v>0</v>
      </c>
      <c r="CR107" s="2">
        <f t="shared" si="72"/>
        <v>0</v>
      </c>
      <c r="CS107" s="2">
        <f t="shared" si="72"/>
        <v>0</v>
      </c>
      <c r="CT107" s="2">
        <f t="shared" si="72"/>
        <v>0</v>
      </c>
      <c r="CU107" s="2">
        <f t="shared" si="72"/>
        <v>0</v>
      </c>
      <c r="CV107" s="2">
        <f t="shared" si="72"/>
        <v>0</v>
      </c>
      <c r="CW107" s="2">
        <f t="shared" si="72"/>
        <v>0</v>
      </c>
      <c r="CX107" s="2">
        <f t="shared" si="72"/>
        <v>0</v>
      </c>
      <c r="CY107" s="2">
        <f t="shared" si="72"/>
        <v>0</v>
      </c>
      <c r="CZ107" s="2">
        <f t="shared" si="72"/>
        <v>0</v>
      </c>
      <c r="DA107" s="2">
        <f t="shared" si="72"/>
        <v>0</v>
      </c>
      <c r="DB107" s="2">
        <f t="shared" si="72"/>
        <v>0</v>
      </c>
      <c r="DC107" s="2">
        <f t="shared" si="72"/>
        <v>0</v>
      </c>
      <c r="DD107" s="2">
        <f t="shared" si="72"/>
        <v>0</v>
      </c>
      <c r="DE107" s="2">
        <f t="shared" si="72"/>
        <v>0</v>
      </c>
      <c r="DF107" s="2">
        <f t="shared" si="72"/>
        <v>0</v>
      </c>
      <c r="DG107" s="3">
        <f t="shared" ref="DG107:EL107" si="73">DG112</f>
        <v>0</v>
      </c>
      <c r="DH107" s="3">
        <f t="shared" si="73"/>
        <v>0</v>
      </c>
      <c r="DI107" s="3">
        <f t="shared" si="73"/>
        <v>0</v>
      </c>
      <c r="DJ107" s="3">
        <f t="shared" si="73"/>
        <v>0</v>
      </c>
      <c r="DK107" s="3">
        <f t="shared" si="73"/>
        <v>0</v>
      </c>
      <c r="DL107" s="3">
        <f t="shared" si="73"/>
        <v>0</v>
      </c>
      <c r="DM107" s="3">
        <f t="shared" si="73"/>
        <v>0</v>
      </c>
      <c r="DN107" s="3">
        <f t="shared" si="73"/>
        <v>0</v>
      </c>
      <c r="DO107" s="3">
        <f t="shared" si="73"/>
        <v>0</v>
      </c>
      <c r="DP107" s="3">
        <f t="shared" si="73"/>
        <v>0</v>
      </c>
      <c r="DQ107" s="3">
        <f t="shared" si="73"/>
        <v>0</v>
      </c>
      <c r="DR107" s="3">
        <f t="shared" si="73"/>
        <v>0</v>
      </c>
      <c r="DS107" s="3">
        <f t="shared" si="73"/>
        <v>0</v>
      </c>
      <c r="DT107" s="3">
        <f t="shared" si="73"/>
        <v>0</v>
      </c>
      <c r="DU107" s="3">
        <f t="shared" si="73"/>
        <v>0</v>
      </c>
      <c r="DV107" s="3">
        <f t="shared" si="73"/>
        <v>0</v>
      </c>
      <c r="DW107" s="3">
        <f t="shared" si="73"/>
        <v>0</v>
      </c>
      <c r="DX107" s="3">
        <f t="shared" si="73"/>
        <v>0</v>
      </c>
      <c r="DY107" s="3">
        <f t="shared" si="73"/>
        <v>0</v>
      </c>
      <c r="DZ107" s="3">
        <f t="shared" si="73"/>
        <v>0</v>
      </c>
      <c r="EA107" s="3">
        <f t="shared" si="73"/>
        <v>0</v>
      </c>
      <c r="EB107" s="3">
        <f t="shared" si="73"/>
        <v>0</v>
      </c>
      <c r="EC107" s="3">
        <f t="shared" si="73"/>
        <v>0</v>
      </c>
      <c r="ED107" s="3">
        <f t="shared" si="73"/>
        <v>0</v>
      </c>
      <c r="EE107" s="3">
        <f t="shared" si="73"/>
        <v>0</v>
      </c>
      <c r="EF107" s="3">
        <f t="shared" si="73"/>
        <v>0</v>
      </c>
      <c r="EG107" s="3">
        <f t="shared" si="73"/>
        <v>0</v>
      </c>
      <c r="EH107" s="3">
        <f t="shared" si="73"/>
        <v>0</v>
      </c>
      <c r="EI107" s="3">
        <f t="shared" si="73"/>
        <v>0</v>
      </c>
      <c r="EJ107" s="3">
        <f t="shared" si="73"/>
        <v>0</v>
      </c>
      <c r="EK107" s="3">
        <f t="shared" si="73"/>
        <v>0</v>
      </c>
      <c r="EL107" s="3">
        <f t="shared" si="73"/>
        <v>0</v>
      </c>
      <c r="EM107" s="3">
        <f t="shared" ref="EM107:FR107" si="74">EM112</f>
        <v>0</v>
      </c>
      <c r="EN107" s="3">
        <f t="shared" si="74"/>
        <v>0</v>
      </c>
      <c r="EO107" s="3">
        <f t="shared" si="74"/>
        <v>0</v>
      </c>
      <c r="EP107" s="3">
        <f t="shared" si="74"/>
        <v>0</v>
      </c>
      <c r="EQ107" s="3">
        <f t="shared" si="74"/>
        <v>0</v>
      </c>
      <c r="ER107" s="3">
        <f t="shared" si="74"/>
        <v>0</v>
      </c>
      <c r="ES107" s="3">
        <f t="shared" si="74"/>
        <v>0</v>
      </c>
      <c r="ET107" s="3">
        <f t="shared" si="74"/>
        <v>0</v>
      </c>
      <c r="EU107" s="3">
        <f t="shared" si="74"/>
        <v>0</v>
      </c>
      <c r="EV107" s="3">
        <f t="shared" si="74"/>
        <v>0</v>
      </c>
      <c r="EW107" s="3">
        <f t="shared" si="74"/>
        <v>0</v>
      </c>
      <c r="EX107" s="3">
        <f t="shared" si="74"/>
        <v>0</v>
      </c>
      <c r="EY107" s="3">
        <f t="shared" si="74"/>
        <v>0</v>
      </c>
      <c r="EZ107" s="3">
        <f t="shared" si="74"/>
        <v>0</v>
      </c>
      <c r="FA107" s="3">
        <f t="shared" si="74"/>
        <v>0</v>
      </c>
      <c r="FB107" s="3">
        <f t="shared" si="74"/>
        <v>0</v>
      </c>
      <c r="FC107" s="3">
        <f t="shared" si="74"/>
        <v>0</v>
      </c>
      <c r="FD107" s="3">
        <f t="shared" si="74"/>
        <v>0</v>
      </c>
      <c r="FE107" s="3">
        <f t="shared" si="74"/>
        <v>0</v>
      </c>
      <c r="FF107" s="3">
        <f t="shared" si="74"/>
        <v>0</v>
      </c>
      <c r="FG107" s="3">
        <f t="shared" si="74"/>
        <v>0</v>
      </c>
      <c r="FH107" s="3">
        <f t="shared" si="74"/>
        <v>0</v>
      </c>
      <c r="FI107" s="3">
        <f t="shared" si="74"/>
        <v>0</v>
      </c>
      <c r="FJ107" s="3">
        <f t="shared" si="74"/>
        <v>0</v>
      </c>
      <c r="FK107" s="3">
        <f t="shared" si="74"/>
        <v>0</v>
      </c>
      <c r="FL107" s="3">
        <f t="shared" si="74"/>
        <v>0</v>
      </c>
      <c r="FM107" s="3">
        <f t="shared" si="74"/>
        <v>0</v>
      </c>
      <c r="FN107" s="3">
        <f t="shared" si="74"/>
        <v>0</v>
      </c>
      <c r="FO107" s="3">
        <f t="shared" si="74"/>
        <v>0</v>
      </c>
      <c r="FP107" s="3">
        <f t="shared" si="74"/>
        <v>0</v>
      </c>
      <c r="FQ107" s="3">
        <f t="shared" si="74"/>
        <v>0</v>
      </c>
      <c r="FR107" s="3">
        <f t="shared" si="74"/>
        <v>0</v>
      </c>
      <c r="FS107" s="3">
        <f t="shared" ref="FS107:GX107" si="75">FS112</f>
        <v>0</v>
      </c>
      <c r="FT107" s="3">
        <f t="shared" si="75"/>
        <v>0</v>
      </c>
      <c r="FU107" s="3">
        <f t="shared" si="75"/>
        <v>0</v>
      </c>
      <c r="FV107" s="3">
        <f t="shared" si="75"/>
        <v>0</v>
      </c>
      <c r="FW107" s="3">
        <f t="shared" si="75"/>
        <v>0</v>
      </c>
      <c r="FX107" s="3">
        <f t="shared" si="75"/>
        <v>0</v>
      </c>
      <c r="FY107" s="3">
        <f t="shared" si="75"/>
        <v>0</v>
      </c>
      <c r="FZ107" s="3">
        <f t="shared" si="75"/>
        <v>0</v>
      </c>
      <c r="GA107" s="3">
        <f t="shared" si="75"/>
        <v>0</v>
      </c>
      <c r="GB107" s="3">
        <f t="shared" si="75"/>
        <v>0</v>
      </c>
      <c r="GC107" s="3">
        <f t="shared" si="75"/>
        <v>0</v>
      </c>
      <c r="GD107" s="3">
        <f t="shared" si="75"/>
        <v>0</v>
      </c>
      <c r="GE107" s="3">
        <f t="shared" si="75"/>
        <v>0</v>
      </c>
      <c r="GF107" s="3">
        <f t="shared" si="75"/>
        <v>0</v>
      </c>
      <c r="GG107" s="3">
        <f t="shared" si="75"/>
        <v>0</v>
      </c>
      <c r="GH107" s="3">
        <f t="shared" si="75"/>
        <v>0</v>
      </c>
      <c r="GI107" s="3">
        <f t="shared" si="75"/>
        <v>0</v>
      </c>
      <c r="GJ107" s="3">
        <f t="shared" si="75"/>
        <v>0</v>
      </c>
      <c r="GK107" s="3">
        <f t="shared" si="75"/>
        <v>0</v>
      </c>
      <c r="GL107" s="3">
        <f t="shared" si="75"/>
        <v>0</v>
      </c>
      <c r="GM107" s="3">
        <f t="shared" si="75"/>
        <v>0</v>
      </c>
      <c r="GN107" s="3">
        <f t="shared" si="75"/>
        <v>0</v>
      </c>
      <c r="GO107" s="3">
        <f t="shared" si="75"/>
        <v>0</v>
      </c>
      <c r="GP107" s="3">
        <f t="shared" si="75"/>
        <v>0</v>
      </c>
      <c r="GQ107" s="3">
        <f t="shared" si="75"/>
        <v>0</v>
      </c>
      <c r="GR107" s="3">
        <f t="shared" si="75"/>
        <v>0</v>
      </c>
      <c r="GS107" s="3">
        <f t="shared" si="75"/>
        <v>0</v>
      </c>
      <c r="GT107" s="3">
        <f t="shared" si="75"/>
        <v>0</v>
      </c>
      <c r="GU107" s="3">
        <f t="shared" si="75"/>
        <v>0</v>
      </c>
      <c r="GV107" s="3">
        <f t="shared" si="75"/>
        <v>0</v>
      </c>
      <c r="GW107" s="3">
        <f t="shared" si="75"/>
        <v>0</v>
      </c>
      <c r="GX107" s="3">
        <f t="shared" si="75"/>
        <v>0</v>
      </c>
    </row>
    <row r="109" spans="1:245" x14ac:dyDescent="0.2">
      <c r="A109">
        <v>17</v>
      </c>
      <c r="B109">
        <v>1</v>
      </c>
      <c r="C109">
        <f>ROW(SmtRes!A52)</f>
        <v>52</v>
      </c>
      <c r="D109">
        <f>ROW(EtalonRes!A52)</f>
        <v>52</v>
      </c>
      <c r="E109" t="s">
        <v>114</v>
      </c>
      <c r="F109" t="s">
        <v>115</v>
      </c>
      <c r="G109" t="s">
        <v>116</v>
      </c>
      <c r="H109" t="s">
        <v>117</v>
      </c>
      <c r="I109">
        <v>177.12</v>
      </c>
      <c r="J109">
        <v>0</v>
      </c>
      <c r="O109">
        <f>ROUND(CP109,2)</f>
        <v>9991.34</v>
      </c>
      <c r="P109">
        <f>ROUND(CQ109*I109,2)</f>
        <v>0</v>
      </c>
      <c r="Q109">
        <f>ROUND(CR109*I109,2)</f>
        <v>9991.34</v>
      </c>
      <c r="R109">
        <f>ROUND(CS109*I109,2)</f>
        <v>5425.19</v>
      </c>
      <c r="S109">
        <f>ROUND(CT109*I109,2)</f>
        <v>0</v>
      </c>
      <c r="T109">
        <f>ROUND(CU109*I109,2)</f>
        <v>0</v>
      </c>
      <c r="U109">
        <f>CV109*I109</f>
        <v>0</v>
      </c>
      <c r="V109">
        <f>CW109*I109</f>
        <v>0</v>
      </c>
      <c r="W109">
        <f>ROUND(CX109*I109,2)</f>
        <v>0</v>
      </c>
      <c r="X109">
        <f>ROUND(CY109,2)</f>
        <v>0</v>
      </c>
      <c r="Y109">
        <f>ROUND(CZ109,2)</f>
        <v>0</v>
      </c>
      <c r="AA109">
        <v>38115817</v>
      </c>
      <c r="AB109">
        <f>ROUND((AC109+AD109+AF109),6)</f>
        <v>56.41</v>
      </c>
      <c r="AC109">
        <f>ROUND((ES109),6)</f>
        <v>0</v>
      </c>
      <c r="AD109">
        <f>ROUND((((ET109)-(EU109))+AE109),6)</f>
        <v>56.41</v>
      </c>
      <c r="AE109">
        <f>ROUND((EU109),6)</f>
        <v>30.63</v>
      </c>
      <c r="AF109">
        <f>ROUND((EV109),6)</f>
        <v>0</v>
      </c>
      <c r="AG109">
        <f>ROUND((AP109),6)</f>
        <v>0</v>
      </c>
      <c r="AH109">
        <f>(EW109)</f>
        <v>0</v>
      </c>
      <c r="AI109">
        <f>(EX109)</f>
        <v>0</v>
      </c>
      <c r="AJ109">
        <f>(AS109)</f>
        <v>0</v>
      </c>
      <c r="AK109">
        <v>56.41</v>
      </c>
      <c r="AL109">
        <v>0</v>
      </c>
      <c r="AM109">
        <v>56.41</v>
      </c>
      <c r="AN109">
        <v>30.63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Z109">
        <v>1</v>
      </c>
      <c r="BA109">
        <v>1</v>
      </c>
      <c r="BB109">
        <v>1</v>
      </c>
      <c r="BC109">
        <v>1</v>
      </c>
      <c r="BD109" t="s">
        <v>3</v>
      </c>
      <c r="BE109" t="s">
        <v>3</v>
      </c>
      <c r="BF109" t="s">
        <v>3</v>
      </c>
      <c r="BG109" t="s">
        <v>3</v>
      </c>
      <c r="BH109">
        <v>0</v>
      </c>
      <c r="BI109">
        <v>4</v>
      </c>
      <c r="BJ109" t="s">
        <v>118</v>
      </c>
      <c r="BM109">
        <v>1</v>
      </c>
      <c r="BN109">
        <v>0</v>
      </c>
      <c r="BO109" t="s">
        <v>3</v>
      </c>
      <c r="BP109">
        <v>0</v>
      </c>
      <c r="BQ109">
        <v>1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 t="s">
        <v>3</v>
      </c>
      <c r="BZ109">
        <v>0</v>
      </c>
      <c r="CA109">
        <v>0</v>
      </c>
      <c r="CE109">
        <v>0</v>
      </c>
      <c r="CF109">
        <v>0</v>
      </c>
      <c r="CG109">
        <v>0</v>
      </c>
      <c r="CM109">
        <v>0</v>
      </c>
      <c r="CN109" t="s">
        <v>3</v>
      </c>
      <c r="CO109">
        <v>0</v>
      </c>
      <c r="CP109">
        <f>(P109+Q109+S109)</f>
        <v>9991.34</v>
      </c>
      <c r="CQ109">
        <f>(AC109*BC109*AW109)</f>
        <v>0</v>
      </c>
      <c r="CR109">
        <f>((((ET109)*BB109-(EU109)*BS109)+AE109*BS109)*AV109)</f>
        <v>56.41</v>
      </c>
      <c r="CS109">
        <f>(AE109*BS109*AV109)</f>
        <v>30.63</v>
      </c>
      <c r="CT109">
        <f>(AF109*BA109*AV109)</f>
        <v>0</v>
      </c>
      <c r="CU109">
        <f>AG109</f>
        <v>0</v>
      </c>
      <c r="CV109">
        <f>(AH109*AV109)</f>
        <v>0</v>
      </c>
      <c r="CW109">
        <f>AI109</f>
        <v>0</v>
      </c>
      <c r="CX109">
        <f>AJ109</f>
        <v>0</v>
      </c>
      <c r="CY109">
        <f>((S109*BZ109)/100)</f>
        <v>0</v>
      </c>
      <c r="CZ109">
        <f>((S109*CA109)/100)</f>
        <v>0</v>
      </c>
      <c r="DC109" t="s">
        <v>3</v>
      </c>
      <c r="DD109" t="s">
        <v>3</v>
      </c>
      <c r="DE109" t="s">
        <v>3</v>
      </c>
      <c r="DF109" t="s">
        <v>3</v>
      </c>
      <c r="DG109" t="s">
        <v>3</v>
      </c>
      <c r="DH109" t="s">
        <v>3</v>
      </c>
      <c r="DI109" t="s">
        <v>3</v>
      </c>
      <c r="DJ109" t="s">
        <v>3</v>
      </c>
      <c r="DK109" t="s">
        <v>3</v>
      </c>
      <c r="DL109" t="s">
        <v>3</v>
      </c>
      <c r="DM109" t="s">
        <v>3</v>
      </c>
      <c r="DN109">
        <v>0</v>
      </c>
      <c r="DO109">
        <v>0</v>
      </c>
      <c r="DP109">
        <v>1</v>
      </c>
      <c r="DQ109">
        <v>1</v>
      </c>
      <c r="DU109">
        <v>1009</v>
      </c>
      <c r="DV109" t="s">
        <v>117</v>
      </c>
      <c r="DW109" t="s">
        <v>117</v>
      </c>
      <c r="DX109">
        <v>1000</v>
      </c>
      <c r="DZ109" t="s">
        <v>3</v>
      </c>
      <c r="EA109" t="s">
        <v>3</v>
      </c>
      <c r="EB109" t="s">
        <v>3</v>
      </c>
      <c r="EC109" t="s">
        <v>3</v>
      </c>
      <c r="EE109">
        <v>37377621</v>
      </c>
      <c r="EF109">
        <v>1</v>
      </c>
      <c r="EG109" t="s">
        <v>20</v>
      </c>
      <c r="EH109">
        <v>0</v>
      </c>
      <c r="EI109" t="s">
        <v>3</v>
      </c>
      <c r="EJ109">
        <v>4</v>
      </c>
      <c r="EK109">
        <v>1</v>
      </c>
      <c r="EL109" t="s">
        <v>119</v>
      </c>
      <c r="EM109" t="s">
        <v>22</v>
      </c>
      <c r="EO109" t="s">
        <v>3</v>
      </c>
      <c r="EQ109">
        <v>0</v>
      </c>
      <c r="ER109">
        <v>56.41</v>
      </c>
      <c r="ES109">
        <v>0</v>
      </c>
      <c r="ET109">
        <v>56.41</v>
      </c>
      <c r="EU109">
        <v>30.63</v>
      </c>
      <c r="EV109">
        <v>0</v>
      </c>
      <c r="EW109">
        <v>0</v>
      </c>
      <c r="EX109">
        <v>0</v>
      </c>
      <c r="EY109">
        <v>0</v>
      </c>
      <c r="FQ109">
        <v>0</v>
      </c>
      <c r="FR109">
        <f>ROUND(IF(AND(BH109=3,BI109=3),P109,0),2)</f>
        <v>0</v>
      </c>
      <c r="FS109">
        <v>0</v>
      </c>
      <c r="FX109">
        <v>0</v>
      </c>
      <c r="FY109">
        <v>0</v>
      </c>
      <c r="GA109" t="s">
        <v>3</v>
      </c>
      <c r="GD109">
        <v>1</v>
      </c>
      <c r="GF109">
        <v>-1630039258</v>
      </c>
      <c r="GG109">
        <v>2</v>
      </c>
      <c r="GH109">
        <v>1</v>
      </c>
      <c r="GI109">
        <v>-2</v>
      </c>
      <c r="GJ109">
        <v>0</v>
      </c>
      <c r="GK109">
        <v>0</v>
      </c>
      <c r="GL109">
        <f>ROUND(IF(AND(BH109=3,BI109=3,FS109&lt;&gt;0),P109,0),2)</f>
        <v>0</v>
      </c>
      <c r="GM109">
        <f>ROUND(O109+X109+Y109,2)+GX109</f>
        <v>9991.34</v>
      </c>
      <c r="GN109">
        <f>IF(OR(BI109=0,BI109=1),ROUND(O109+X109+Y109,2),0)</f>
        <v>0</v>
      </c>
      <c r="GO109">
        <f>IF(BI109=2,ROUND(O109+X109+Y109,2),0)</f>
        <v>0</v>
      </c>
      <c r="GP109">
        <f>IF(BI109=4,ROUND(O109+X109+Y109,2)+GX109,0)</f>
        <v>9991.34</v>
      </c>
      <c r="GR109">
        <v>0</v>
      </c>
      <c r="GS109">
        <v>3</v>
      </c>
      <c r="GT109">
        <v>0</v>
      </c>
      <c r="GU109" t="s">
        <v>3</v>
      </c>
      <c r="GV109">
        <f>ROUND((GT109),6)</f>
        <v>0</v>
      </c>
      <c r="GW109">
        <v>1</v>
      </c>
      <c r="GX109">
        <f>ROUND(HC109*I109,2)</f>
        <v>0</v>
      </c>
      <c r="HA109">
        <v>0</v>
      </c>
      <c r="HB109">
        <v>0</v>
      </c>
      <c r="HC109">
        <f>GV109*GW109</f>
        <v>0</v>
      </c>
      <c r="HE109" t="s">
        <v>3</v>
      </c>
      <c r="HF109" t="s">
        <v>3</v>
      </c>
      <c r="IK109">
        <v>0</v>
      </c>
    </row>
    <row r="110" spans="1:245" x14ac:dyDescent="0.2">
      <c r="A110">
        <v>17</v>
      </c>
      <c r="B110">
        <v>1</v>
      </c>
      <c r="C110">
        <f>ROW(SmtRes!A53)</f>
        <v>53</v>
      </c>
      <c r="D110">
        <f>ROW(EtalonRes!A53)</f>
        <v>53</v>
      </c>
      <c r="E110" t="s">
        <v>120</v>
      </c>
      <c r="F110" t="s">
        <v>121</v>
      </c>
      <c r="G110" t="s">
        <v>122</v>
      </c>
      <c r="H110" t="s">
        <v>117</v>
      </c>
      <c r="I110">
        <v>177.12</v>
      </c>
      <c r="J110">
        <v>0</v>
      </c>
      <c r="O110">
        <f>ROUND(CP110,2)</f>
        <v>137755.07999999999</v>
      </c>
      <c r="P110">
        <f>ROUND(CQ110*I110,2)</f>
        <v>0</v>
      </c>
      <c r="Q110">
        <f>ROUND(CR110*I110,2)</f>
        <v>137755.07999999999</v>
      </c>
      <c r="R110">
        <f>ROUND(CS110*I110,2)</f>
        <v>74794.23</v>
      </c>
      <c r="S110">
        <f>ROUND(CT110*I110,2)</f>
        <v>0</v>
      </c>
      <c r="T110">
        <f>ROUND(CU110*I110,2)</f>
        <v>0</v>
      </c>
      <c r="U110">
        <f>CV110*I110</f>
        <v>0</v>
      </c>
      <c r="V110">
        <f>CW110*I110</f>
        <v>0</v>
      </c>
      <c r="W110">
        <f>ROUND(CX110*I110,2)</f>
        <v>0</v>
      </c>
      <c r="X110">
        <f>ROUND(CY110,2)</f>
        <v>0</v>
      </c>
      <c r="Y110">
        <f>ROUND(CZ110,2)</f>
        <v>0</v>
      </c>
      <c r="AA110">
        <v>38115817</v>
      </c>
      <c r="AB110">
        <f>ROUND((AC110+AD110+AF110),6)</f>
        <v>777.75</v>
      </c>
      <c r="AC110">
        <f>ROUND((ES110),6)</f>
        <v>0</v>
      </c>
      <c r="AD110">
        <f>ROUND(((((ET110*51))-((EU110*51)))+AE110),6)</f>
        <v>777.75</v>
      </c>
      <c r="AE110">
        <f>ROUND(((EU110*51)),6)</f>
        <v>422.28</v>
      </c>
      <c r="AF110">
        <f>ROUND(((EV110*51)),6)</f>
        <v>0</v>
      </c>
      <c r="AG110">
        <f>ROUND((AP110),6)</f>
        <v>0</v>
      </c>
      <c r="AH110">
        <f>((EW110*51))</f>
        <v>0</v>
      </c>
      <c r="AI110">
        <f>((EX110*51))</f>
        <v>0</v>
      </c>
      <c r="AJ110">
        <f>(AS110)</f>
        <v>0</v>
      </c>
      <c r="AK110">
        <v>15.25</v>
      </c>
      <c r="AL110">
        <v>0</v>
      </c>
      <c r="AM110">
        <v>15.25</v>
      </c>
      <c r="AN110">
        <v>8.2799999999999994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Z110">
        <v>1</v>
      </c>
      <c r="BA110">
        <v>1</v>
      </c>
      <c r="BB110">
        <v>1</v>
      </c>
      <c r="BC110">
        <v>1</v>
      </c>
      <c r="BD110" t="s">
        <v>3</v>
      </c>
      <c r="BE110" t="s">
        <v>3</v>
      </c>
      <c r="BF110" t="s">
        <v>3</v>
      </c>
      <c r="BG110" t="s">
        <v>3</v>
      </c>
      <c r="BH110">
        <v>0</v>
      </c>
      <c r="BI110">
        <v>4</v>
      </c>
      <c r="BJ110" t="s">
        <v>123</v>
      </c>
      <c r="BM110">
        <v>1</v>
      </c>
      <c r="BN110">
        <v>0</v>
      </c>
      <c r="BO110" t="s">
        <v>3</v>
      </c>
      <c r="BP110">
        <v>0</v>
      </c>
      <c r="BQ110">
        <v>1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 t="s">
        <v>3</v>
      </c>
      <c r="BZ110">
        <v>0</v>
      </c>
      <c r="CA110">
        <v>0</v>
      </c>
      <c r="CE110">
        <v>0</v>
      </c>
      <c r="CF110">
        <v>0</v>
      </c>
      <c r="CG110">
        <v>0</v>
      </c>
      <c r="CM110">
        <v>0</v>
      </c>
      <c r="CN110" t="s">
        <v>3</v>
      </c>
      <c r="CO110">
        <v>0</v>
      </c>
      <c r="CP110">
        <f>(P110+Q110+S110)</f>
        <v>137755.07999999999</v>
      </c>
      <c r="CQ110">
        <f>(AC110*BC110*AW110)</f>
        <v>0</v>
      </c>
      <c r="CR110">
        <f>(((((ET110*51))*BB110-((EU110*51))*BS110)+AE110*BS110)*AV110)</f>
        <v>777.75</v>
      </c>
      <c r="CS110">
        <f>(AE110*BS110*AV110)</f>
        <v>422.28</v>
      </c>
      <c r="CT110">
        <f>(AF110*BA110*AV110)</f>
        <v>0</v>
      </c>
      <c r="CU110">
        <f>AG110</f>
        <v>0</v>
      </c>
      <c r="CV110">
        <f>(AH110*AV110)</f>
        <v>0</v>
      </c>
      <c r="CW110">
        <f>AI110</f>
        <v>0</v>
      </c>
      <c r="CX110">
        <f>AJ110</f>
        <v>0</v>
      </c>
      <c r="CY110">
        <f>((S110*BZ110)/100)</f>
        <v>0</v>
      </c>
      <c r="CZ110">
        <f>((S110*CA110)/100)</f>
        <v>0</v>
      </c>
      <c r="DC110" t="s">
        <v>3</v>
      </c>
      <c r="DD110" t="s">
        <v>3</v>
      </c>
      <c r="DE110" t="s">
        <v>124</v>
      </c>
      <c r="DF110" t="s">
        <v>124</v>
      </c>
      <c r="DG110" t="s">
        <v>124</v>
      </c>
      <c r="DH110" t="s">
        <v>3</v>
      </c>
      <c r="DI110" t="s">
        <v>124</v>
      </c>
      <c r="DJ110" t="s">
        <v>124</v>
      </c>
      <c r="DK110" t="s">
        <v>3</v>
      </c>
      <c r="DL110" t="s">
        <v>3</v>
      </c>
      <c r="DM110" t="s">
        <v>3</v>
      </c>
      <c r="DN110">
        <v>0</v>
      </c>
      <c r="DO110">
        <v>0</v>
      </c>
      <c r="DP110">
        <v>1</v>
      </c>
      <c r="DQ110">
        <v>1</v>
      </c>
      <c r="DU110">
        <v>1009</v>
      </c>
      <c r="DV110" t="s">
        <v>117</v>
      </c>
      <c r="DW110" t="s">
        <v>117</v>
      </c>
      <c r="DX110">
        <v>1000</v>
      </c>
      <c r="DZ110" t="s">
        <v>3</v>
      </c>
      <c r="EA110" t="s">
        <v>3</v>
      </c>
      <c r="EB110" t="s">
        <v>3</v>
      </c>
      <c r="EC110" t="s">
        <v>3</v>
      </c>
      <c r="EE110">
        <v>37377621</v>
      </c>
      <c r="EF110">
        <v>1</v>
      </c>
      <c r="EG110" t="s">
        <v>20</v>
      </c>
      <c r="EH110">
        <v>0</v>
      </c>
      <c r="EI110" t="s">
        <v>3</v>
      </c>
      <c r="EJ110">
        <v>4</v>
      </c>
      <c r="EK110">
        <v>1</v>
      </c>
      <c r="EL110" t="s">
        <v>119</v>
      </c>
      <c r="EM110" t="s">
        <v>22</v>
      </c>
      <c r="EO110" t="s">
        <v>3</v>
      </c>
      <c r="EQ110">
        <v>0</v>
      </c>
      <c r="ER110">
        <v>15.25</v>
      </c>
      <c r="ES110">
        <v>0</v>
      </c>
      <c r="ET110">
        <v>15.25</v>
      </c>
      <c r="EU110">
        <v>8.2799999999999994</v>
      </c>
      <c r="EV110">
        <v>0</v>
      </c>
      <c r="EW110">
        <v>0</v>
      </c>
      <c r="EX110">
        <v>0</v>
      </c>
      <c r="EY110">
        <v>0</v>
      </c>
      <c r="FQ110">
        <v>0</v>
      </c>
      <c r="FR110">
        <f>ROUND(IF(AND(BH110=3,BI110=3),P110,0),2)</f>
        <v>0</v>
      </c>
      <c r="FS110">
        <v>0</v>
      </c>
      <c r="FX110">
        <v>0</v>
      </c>
      <c r="FY110">
        <v>0</v>
      </c>
      <c r="GA110" t="s">
        <v>3</v>
      </c>
      <c r="GD110">
        <v>1</v>
      </c>
      <c r="GF110">
        <v>1992006915</v>
      </c>
      <c r="GG110">
        <v>2</v>
      </c>
      <c r="GH110">
        <v>1</v>
      </c>
      <c r="GI110">
        <v>-2</v>
      </c>
      <c r="GJ110">
        <v>0</v>
      </c>
      <c r="GK110">
        <v>0</v>
      </c>
      <c r="GL110">
        <f>ROUND(IF(AND(BH110=3,BI110=3,FS110&lt;&gt;0),P110,0),2)</f>
        <v>0</v>
      </c>
      <c r="GM110">
        <f>ROUND(O110+X110+Y110,2)+GX110</f>
        <v>137755.07999999999</v>
      </c>
      <c r="GN110">
        <f>IF(OR(BI110=0,BI110=1),ROUND(O110+X110+Y110,2),0)</f>
        <v>0</v>
      </c>
      <c r="GO110">
        <f>IF(BI110=2,ROUND(O110+X110+Y110,2),0)</f>
        <v>0</v>
      </c>
      <c r="GP110">
        <f>IF(BI110=4,ROUND(O110+X110+Y110,2)+GX110,0)</f>
        <v>137755.07999999999</v>
      </c>
      <c r="GR110">
        <v>0</v>
      </c>
      <c r="GS110">
        <v>3</v>
      </c>
      <c r="GT110">
        <v>0</v>
      </c>
      <c r="GU110" t="s">
        <v>3</v>
      </c>
      <c r="GV110">
        <f>ROUND((GT110),6)</f>
        <v>0</v>
      </c>
      <c r="GW110">
        <v>1</v>
      </c>
      <c r="GX110">
        <f>ROUND(HC110*I110,2)</f>
        <v>0</v>
      </c>
      <c r="HA110">
        <v>0</v>
      </c>
      <c r="HB110">
        <v>0</v>
      </c>
      <c r="HC110">
        <f>GV110*GW110</f>
        <v>0</v>
      </c>
      <c r="HE110" t="s">
        <v>3</v>
      </c>
      <c r="HF110" t="s">
        <v>3</v>
      </c>
      <c r="IK110">
        <v>0</v>
      </c>
    </row>
    <row r="112" spans="1:245" x14ac:dyDescent="0.2">
      <c r="A112" s="2">
        <v>51</v>
      </c>
      <c r="B112" s="2">
        <f>B105</f>
        <v>1</v>
      </c>
      <c r="C112" s="2">
        <f>A105</f>
        <v>4</v>
      </c>
      <c r="D112" s="2">
        <f>ROW(A105)</f>
        <v>105</v>
      </c>
      <c r="E112" s="2"/>
      <c r="F112" s="2" t="str">
        <f>IF(F105&lt;&gt;"",F105,"")</f>
        <v>Новый раздел</v>
      </c>
      <c r="G112" s="2" t="str">
        <f>IF(G105&lt;&gt;"",G105,"")</f>
        <v>Перевозка отходов асфальта</v>
      </c>
      <c r="H112" s="2">
        <v>0</v>
      </c>
      <c r="I112" s="2"/>
      <c r="J112" s="2"/>
      <c r="K112" s="2"/>
      <c r="L112" s="2"/>
      <c r="M112" s="2"/>
      <c r="N112" s="2"/>
      <c r="O112" s="2">
        <f t="shared" ref="O112:T112" si="76">ROUND(AB112,2)</f>
        <v>147746.42000000001</v>
      </c>
      <c r="P112" s="2">
        <f t="shared" si="76"/>
        <v>0</v>
      </c>
      <c r="Q112" s="2">
        <f t="shared" si="76"/>
        <v>147746.42000000001</v>
      </c>
      <c r="R112" s="2">
        <f t="shared" si="76"/>
        <v>80219.42</v>
      </c>
      <c r="S112" s="2">
        <f t="shared" si="76"/>
        <v>0</v>
      </c>
      <c r="T112" s="2">
        <f t="shared" si="76"/>
        <v>0</v>
      </c>
      <c r="U112" s="2">
        <f>AH112</f>
        <v>0</v>
      </c>
      <c r="V112" s="2">
        <f>AI112</f>
        <v>0</v>
      </c>
      <c r="W112" s="2">
        <f>ROUND(AJ112,2)</f>
        <v>0</v>
      </c>
      <c r="X112" s="2">
        <f>ROUND(AK112,2)</f>
        <v>0</v>
      </c>
      <c r="Y112" s="2">
        <f>ROUND(AL112,2)</f>
        <v>0</v>
      </c>
      <c r="Z112" s="2"/>
      <c r="AA112" s="2"/>
      <c r="AB112" s="2">
        <f>ROUND(SUMIF(AA109:AA110,"=38115817",O109:O110),2)</f>
        <v>147746.42000000001</v>
      </c>
      <c r="AC112" s="2">
        <f>ROUND(SUMIF(AA109:AA110,"=38115817",P109:P110),2)</f>
        <v>0</v>
      </c>
      <c r="AD112" s="2">
        <f>ROUND(SUMIF(AA109:AA110,"=38115817",Q109:Q110),2)</f>
        <v>147746.42000000001</v>
      </c>
      <c r="AE112" s="2">
        <f>ROUND(SUMIF(AA109:AA110,"=38115817",R109:R110),2)</f>
        <v>80219.42</v>
      </c>
      <c r="AF112" s="2">
        <f>ROUND(SUMIF(AA109:AA110,"=38115817",S109:S110),2)</f>
        <v>0</v>
      </c>
      <c r="AG112" s="2">
        <f>ROUND(SUMIF(AA109:AA110,"=38115817",T109:T110),2)</f>
        <v>0</v>
      </c>
      <c r="AH112" s="2">
        <f>SUMIF(AA109:AA110,"=38115817",U109:U110)</f>
        <v>0</v>
      </c>
      <c r="AI112" s="2">
        <f>SUMIF(AA109:AA110,"=38115817",V109:V110)</f>
        <v>0</v>
      </c>
      <c r="AJ112" s="2">
        <f>ROUND(SUMIF(AA109:AA110,"=38115817",W109:W110),2)</f>
        <v>0</v>
      </c>
      <c r="AK112" s="2">
        <f>ROUND(SUMIF(AA109:AA110,"=38115817",X109:X110),2)</f>
        <v>0</v>
      </c>
      <c r="AL112" s="2">
        <f>ROUND(SUMIF(AA109:AA110,"=38115817",Y109:Y110),2)</f>
        <v>0</v>
      </c>
      <c r="AM112" s="2"/>
      <c r="AN112" s="2"/>
      <c r="AO112" s="2">
        <f t="shared" ref="AO112:BD112" si="77">ROUND(BX112,2)</f>
        <v>0</v>
      </c>
      <c r="AP112" s="2">
        <f t="shared" si="77"/>
        <v>0</v>
      </c>
      <c r="AQ112" s="2">
        <f t="shared" si="77"/>
        <v>0</v>
      </c>
      <c r="AR112" s="2">
        <f t="shared" si="77"/>
        <v>147746.42000000001</v>
      </c>
      <c r="AS112" s="2">
        <f t="shared" si="77"/>
        <v>0</v>
      </c>
      <c r="AT112" s="2">
        <f t="shared" si="77"/>
        <v>0</v>
      </c>
      <c r="AU112" s="2">
        <f t="shared" si="77"/>
        <v>147746.42000000001</v>
      </c>
      <c r="AV112" s="2">
        <f t="shared" si="77"/>
        <v>0</v>
      </c>
      <c r="AW112" s="2">
        <f t="shared" si="77"/>
        <v>0</v>
      </c>
      <c r="AX112" s="2">
        <f t="shared" si="77"/>
        <v>0</v>
      </c>
      <c r="AY112" s="2">
        <f t="shared" si="77"/>
        <v>0</v>
      </c>
      <c r="AZ112" s="2">
        <f t="shared" si="77"/>
        <v>0</v>
      </c>
      <c r="BA112" s="2">
        <f t="shared" si="77"/>
        <v>0</v>
      </c>
      <c r="BB112" s="2">
        <f t="shared" si="77"/>
        <v>0</v>
      </c>
      <c r="BC112" s="2">
        <f t="shared" si="77"/>
        <v>0</v>
      </c>
      <c r="BD112" s="2">
        <f t="shared" si="77"/>
        <v>0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>
        <f>ROUND(SUMIF(AA109:AA110,"=38115817",FQ109:FQ110),2)</f>
        <v>0</v>
      </c>
      <c r="BY112" s="2">
        <f>ROUND(SUMIF(AA109:AA110,"=38115817",FR109:FR110),2)</f>
        <v>0</v>
      </c>
      <c r="BZ112" s="2">
        <f>ROUND(SUMIF(AA109:AA110,"=38115817",GL109:GL110),2)</f>
        <v>0</v>
      </c>
      <c r="CA112" s="2">
        <f>ROUND(SUMIF(AA109:AA110,"=38115817",GM109:GM110),2)</f>
        <v>147746.42000000001</v>
      </c>
      <c r="CB112" s="2">
        <f>ROUND(SUMIF(AA109:AA110,"=38115817",GN109:GN110),2)</f>
        <v>0</v>
      </c>
      <c r="CC112" s="2">
        <f>ROUND(SUMIF(AA109:AA110,"=38115817",GO109:GO110),2)</f>
        <v>0</v>
      </c>
      <c r="CD112" s="2">
        <f>ROUND(SUMIF(AA109:AA110,"=38115817",GP109:GP110),2)</f>
        <v>147746.42000000001</v>
      </c>
      <c r="CE112" s="2">
        <f>AC112-BX112</f>
        <v>0</v>
      </c>
      <c r="CF112" s="2">
        <f>AC112-BY112</f>
        <v>0</v>
      </c>
      <c r="CG112" s="2">
        <f>BX112-BZ112</f>
        <v>0</v>
      </c>
      <c r="CH112" s="2">
        <f>AC112-BX112-BY112+BZ112</f>
        <v>0</v>
      </c>
      <c r="CI112" s="2">
        <f>BY112-BZ112</f>
        <v>0</v>
      </c>
      <c r="CJ112" s="2">
        <f>ROUND(SUMIF(AA109:AA110,"=38115817",GX109:GX110),2)</f>
        <v>0</v>
      </c>
      <c r="CK112" s="2">
        <f>ROUND(SUMIF(AA109:AA110,"=38115817",GY109:GY110),2)</f>
        <v>0</v>
      </c>
      <c r="CL112" s="2">
        <f>ROUND(SUMIF(AA109:AA110,"=38115817",GZ109:GZ110),2)</f>
        <v>0</v>
      </c>
      <c r="CM112" s="2">
        <f>ROUND(SUMIF(AA109:AA110,"=38115817",HD109:HD110),2)</f>
        <v>0</v>
      </c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>
        <v>0</v>
      </c>
    </row>
    <row r="114" spans="1:23" x14ac:dyDescent="0.2">
      <c r="A114" s="4">
        <v>50</v>
      </c>
      <c r="B114" s="4">
        <v>0</v>
      </c>
      <c r="C114" s="4">
        <v>0</v>
      </c>
      <c r="D114" s="4">
        <v>1</v>
      </c>
      <c r="E114" s="4">
        <v>201</v>
      </c>
      <c r="F114" s="4">
        <f>ROUND(Source!O112,O114)</f>
        <v>147746.42000000001</v>
      </c>
      <c r="G114" s="4" t="s">
        <v>55</v>
      </c>
      <c r="H114" s="4" t="s">
        <v>56</v>
      </c>
      <c r="I114" s="4"/>
      <c r="J114" s="4"/>
      <c r="K114" s="4">
        <v>201</v>
      </c>
      <c r="L114" s="4">
        <v>1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>
        <v>50</v>
      </c>
      <c r="B115" s="4">
        <v>0</v>
      </c>
      <c r="C115" s="4">
        <v>0</v>
      </c>
      <c r="D115" s="4">
        <v>1</v>
      </c>
      <c r="E115" s="4">
        <v>202</v>
      </c>
      <c r="F115" s="4">
        <f>ROUND(Source!P112,O115)</f>
        <v>0</v>
      </c>
      <c r="G115" s="4" t="s">
        <v>57</v>
      </c>
      <c r="H115" s="4" t="s">
        <v>58</v>
      </c>
      <c r="I115" s="4"/>
      <c r="J115" s="4"/>
      <c r="K115" s="4">
        <v>202</v>
      </c>
      <c r="L115" s="4">
        <v>2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>
        <v>50</v>
      </c>
      <c r="B116" s="4">
        <v>0</v>
      </c>
      <c r="C116" s="4">
        <v>0</v>
      </c>
      <c r="D116" s="4">
        <v>1</v>
      </c>
      <c r="E116" s="4">
        <v>222</v>
      </c>
      <c r="F116" s="4">
        <f>ROUND(Source!AO112,O116)</f>
        <v>0</v>
      </c>
      <c r="G116" s="4" t="s">
        <v>59</v>
      </c>
      <c r="H116" s="4" t="s">
        <v>60</v>
      </c>
      <c r="I116" s="4"/>
      <c r="J116" s="4"/>
      <c r="K116" s="4">
        <v>222</v>
      </c>
      <c r="L116" s="4">
        <v>3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>
        <v>50</v>
      </c>
      <c r="B117" s="4">
        <v>0</v>
      </c>
      <c r="C117" s="4">
        <v>0</v>
      </c>
      <c r="D117" s="4">
        <v>1</v>
      </c>
      <c r="E117" s="4">
        <v>225</v>
      </c>
      <c r="F117" s="4">
        <f>ROUND(Source!AV112,O117)</f>
        <v>0</v>
      </c>
      <c r="G117" s="4" t="s">
        <v>61</v>
      </c>
      <c r="H117" s="4" t="s">
        <v>62</v>
      </c>
      <c r="I117" s="4"/>
      <c r="J117" s="4"/>
      <c r="K117" s="4">
        <v>225</v>
      </c>
      <c r="L117" s="4">
        <v>4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>
        <v>50</v>
      </c>
      <c r="B118" s="4">
        <v>0</v>
      </c>
      <c r="C118" s="4">
        <v>0</v>
      </c>
      <c r="D118" s="4">
        <v>1</v>
      </c>
      <c r="E118" s="4">
        <v>226</v>
      </c>
      <c r="F118" s="4">
        <f>ROUND(Source!AW112,O118)</f>
        <v>0</v>
      </c>
      <c r="G118" s="4" t="s">
        <v>63</v>
      </c>
      <c r="H118" s="4" t="s">
        <v>64</v>
      </c>
      <c r="I118" s="4"/>
      <c r="J118" s="4"/>
      <c r="K118" s="4">
        <v>226</v>
      </c>
      <c r="L118" s="4">
        <v>5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>
        <v>50</v>
      </c>
      <c r="B119" s="4">
        <v>0</v>
      </c>
      <c r="C119" s="4">
        <v>0</v>
      </c>
      <c r="D119" s="4">
        <v>1</v>
      </c>
      <c r="E119" s="4">
        <v>227</v>
      </c>
      <c r="F119" s="4">
        <f>ROUND(Source!AX112,O119)</f>
        <v>0</v>
      </c>
      <c r="G119" s="4" t="s">
        <v>65</v>
      </c>
      <c r="H119" s="4" t="s">
        <v>66</v>
      </c>
      <c r="I119" s="4"/>
      <c r="J119" s="4"/>
      <c r="K119" s="4">
        <v>227</v>
      </c>
      <c r="L119" s="4">
        <v>6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>
        <v>50</v>
      </c>
      <c r="B120" s="4">
        <v>0</v>
      </c>
      <c r="C120" s="4">
        <v>0</v>
      </c>
      <c r="D120" s="4">
        <v>1</v>
      </c>
      <c r="E120" s="4">
        <v>228</v>
      </c>
      <c r="F120" s="4">
        <f>ROUND(Source!AY112,O120)</f>
        <v>0</v>
      </c>
      <c r="G120" s="4" t="s">
        <v>67</v>
      </c>
      <c r="H120" s="4" t="s">
        <v>68</v>
      </c>
      <c r="I120" s="4"/>
      <c r="J120" s="4"/>
      <c r="K120" s="4">
        <v>228</v>
      </c>
      <c r="L120" s="4">
        <v>7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>
        <v>50</v>
      </c>
      <c r="B121" s="4">
        <v>0</v>
      </c>
      <c r="C121" s="4">
        <v>0</v>
      </c>
      <c r="D121" s="4">
        <v>1</v>
      </c>
      <c r="E121" s="4">
        <v>216</v>
      </c>
      <c r="F121" s="4">
        <f>ROUND(Source!AP112,O121)</f>
        <v>0</v>
      </c>
      <c r="G121" s="4" t="s">
        <v>69</v>
      </c>
      <c r="H121" s="4" t="s">
        <v>70</v>
      </c>
      <c r="I121" s="4"/>
      <c r="J121" s="4"/>
      <c r="K121" s="4">
        <v>216</v>
      </c>
      <c r="L121" s="4">
        <v>8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>
        <v>50</v>
      </c>
      <c r="B122" s="4">
        <v>0</v>
      </c>
      <c r="C122" s="4">
        <v>0</v>
      </c>
      <c r="D122" s="4">
        <v>1</v>
      </c>
      <c r="E122" s="4">
        <v>223</v>
      </c>
      <c r="F122" s="4">
        <f>ROUND(Source!AQ112,O122)</f>
        <v>0</v>
      </c>
      <c r="G122" s="4" t="s">
        <v>71</v>
      </c>
      <c r="H122" s="4" t="s">
        <v>72</v>
      </c>
      <c r="I122" s="4"/>
      <c r="J122" s="4"/>
      <c r="K122" s="4">
        <v>223</v>
      </c>
      <c r="L122" s="4">
        <v>9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>
        <v>50</v>
      </c>
      <c r="B123" s="4">
        <v>0</v>
      </c>
      <c r="C123" s="4">
        <v>0</v>
      </c>
      <c r="D123" s="4">
        <v>1</v>
      </c>
      <c r="E123" s="4">
        <v>229</v>
      </c>
      <c r="F123" s="4">
        <f>ROUND(Source!AZ112,O123)</f>
        <v>0</v>
      </c>
      <c r="G123" s="4" t="s">
        <v>73</v>
      </c>
      <c r="H123" s="4" t="s">
        <v>74</v>
      </c>
      <c r="I123" s="4"/>
      <c r="J123" s="4"/>
      <c r="K123" s="4">
        <v>229</v>
      </c>
      <c r="L123" s="4">
        <v>10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>
        <v>50</v>
      </c>
      <c r="B124" s="4">
        <v>0</v>
      </c>
      <c r="C124" s="4">
        <v>0</v>
      </c>
      <c r="D124" s="4">
        <v>1</v>
      </c>
      <c r="E124" s="4">
        <v>203</v>
      </c>
      <c r="F124" s="4">
        <f>ROUND(Source!Q112,O124)</f>
        <v>147746.42000000001</v>
      </c>
      <c r="G124" s="4" t="s">
        <v>75</v>
      </c>
      <c r="H124" s="4" t="s">
        <v>76</v>
      </c>
      <c r="I124" s="4"/>
      <c r="J124" s="4"/>
      <c r="K124" s="4">
        <v>203</v>
      </c>
      <c r="L124" s="4">
        <v>11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>
        <v>50</v>
      </c>
      <c r="B125" s="4">
        <v>0</v>
      </c>
      <c r="C125" s="4">
        <v>0</v>
      </c>
      <c r="D125" s="4">
        <v>1</v>
      </c>
      <c r="E125" s="4">
        <v>231</v>
      </c>
      <c r="F125" s="4">
        <f>ROUND(Source!BB112,O125)</f>
        <v>0</v>
      </c>
      <c r="G125" s="4" t="s">
        <v>77</v>
      </c>
      <c r="H125" s="4" t="s">
        <v>78</v>
      </c>
      <c r="I125" s="4"/>
      <c r="J125" s="4"/>
      <c r="K125" s="4">
        <v>231</v>
      </c>
      <c r="L125" s="4">
        <v>12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>
        <v>50</v>
      </c>
      <c r="B126" s="4">
        <v>0</v>
      </c>
      <c r="C126" s="4">
        <v>0</v>
      </c>
      <c r="D126" s="4">
        <v>1</v>
      </c>
      <c r="E126" s="4">
        <v>204</v>
      </c>
      <c r="F126" s="4">
        <f>ROUND(Source!R112,O126)</f>
        <v>80219.42</v>
      </c>
      <c r="G126" s="4" t="s">
        <v>79</v>
      </c>
      <c r="H126" s="4" t="s">
        <v>80</v>
      </c>
      <c r="I126" s="4"/>
      <c r="J126" s="4"/>
      <c r="K126" s="4">
        <v>204</v>
      </c>
      <c r="L126" s="4">
        <v>13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>
        <v>50</v>
      </c>
      <c r="B127" s="4">
        <v>0</v>
      </c>
      <c r="C127" s="4">
        <v>0</v>
      </c>
      <c r="D127" s="4">
        <v>1</v>
      </c>
      <c r="E127" s="4">
        <v>205</v>
      </c>
      <c r="F127" s="4">
        <f>ROUND(Source!S112,O127)</f>
        <v>0</v>
      </c>
      <c r="G127" s="4" t="s">
        <v>81</v>
      </c>
      <c r="H127" s="4" t="s">
        <v>82</v>
      </c>
      <c r="I127" s="4"/>
      <c r="J127" s="4"/>
      <c r="K127" s="4">
        <v>205</v>
      </c>
      <c r="L127" s="4">
        <v>14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>
        <v>50</v>
      </c>
      <c r="B128" s="4">
        <v>0</v>
      </c>
      <c r="C128" s="4">
        <v>0</v>
      </c>
      <c r="D128" s="4">
        <v>1</v>
      </c>
      <c r="E128" s="4">
        <v>232</v>
      </c>
      <c r="F128" s="4">
        <f>ROUND(Source!BC112,O128)</f>
        <v>0</v>
      </c>
      <c r="G128" s="4" t="s">
        <v>83</v>
      </c>
      <c r="H128" s="4" t="s">
        <v>84</v>
      </c>
      <c r="I128" s="4"/>
      <c r="J128" s="4"/>
      <c r="K128" s="4">
        <v>232</v>
      </c>
      <c r="L128" s="4">
        <v>15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06" x14ac:dyDescent="0.2">
      <c r="A129" s="4">
        <v>50</v>
      </c>
      <c r="B129" s="4">
        <v>0</v>
      </c>
      <c r="C129" s="4">
        <v>0</v>
      </c>
      <c r="D129" s="4">
        <v>1</v>
      </c>
      <c r="E129" s="4">
        <v>214</v>
      </c>
      <c r="F129" s="4">
        <f>ROUND(Source!AS112,O129)</f>
        <v>0</v>
      </c>
      <c r="G129" s="4" t="s">
        <v>85</v>
      </c>
      <c r="H129" s="4" t="s">
        <v>86</v>
      </c>
      <c r="I129" s="4"/>
      <c r="J129" s="4"/>
      <c r="K129" s="4">
        <v>214</v>
      </c>
      <c r="L129" s="4">
        <v>16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06" x14ac:dyDescent="0.2">
      <c r="A130" s="4">
        <v>50</v>
      </c>
      <c r="B130" s="4">
        <v>0</v>
      </c>
      <c r="C130" s="4">
        <v>0</v>
      </c>
      <c r="D130" s="4">
        <v>1</v>
      </c>
      <c r="E130" s="4">
        <v>215</v>
      </c>
      <c r="F130" s="4">
        <f>ROUND(Source!AT112,O130)</f>
        <v>0</v>
      </c>
      <c r="G130" s="4" t="s">
        <v>87</v>
      </c>
      <c r="H130" s="4" t="s">
        <v>88</v>
      </c>
      <c r="I130" s="4"/>
      <c r="J130" s="4"/>
      <c r="K130" s="4">
        <v>215</v>
      </c>
      <c r="L130" s="4">
        <v>17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06" x14ac:dyDescent="0.2">
      <c r="A131" s="4">
        <v>50</v>
      </c>
      <c r="B131" s="4">
        <v>0</v>
      </c>
      <c r="C131" s="4">
        <v>0</v>
      </c>
      <c r="D131" s="4">
        <v>1</v>
      </c>
      <c r="E131" s="4">
        <v>217</v>
      </c>
      <c r="F131" s="4">
        <f>ROUND(Source!AU112,O131)</f>
        <v>147746.42000000001</v>
      </c>
      <c r="G131" s="4" t="s">
        <v>89</v>
      </c>
      <c r="H131" s="4" t="s">
        <v>90</v>
      </c>
      <c r="I131" s="4"/>
      <c r="J131" s="4"/>
      <c r="K131" s="4">
        <v>217</v>
      </c>
      <c r="L131" s="4">
        <v>18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06" x14ac:dyDescent="0.2">
      <c r="A132" s="4">
        <v>50</v>
      </c>
      <c r="B132" s="4">
        <v>0</v>
      </c>
      <c r="C132" s="4">
        <v>0</v>
      </c>
      <c r="D132" s="4">
        <v>1</v>
      </c>
      <c r="E132" s="4">
        <v>230</v>
      </c>
      <c r="F132" s="4">
        <f>ROUND(Source!BA112,O132)</f>
        <v>0</v>
      </c>
      <c r="G132" s="4" t="s">
        <v>91</v>
      </c>
      <c r="H132" s="4" t="s">
        <v>92</v>
      </c>
      <c r="I132" s="4"/>
      <c r="J132" s="4"/>
      <c r="K132" s="4">
        <v>230</v>
      </c>
      <c r="L132" s="4">
        <v>19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06" x14ac:dyDescent="0.2">
      <c r="A133" s="4">
        <v>50</v>
      </c>
      <c r="B133" s="4">
        <v>0</v>
      </c>
      <c r="C133" s="4">
        <v>0</v>
      </c>
      <c r="D133" s="4">
        <v>1</v>
      </c>
      <c r="E133" s="4">
        <v>206</v>
      </c>
      <c r="F133" s="4">
        <f>ROUND(Source!T112,O133)</f>
        <v>0</v>
      </c>
      <c r="G133" s="4" t="s">
        <v>93</v>
      </c>
      <c r="H133" s="4" t="s">
        <v>94</v>
      </c>
      <c r="I133" s="4"/>
      <c r="J133" s="4"/>
      <c r="K133" s="4">
        <v>206</v>
      </c>
      <c r="L133" s="4">
        <v>20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06" x14ac:dyDescent="0.2">
      <c r="A134" s="4">
        <v>50</v>
      </c>
      <c r="B134" s="4">
        <v>0</v>
      </c>
      <c r="C134" s="4">
        <v>0</v>
      </c>
      <c r="D134" s="4">
        <v>1</v>
      </c>
      <c r="E134" s="4">
        <v>207</v>
      </c>
      <c r="F134" s="4">
        <f>Source!U112</f>
        <v>0</v>
      </c>
      <c r="G134" s="4" t="s">
        <v>95</v>
      </c>
      <c r="H134" s="4" t="s">
        <v>96</v>
      </c>
      <c r="I134" s="4"/>
      <c r="J134" s="4"/>
      <c r="K134" s="4">
        <v>207</v>
      </c>
      <c r="L134" s="4">
        <v>21</v>
      </c>
      <c r="M134" s="4">
        <v>3</v>
      </c>
      <c r="N134" s="4" t="s">
        <v>3</v>
      </c>
      <c r="O134" s="4">
        <v>-1</v>
      </c>
      <c r="P134" s="4"/>
      <c r="Q134" s="4"/>
      <c r="R134" s="4"/>
      <c r="S134" s="4"/>
      <c r="T134" s="4"/>
      <c r="U134" s="4"/>
      <c r="V134" s="4"/>
      <c r="W134" s="4"/>
    </row>
    <row r="135" spans="1:206" x14ac:dyDescent="0.2">
      <c r="A135" s="4">
        <v>50</v>
      </c>
      <c r="B135" s="4">
        <v>0</v>
      </c>
      <c r="C135" s="4">
        <v>0</v>
      </c>
      <c r="D135" s="4">
        <v>1</v>
      </c>
      <c r="E135" s="4">
        <v>208</v>
      </c>
      <c r="F135" s="4">
        <f>Source!V112</f>
        <v>0</v>
      </c>
      <c r="G135" s="4" t="s">
        <v>97</v>
      </c>
      <c r="H135" s="4" t="s">
        <v>98</v>
      </c>
      <c r="I135" s="4"/>
      <c r="J135" s="4"/>
      <c r="K135" s="4">
        <v>208</v>
      </c>
      <c r="L135" s="4">
        <v>22</v>
      </c>
      <c r="M135" s="4">
        <v>3</v>
      </c>
      <c r="N135" s="4" t="s">
        <v>3</v>
      </c>
      <c r="O135" s="4">
        <v>-1</v>
      </c>
      <c r="P135" s="4"/>
      <c r="Q135" s="4"/>
      <c r="R135" s="4"/>
      <c r="S135" s="4"/>
      <c r="T135" s="4"/>
      <c r="U135" s="4"/>
      <c r="V135" s="4"/>
      <c r="W135" s="4"/>
    </row>
    <row r="136" spans="1:206" x14ac:dyDescent="0.2">
      <c r="A136" s="4">
        <v>50</v>
      </c>
      <c r="B136" s="4">
        <v>0</v>
      </c>
      <c r="C136" s="4">
        <v>0</v>
      </c>
      <c r="D136" s="4">
        <v>1</v>
      </c>
      <c r="E136" s="4">
        <v>209</v>
      </c>
      <c r="F136" s="4">
        <f>ROUND(Source!W112,O136)</f>
        <v>0</v>
      </c>
      <c r="G136" s="4" t="s">
        <v>99</v>
      </c>
      <c r="H136" s="4" t="s">
        <v>100</v>
      </c>
      <c r="I136" s="4"/>
      <c r="J136" s="4"/>
      <c r="K136" s="4">
        <v>209</v>
      </c>
      <c r="L136" s="4">
        <v>23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06" x14ac:dyDescent="0.2">
      <c r="A137" s="4">
        <v>50</v>
      </c>
      <c r="B137" s="4">
        <v>0</v>
      </c>
      <c r="C137" s="4">
        <v>0</v>
      </c>
      <c r="D137" s="4">
        <v>1</v>
      </c>
      <c r="E137" s="4">
        <v>233</v>
      </c>
      <c r="F137" s="4">
        <f>ROUND(Source!BD112,O137)</f>
        <v>0</v>
      </c>
      <c r="G137" s="4" t="s">
        <v>101</v>
      </c>
      <c r="H137" s="4" t="s">
        <v>102</v>
      </c>
      <c r="I137" s="4"/>
      <c r="J137" s="4"/>
      <c r="K137" s="4">
        <v>233</v>
      </c>
      <c r="L137" s="4">
        <v>24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06" x14ac:dyDescent="0.2">
      <c r="A138" s="4">
        <v>50</v>
      </c>
      <c r="B138" s="4">
        <v>0</v>
      </c>
      <c r="C138" s="4">
        <v>0</v>
      </c>
      <c r="D138" s="4">
        <v>1</v>
      </c>
      <c r="E138" s="4">
        <v>210</v>
      </c>
      <c r="F138" s="4">
        <f>ROUND(Source!X112,O138)</f>
        <v>0</v>
      </c>
      <c r="G138" s="4" t="s">
        <v>103</v>
      </c>
      <c r="H138" s="4" t="s">
        <v>104</v>
      </c>
      <c r="I138" s="4"/>
      <c r="J138" s="4"/>
      <c r="K138" s="4">
        <v>210</v>
      </c>
      <c r="L138" s="4">
        <v>25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06" x14ac:dyDescent="0.2">
      <c r="A139" s="4">
        <v>50</v>
      </c>
      <c r="B139" s="4">
        <v>0</v>
      </c>
      <c r="C139" s="4">
        <v>0</v>
      </c>
      <c r="D139" s="4">
        <v>1</v>
      </c>
      <c r="E139" s="4">
        <v>211</v>
      </c>
      <c r="F139" s="4">
        <f>ROUND(Source!Y112,O139)</f>
        <v>0</v>
      </c>
      <c r="G139" s="4" t="s">
        <v>105</v>
      </c>
      <c r="H139" s="4" t="s">
        <v>106</v>
      </c>
      <c r="I139" s="4"/>
      <c r="J139" s="4"/>
      <c r="K139" s="4">
        <v>211</v>
      </c>
      <c r="L139" s="4">
        <v>26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06" x14ac:dyDescent="0.2">
      <c r="A140" s="4">
        <v>50</v>
      </c>
      <c r="B140" s="4">
        <v>0</v>
      </c>
      <c r="C140" s="4">
        <v>0</v>
      </c>
      <c r="D140" s="4">
        <v>1</v>
      </c>
      <c r="E140" s="4">
        <v>224</v>
      </c>
      <c r="F140" s="4">
        <f>ROUND(Source!AR112,O140)</f>
        <v>147746.42000000001</v>
      </c>
      <c r="G140" s="4" t="s">
        <v>107</v>
      </c>
      <c r="H140" s="4" t="s">
        <v>108</v>
      </c>
      <c r="I140" s="4"/>
      <c r="J140" s="4"/>
      <c r="K140" s="4">
        <v>224</v>
      </c>
      <c r="L140" s="4">
        <v>27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2" spans="1:206" x14ac:dyDescent="0.2">
      <c r="A142" s="2">
        <v>51</v>
      </c>
      <c r="B142" s="2">
        <f>B20</f>
        <v>1</v>
      </c>
      <c r="C142" s="2">
        <f>A20</f>
        <v>3</v>
      </c>
      <c r="D142" s="2">
        <f>ROW(A20)</f>
        <v>20</v>
      </c>
      <c r="E142" s="2"/>
      <c r="F142" s="2" t="str">
        <f>IF(F20&lt;&gt;"",F20,"")</f>
        <v>Новая локальная смета</v>
      </c>
      <c r="G142" s="2" t="str">
        <f>IF(G20&lt;&gt;"",G20,"")</f>
        <v>Новая локальная смета</v>
      </c>
      <c r="H142" s="2">
        <v>0</v>
      </c>
      <c r="I142" s="2"/>
      <c r="J142" s="2"/>
      <c r="K142" s="2"/>
      <c r="L142" s="2"/>
      <c r="M142" s="2"/>
      <c r="N142" s="2"/>
      <c r="O142" s="2">
        <f t="shared" ref="O142:T142" si="78">ROUND(O37+O75+O112+AB142,2)</f>
        <v>809580.52</v>
      </c>
      <c r="P142" s="2">
        <f t="shared" si="78"/>
        <v>537577.59</v>
      </c>
      <c r="Q142" s="2">
        <f t="shared" si="78"/>
        <v>193124.76</v>
      </c>
      <c r="R142" s="2">
        <f t="shared" si="78"/>
        <v>102348.83</v>
      </c>
      <c r="S142" s="2">
        <f t="shared" si="78"/>
        <v>78878.17</v>
      </c>
      <c r="T142" s="2">
        <f t="shared" si="78"/>
        <v>0</v>
      </c>
      <c r="U142" s="2">
        <f>U37+U75+U112+AH142</f>
        <v>366.16144000000003</v>
      </c>
      <c r="V142" s="2">
        <f>V37+V75+V112+AI142</f>
        <v>0</v>
      </c>
      <c r="W142" s="2">
        <f>ROUND(W37+W75+W112+AJ142,2)</f>
        <v>0</v>
      </c>
      <c r="X142" s="2">
        <f>ROUND(X37+X75+X112+AK142,2)</f>
        <v>55214.71</v>
      </c>
      <c r="Y142" s="2">
        <f>ROUND(Y37+Y75+Y112+AL142,2)</f>
        <v>7887.83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>
        <f t="shared" ref="AO142:BD142" si="79">ROUND(AO37+AO75+AO112+BX142,2)</f>
        <v>0</v>
      </c>
      <c r="AP142" s="2">
        <f t="shared" si="79"/>
        <v>0</v>
      </c>
      <c r="AQ142" s="2">
        <f t="shared" si="79"/>
        <v>0</v>
      </c>
      <c r="AR142" s="2">
        <f t="shared" si="79"/>
        <v>896582.82</v>
      </c>
      <c r="AS142" s="2">
        <f t="shared" si="79"/>
        <v>0</v>
      </c>
      <c r="AT142" s="2">
        <f t="shared" si="79"/>
        <v>0</v>
      </c>
      <c r="AU142" s="2">
        <f t="shared" si="79"/>
        <v>896582.82</v>
      </c>
      <c r="AV142" s="2">
        <f t="shared" si="79"/>
        <v>537577.59</v>
      </c>
      <c r="AW142" s="2">
        <f t="shared" si="79"/>
        <v>537577.59</v>
      </c>
      <c r="AX142" s="2">
        <f t="shared" si="79"/>
        <v>0</v>
      </c>
      <c r="AY142" s="2">
        <f t="shared" si="79"/>
        <v>537577.59</v>
      </c>
      <c r="AZ142" s="2">
        <f t="shared" si="79"/>
        <v>0</v>
      </c>
      <c r="BA142" s="2">
        <f t="shared" si="79"/>
        <v>0</v>
      </c>
      <c r="BB142" s="2">
        <f t="shared" si="79"/>
        <v>0</v>
      </c>
      <c r="BC142" s="2">
        <f t="shared" si="79"/>
        <v>0</v>
      </c>
      <c r="BD142" s="2">
        <f t="shared" si="79"/>
        <v>0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>
        <v>0</v>
      </c>
    </row>
    <row r="144" spans="1:206" x14ac:dyDescent="0.2">
      <c r="A144" s="4">
        <v>50</v>
      </c>
      <c r="B144" s="4">
        <v>0</v>
      </c>
      <c r="C144" s="4">
        <v>0</v>
      </c>
      <c r="D144" s="4">
        <v>1</v>
      </c>
      <c r="E144" s="4">
        <v>201</v>
      </c>
      <c r="F144" s="4">
        <f>ROUND(Source!O142,O144)</f>
        <v>809580.52</v>
      </c>
      <c r="G144" s="4" t="s">
        <v>55</v>
      </c>
      <c r="H144" s="4" t="s">
        <v>56</v>
      </c>
      <c r="I144" s="4"/>
      <c r="J144" s="4"/>
      <c r="K144" s="4">
        <v>201</v>
      </c>
      <c r="L144" s="4">
        <v>1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202</v>
      </c>
      <c r="F145" s="4">
        <f>ROUND(Source!P142,O145)</f>
        <v>537577.59</v>
      </c>
      <c r="G145" s="4" t="s">
        <v>57</v>
      </c>
      <c r="H145" s="4" t="s">
        <v>58</v>
      </c>
      <c r="I145" s="4"/>
      <c r="J145" s="4"/>
      <c r="K145" s="4">
        <v>202</v>
      </c>
      <c r="L145" s="4">
        <v>2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222</v>
      </c>
      <c r="F146" s="4">
        <f>ROUND(Source!AO142,O146)</f>
        <v>0</v>
      </c>
      <c r="G146" s="4" t="s">
        <v>59</v>
      </c>
      <c r="H146" s="4" t="s">
        <v>60</v>
      </c>
      <c r="I146" s="4"/>
      <c r="J146" s="4"/>
      <c r="K146" s="4">
        <v>222</v>
      </c>
      <c r="L146" s="4">
        <v>3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225</v>
      </c>
      <c r="F147" s="4">
        <f>ROUND(Source!AV142,O147)</f>
        <v>537577.59</v>
      </c>
      <c r="G147" s="4" t="s">
        <v>61</v>
      </c>
      <c r="H147" s="4" t="s">
        <v>62</v>
      </c>
      <c r="I147" s="4"/>
      <c r="J147" s="4"/>
      <c r="K147" s="4">
        <v>225</v>
      </c>
      <c r="L147" s="4">
        <v>4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226</v>
      </c>
      <c r="F148" s="4">
        <f>ROUND(Source!AW142,O148)</f>
        <v>537577.59</v>
      </c>
      <c r="G148" s="4" t="s">
        <v>63</v>
      </c>
      <c r="H148" s="4" t="s">
        <v>64</v>
      </c>
      <c r="I148" s="4"/>
      <c r="J148" s="4"/>
      <c r="K148" s="4">
        <v>226</v>
      </c>
      <c r="L148" s="4">
        <v>5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227</v>
      </c>
      <c r="F149" s="4">
        <f>ROUND(Source!AX142,O149)</f>
        <v>0</v>
      </c>
      <c r="G149" s="4" t="s">
        <v>65</v>
      </c>
      <c r="H149" s="4" t="s">
        <v>66</v>
      </c>
      <c r="I149" s="4"/>
      <c r="J149" s="4"/>
      <c r="K149" s="4">
        <v>227</v>
      </c>
      <c r="L149" s="4">
        <v>6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228</v>
      </c>
      <c r="F150" s="4">
        <f>ROUND(Source!AY142,O150)</f>
        <v>537577.59</v>
      </c>
      <c r="G150" s="4" t="s">
        <v>67</v>
      </c>
      <c r="H150" s="4" t="s">
        <v>68</v>
      </c>
      <c r="I150" s="4"/>
      <c r="J150" s="4"/>
      <c r="K150" s="4">
        <v>228</v>
      </c>
      <c r="L150" s="4">
        <v>7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216</v>
      </c>
      <c r="F151" s="4">
        <f>ROUND(Source!AP142,O151)</f>
        <v>0</v>
      </c>
      <c r="G151" s="4" t="s">
        <v>69</v>
      </c>
      <c r="H151" s="4" t="s">
        <v>70</v>
      </c>
      <c r="I151" s="4"/>
      <c r="J151" s="4"/>
      <c r="K151" s="4">
        <v>216</v>
      </c>
      <c r="L151" s="4">
        <v>8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223</v>
      </c>
      <c r="F152" s="4">
        <f>ROUND(Source!AQ142,O152)</f>
        <v>0</v>
      </c>
      <c r="G152" s="4" t="s">
        <v>71</v>
      </c>
      <c r="H152" s="4" t="s">
        <v>72</v>
      </c>
      <c r="I152" s="4"/>
      <c r="J152" s="4"/>
      <c r="K152" s="4">
        <v>223</v>
      </c>
      <c r="L152" s="4">
        <v>9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229</v>
      </c>
      <c r="F153" s="4">
        <f>ROUND(Source!AZ142,O153)</f>
        <v>0</v>
      </c>
      <c r="G153" s="4" t="s">
        <v>73</v>
      </c>
      <c r="H153" s="4" t="s">
        <v>74</v>
      </c>
      <c r="I153" s="4"/>
      <c r="J153" s="4"/>
      <c r="K153" s="4">
        <v>229</v>
      </c>
      <c r="L153" s="4">
        <v>10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203</v>
      </c>
      <c r="F154" s="4">
        <f>ROUND(Source!Q142,O154)</f>
        <v>193124.76</v>
      </c>
      <c r="G154" s="4" t="s">
        <v>75</v>
      </c>
      <c r="H154" s="4" t="s">
        <v>76</v>
      </c>
      <c r="I154" s="4"/>
      <c r="J154" s="4"/>
      <c r="K154" s="4">
        <v>203</v>
      </c>
      <c r="L154" s="4">
        <v>11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231</v>
      </c>
      <c r="F155" s="4">
        <f>ROUND(Source!BB142,O155)</f>
        <v>0</v>
      </c>
      <c r="G155" s="4" t="s">
        <v>77</v>
      </c>
      <c r="H155" s="4" t="s">
        <v>78</v>
      </c>
      <c r="I155" s="4"/>
      <c r="J155" s="4"/>
      <c r="K155" s="4">
        <v>231</v>
      </c>
      <c r="L155" s="4">
        <v>12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204</v>
      </c>
      <c r="F156" s="4">
        <f>ROUND(Source!R142,O156)</f>
        <v>102348.83</v>
      </c>
      <c r="G156" s="4" t="s">
        <v>79</v>
      </c>
      <c r="H156" s="4" t="s">
        <v>80</v>
      </c>
      <c r="I156" s="4"/>
      <c r="J156" s="4"/>
      <c r="K156" s="4">
        <v>204</v>
      </c>
      <c r="L156" s="4">
        <v>13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205</v>
      </c>
      <c r="F157" s="4">
        <f>ROUND(Source!S142,O157)</f>
        <v>78878.17</v>
      </c>
      <c r="G157" s="4" t="s">
        <v>81</v>
      </c>
      <c r="H157" s="4" t="s">
        <v>82</v>
      </c>
      <c r="I157" s="4"/>
      <c r="J157" s="4"/>
      <c r="K157" s="4">
        <v>205</v>
      </c>
      <c r="L157" s="4">
        <v>14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232</v>
      </c>
      <c r="F158" s="4">
        <f>ROUND(Source!BC142,O158)</f>
        <v>0</v>
      </c>
      <c r="G158" s="4" t="s">
        <v>83</v>
      </c>
      <c r="H158" s="4" t="s">
        <v>84</v>
      </c>
      <c r="I158" s="4"/>
      <c r="J158" s="4"/>
      <c r="K158" s="4">
        <v>232</v>
      </c>
      <c r="L158" s="4">
        <v>15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214</v>
      </c>
      <c r="F159" s="4">
        <f>ROUND(Source!AS142,O159)</f>
        <v>0</v>
      </c>
      <c r="G159" s="4" t="s">
        <v>85</v>
      </c>
      <c r="H159" s="4" t="s">
        <v>86</v>
      </c>
      <c r="I159" s="4"/>
      <c r="J159" s="4"/>
      <c r="K159" s="4">
        <v>214</v>
      </c>
      <c r="L159" s="4">
        <v>16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215</v>
      </c>
      <c r="F160" s="4">
        <f>ROUND(Source!AT142,O160)</f>
        <v>0</v>
      </c>
      <c r="G160" s="4" t="s">
        <v>87</v>
      </c>
      <c r="H160" s="4" t="s">
        <v>88</v>
      </c>
      <c r="I160" s="4"/>
      <c r="J160" s="4"/>
      <c r="K160" s="4">
        <v>215</v>
      </c>
      <c r="L160" s="4">
        <v>17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06" x14ac:dyDescent="0.2">
      <c r="A161" s="4">
        <v>50</v>
      </c>
      <c r="B161" s="4">
        <v>0</v>
      </c>
      <c r="C161" s="4">
        <v>0</v>
      </c>
      <c r="D161" s="4">
        <v>1</v>
      </c>
      <c r="E161" s="4">
        <v>217</v>
      </c>
      <c r="F161" s="4">
        <f>ROUND(Source!AU142,O161)</f>
        <v>896582.82</v>
      </c>
      <c r="G161" s="4" t="s">
        <v>89</v>
      </c>
      <c r="H161" s="4" t="s">
        <v>90</v>
      </c>
      <c r="I161" s="4"/>
      <c r="J161" s="4"/>
      <c r="K161" s="4">
        <v>217</v>
      </c>
      <c r="L161" s="4">
        <v>18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06" x14ac:dyDescent="0.2">
      <c r="A162" s="4">
        <v>50</v>
      </c>
      <c r="B162" s="4">
        <v>0</v>
      </c>
      <c r="C162" s="4">
        <v>0</v>
      </c>
      <c r="D162" s="4">
        <v>1</v>
      </c>
      <c r="E162" s="4">
        <v>230</v>
      </c>
      <c r="F162" s="4">
        <f>ROUND(Source!BA142,O162)</f>
        <v>0</v>
      </c>
      <c r="G162" s="4" t="s">
        <v>91</v>
      </c>
      <c r="H162" s="4" t="s">
        <v>92</v>
      </c>
      <c r="I162" s="4"/>
      <c r="J162" s="4"/>
      <c r="K162" s="4">
        <v>230</v>
      </c>
      <c r="L162" s="4">
        <v>19</v>
      </c>
      <c r="M162" s="4">
        <v>3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06" x14ac:dyDescent="0.2">
      <c r="A163" s="4">
        <v>50</v>
      </c>
      <c r="B163" s="4">
        <v>0</v>
      </c>
      <c r="C163" s="4">
        <v>0</v>
      </c>
      <c r="D163" s="4">
        <v>1</v>
      </c>
      <c r="E163" s="4">
        <v>206</v>
      </c>
      <c r="F163" s="4">
        <f>ROUND(Source!T142,O163)</f>
        <v>0</v>
      </c>
      <c r="G163" s="4" t="s">
        <v>93</v>
      </c>
      <c r="H163" s="4" t="s">
        <v>94</v>
      </c>
      <c r="I163" s="4"/>
      <c r="J163" s="4"/>
      <c r="K163" s="4">
        <v>206</v>
      </c>
      <c r="L163" s="4">
        <v>20</v>
      </c>
      <c r="M163" s="4">
        <v>3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06" x14ac:dyDescent="0.2">
      <c r="A164" s="4">
        <v>50</v>
      </c>
      <c r="B164" s="4">
        <v>0</v>
      </c>
      <c r="C164" s="4">
        <v>0</v>
      </c>
      <c r="D164" s="4">
        <v>1</v>
      </c>
      <c r="E164" s="4">
        <v>207</v>
      </c>
      <c r="F164" s="4">
        <f>Source!U142</f>
        <v>366.16144000000003</v>
      </c>
      <c r="G164" s="4" t="s">
        <v>95</v>
      </c>
      <c r="H164" s="4" t="s">
        <v>96</v>
      </c>
      <c r="I164" s="4"/>
      <c r="J164" s="4"/>
      <c r="K164" s="4">
        <v>207</v>
      </c>
      <c r="L164" s="4">
        <v>21</v>
      </c>
      <c r="M164" s="4">
        <v>3</v>
      </c>
      <c r="N164" s="4" t="s">
        <v>3</v>
      </c>
      <c r="O164" s="4">
        <v>-1</v>
      </c>
      <c r="P164" s="4"/>
      <c r="Q164" s="4"/>
      <c r="R164" s="4"/>
      <c r="S164" s="4"/>
      <c r="T164" s="4"/>
      <c r="U164" s="4"/>
      <c r="V164" s="4"/>
      <c r="W164" s="4"/>
    </row>
    <row r="165" spans="1:206" x14ac:dyDescent="0.2">
      <c r="A165" s="4">
        <v>50</v>
      </c>
      <c r="B165" s="4">
        <v>0</v>
      </c>
      <c r="C165" s="4">
        <v>0</v>
      </c>
      <c r="D165" s="4">
        <v>1</v>
      </c>
      <c r="E165" s="4">
        <v>208</v>
      </c>
      <c r="F165" s="4">
        <f>Source!V142</f>
        <v>0</v>
      </c>
      <c r="G165" s="4" t="s">
        <v>97</v>
      </c>
      <c r="H165" s="4" t="s">
        <v>98</v>
      </c>
      <c r="I165" s="4"/>
      <c r="J165" s="4"/>
      <c r="K165" s="4">
        <v>208</v>
      </c>
      <c r="L165" s="4">
        <v>22</v>
      </c>
      <c r="M165" s="4">
        <v>3</v>
      </c>
      <c r="N165" s="4" t="s">
        <v>3</v>
      </c>
      <c r="O165" s="4">
        <v>-1</v>
      </c>
      <c r="P165" s="4"/>
      <c r="Q165" s="4"/>
      <c r="R165" s="4"/>
      <c r="S165" s="4"/>
      <c r="T165" s="4"/>
      <c r="U165" s="4"/>
      <c r="V165" s="4"/>
      <c r="W165" s="4"/>
    </row>
    <row r="166" spans="1:206" x14ac:dyDescent="0.2">
      <c r="A166" s="4">
        <v>50</v>
      </c>
      <c r="B166" s="4">
        <v>0</v>
      </c>
      <c r="C166" s="4">
        <v>0</v>
      </c>
      <c r="D166" s="4">
        <v>1</v>
      </c>
      <c r="E166" s="4">
        <v>209</v>
      </c>
      <c r="F166" s="4">
        <f>ROUND(Source!W142,O166)</f>
        <v>0</v>
      </c>
      <c r="G166" s="4" t="s">
        <v>99</v>
      </c>
      <c r="H166" s="4" t="s">
        <v>100</v>
      </c>
      <c r="I166" s="4"/>
      <c r="J166" s="4"/>
      <c r="K166" s="4">
        <v>209</v>
      </c>
      <c r="L166" s="4">
        <v>23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06" x14ac:dyDescent="0.2">
      <c r="A167" s="4">
        <v>50</v>
      </c>
      <c r="B167" s="4">
        <v>0</v>
      </c>
      <c r="C167" s="4">
        <v>0</v>
      </c>
      <c r="D167" s="4">
        <v>1</v>
      </c>
      <c r="E167" s="4">
        <v>233</v>
      </c>
      <c r="F167" s="4">
        <f>ROUND(Source!BD142,O167)</f>
        <v>0</v>
      </c>
      <c r="G167" s="4" t="s">
        <v>101</v>
      </c>
      <c r="H167" s="4" t="s">
        <v>102</v>
      </c>
      <c r="I167" s="4"/>
      <c r="J167" s="4"/>
      <c r="K167" s="4">
        <v>233</v>
      </c>
      <c r="L167" s="4">
        <v>24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06" x14ac:dyDescent="0.2">
      <c r="A168" s="4">
        <v>50</v>
      </c>
      <c r="B168" s="4">
        <v>0</v>
      </c>
      <c r="C168" s="4">
        <v>0</v>
      </c>
      <c r="D168" s="4">
        <v>1</v>
      </c>
      <c r="E168" s="4">
        <v>210</v>
      </c>
      <c r="F168" s="4">
        <f>ROUND(Source!X142,O168)</f>
        <v>55214.71</v>
      </c>
      <c r="G168" s="4" t="s">
        <v>103</v>
      </c>
      <c r="H168" s="4" t="s">
        <v>104</v>
      </c>
      <c r="I168" s="4"/>
      <c r="J168" s="4"/>
      <c r="K168" s="4">
        <v>210</v>
      </c>
      <c r="L168" s="4">
        <v>25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06" x14ac:dyDescent="0.2">
      <c r="A169" s="4">
        <v>50</v>
      </c>
      <c r="B169" s="4">
        <v>0</v>
      </c>
      <c r="C169" s="4">
        <v>0</v>
      </c>
      <c r="D169" s="4">
        <v>1</v>
      </c>
      <c r="E169" s="4">
        <v>211</v>
      </c>
      <c r="F169" s="4">
        <f>ROUND(Source!Y142,O169)</f>
        <v>7887.83</v>
      </c>
      <c r="G169" s="4" t="s">
        <v>105</v>
      </c>
      <c r="H169" s="4" t="s">
        <v>106</v>
      </c>
      <c r="I169" s="4"/>
      <c r="J169" s="4"/>
      <c r="K169" s="4">
        <v>211</v>
      </c>
      <c r="L169" s="4">
        <v>26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06" x14ac:dyDescent="0.2">
      <c r="A170" s="4">
        <v>50</v>
      </c>
      <c r="B170" s="4">
        <v>0</v>
      </c>
      <c r="C170" s="4">
        <v>0</v>
      </c>
      <c r="D170" s="4">
        <v>1</v>
      </c>
      <c r="E170" s="4">
        <v>224</v>
      </c>
      <c r="F170" s="4">
        <f>ROUND(Source!AR142,O170)</f>
        <v>896582.82</v>
      </c>
      <c r="G170" s="4" t="s">
        <v>107</v>
      </c>
      <c r="H170" s="4" t="s">
        <v>108</v>
      </c>
      <c r="I170" s="4"/>
      <c r="J170" s="4"/>
      <c r="K170" s="4">
        <v>224</v>
      </c>
      <c r="L170" s="4">
        <v>27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2" spans="1:206" x14ac:dyDescent="0.2">
      <c r="A172" s="2">
        <v>51</v>
      </c>
      <c r="B172" s="2">
        <f>B12</f>
        <v>205</v>
      </c>
      <c r="C172" s="2">
        <f>A12</f>
        <v>1</v>
      </c>
      <c r="D172" s="2">
        <f>ROW(A12)</f>
        <v>12</v>
      </c>
      <c r="E172" s="2"/>
      <c r="F172" s="2" t="str">
        <f>IF(F12&lt;&gt;"",F12,"")</f>
        <v>Новый объект</v>
      </c>
      <c r="G172" s="2" t="str">
        <f>IF(G12&lt;&gt;"",G12,"")</f>
        <v>Ремонт асфальта</v>
      </c>
      <c r="H172" s="2">
        <v>0</v>
      </c>
      <c r="I172" s="2"/>
      <c r="J172" s="2"/>
      <c r="K172" s="2"/>
      <c r="L172" s="2"/>
      <c r="M172" s="2"/>
      <c r="N172" s="2"/>
      <c r="O172" s="2">
        <f t="shared" ref="O172:T172" si="80">ROUND(O142,2)</f>
        <v>809580.52</v>
      </c>
      <c r="P172" s="2">
        <f t="shared" si="80"/>
        <v>537577.59</v>
      </c>
      <c r="Q172" s="2">
        <f t="shared" si="80"/>
        <v>193124.76</v>
      </c>
      <c r="R172" s="2">
        <f t="shared" si="80"/>
        <v>102348.83</v>
      </c>
      <c r="S172" s="2">
        <f t="shared" si="80"/>
        <v>78878.17</v>
      </c>
      <c r="T172" s="2">
        <f t="shared" si="80"/>
        <v>0</v>
      </c>
      <c r="U172" s="2">
        <f>U142</f>
        <v>366.16144000000003</v>
      </c>
      <c r="V172" s="2">
        <f>V142</f>
        <v>0</v>
      </c>
      <c r="W172" s="2">
        <f>ROUND(W142,2)</f>
        <v>0</v>
      </c>
      <c r="X172" s="2">
        <f>ROUND(X142,2)</f>
        <v>55214.71</v>
      </c>
      <c r="Y172" s="2">
        <f>ROUND(Y142,2)</f>
        <v>7887.83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>
        <f t="shared" ref="AO172:BD172" si="81">ROUND(AO142,2)</f>
        <v>0</v>
      </c>
      <c r="AP172" s="2">
        <f t="shared" si="81"/>
        <v>0</v>
      </c>
      <c r="AQ172" s="2">
        <f t="shared" si="81"/>
        <v>0</v>
      </c>
      <c r="AR172" s="2">
        <f t="shared" si="81"/>
        <v>896582.82</v>
      </c>
      <c r="AS172" s="2">
        <f t="shared" si="81"/>
        <v>0</v>
      </c>
      <c r="AT172" s="2">
        <f t="shared" si="81"/>
        <v>0</v>
      </c>
      <c r="AU172" s="2">
        <f t="shared" si="81"/>
        <v>896582.82</v>
      </c>
      <c r="AV172" s="2">
        <f t="shared" si="81"/>
        <v>537577.59</v>
      </c>
      <c r="AW172" s="2">
        <f t="shared" si="81"/>
        <v>537577.59</v>
      </c>
      <c r="AX172" s="2">
        <f t="shared" si="81"/>
        <v>0</v>
      </c>
      <c r="AY172" s="2">
        <f t="shared" si="81"/>
        <v>537577.59</v>
      </c>
      <c r="AZ172" s="2">
        <f t="shared" si="81"/>
        <v>0</v>
      </c>
      <c r="BA172" s="2">
        <f t="shared" si="81"/>
        <v>0</v>
      </c>
      <c r="BB172" s="2">
        <f t="shared" si="81"/>
        <v>0</v>
      </c>
      <c r="BC172" s="2">
        <f t="shared" si="81"/>
        <v>0</v>
      </c>
      <c r="BD172" s="2">
        <f t="shared" si="81"/>
        <v>0</v>
      </c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>
        <v>0</v>
      </c>
    </row>
    <row r="174" spans="1:206" x14ac:dyDescent="0.2">
      <c r="A174" s="4">
        <v>50</v>
      </c>
      <c r="B174" s="4">
        <v>0</v>
      </c>
      <c r="C174" s="4">
        <v>0</v>
      </c>
      <c r="D174" s="4">
        <v>1</v>
      </c>
      <c r="E174" s="4">
        <v>201</v>
      </c>
      <c r="F174" s="4">
        <f>ROUND(Source!O172,O174)</f>
        <v>809580.52</v>
      </c>
      <c r="G174" s="4" t="s">
        <v>55</v>
      </c>
      <c r="H174" s="4" t="s">
        <v>56</v>
      </c>
      <c r="I174" s="4"/>
      <c r="J174" s="4"/>
      <c r="K174" s="4">
        <v>201</v>
      </c>
      <c r="L174" s="4">
        <v>1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06" x14ac:dyDescent="0.2">
      <c r="A175" s="4">
        <v>50</v>
      </c>
      <c r="B175" s="4">
        <v>0</v>
      </c>
      <c r="C175" s="4">
        <v>0</v>
      </c>
      <c r="D175" s="4">
        <v>1</v>
      </c>
      <c r="E175" s="4">
        <v>202</v>
      </c>
      <c r="F175" s="4">
        <f>ROUND(Source!P172,O175)</f>
        <v>537577.59</v>
      </c>
      <c r="G175" s="4" t="s">
        <v>57</v>
      </c>
      <c r="H175" s="4" t="s">
        <v>58</v>
      </c>
      <c r="I175" s="4"/>
      <c r="J175" s="4"/>
      <c r="K175" s="4">
        <v>202</v>
      </c>
      <c r="L175" s="4">
        <v>2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06" x14ac:dyDescent="0.2">
      <c r="A176" s="4">
        <v>50</v>
      </c>
      <c r="B176" s="4">
        <v>0</v>
      </c>
      <c r="C176" s="4">
        <v>0</v>
      </c>
      <c r="D176" s="4">
        <v>1</v>
      </c>
      <c r="E176" s="4">
        <v>222</v>
      </c>
      <c r="F176" s="4">
        <f>ROUND(Source!AO172,O176)</f>
        <v>0</v>
      </c>
      <c r="G176" s="4" t="s">
        <v>59</v>
      </c>
      <c r="H176" s="4" t="s">
        <v>60</v>
      </c>
      <c r="I176" s="4"/>
      <c r="J176" s="4"/>
      <c r="K176" s="4">
        <v>222</v>
      </c>
      <c r="L176" s="4">
        <v>3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225</v>
      </c>
      <c r="F177" s="4">
        <f>ROUND(Source!AV172,O177)</f>
        <v>537577.59</v>
      </c>
      <c r="G177" s="4" t="s">
        <v>61</v>
      </c>
      <c r="H177" s="4" t="s">
        <v>62</v>
      </c>
      <c r="I177" s="4"/>
      <c r="J177" s="4"/>
      <c r="K177" s="4">
        <v>225</v>
      </c>
      <c r="L177" s="4">
        <v>4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226</v>
      </c>
      <c r="F178" s="4">
        <f>ROUND(Source!AW172,O178)</f>
        <v>537577.59</v>
      </c>
      <c r="G178" s="4" t="s">
        <v>63</v>
      </c>
      <c r="H178" s="4" t="s">
        <v>64</v>
      </c>
      <c r="I178" s="4"/>
      <c r="J178" s="4"/>
      <c r="K178" s="4">
        <v>226</v>
      </c>
      <c r="L178" s="4">
        <v>5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227</v>
      </c>
      <c r="F179" s="4">
        <f>ROUND(Source!AX172,O179)</f>
        <v>0</v>
      </c>
      <c r="G179" s="4" t="s">
        <v>65</v>
      </c>
      <c r="H179" s="4" t="s">
        <v>66</v>
      </c>
      <c r="I179" s="4"/>
      <c r="J179" s="4"/>
      <c r="K179" s="4">
        <v>227</v>
      </c>
      <c r="L179" s="4">
        <v>6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228</v>
      </c>
      <c r="F180" s="4">
        <f>ROUND(Source!AY172,O180)</f>
        <v>537577.59</v>
      </c>
      <c r="G180" s="4" t="s">
        <v>67</v>
      </c>
      <c r="H180" s="4" t="s">
        <v>68</v>
      </c>
      <c r="I180" s="4"/>
      <c r="J180" s="4"/>
      <c r="K180" s="4">
        <v>228</v>
      </c>
      <c r="L180" s="4">
        <v>7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216</v>
      </c>
      <c r="F181" s="4">
        <f>ROUND(Source!AP172,O181)</f>
        <v>0</v>
      </c>
      <c r="G181" s="4" t="s">
        <v>69</v>
      </c>
      <c r="H181" s="4" t="s">
        <v>70</v>
      </c>
      <c r="I181" s="4"/>
      <c r="J181" s="4"/>
      <c r="K181" s="4">
        <v>216</v>
      </c>
      <c r="L181" s="4">
        <v>8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223</v>
      </c>
      <c r="F182" s="4">
        <f>ROUND(Source!AQ172,O182)</f>
        <v>0</v>
      </c>
      <c r="G182" s="4" t="s">
        <v>71</v>
      </c>
      <c r="H182" s="4" t="s">
        <v>72</v>
      </c>
      <c r="I182" s="4"/>
      <c r="J182" s="4"/>
      <c r="K182" s="4">
        <v>223</v>
      </c>
      <c r="L182" s="4">
        <v>9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229</v>
      </c>
      <c r="F183" s="4">
        <f>ROUND(Source!AZ172,O183)</f>
        <v>0</v>
      </c>
      <c r="G183" s="4" t="s">
        <v>73</v>
      </c>
      <c r="H183" s="4" t="s">
        <v>74</v>
      </c>
      <c r="I183" s="4"/>
      <c r="J183" s="4"/>
      <c r="K183" s="4">
        <v>229</v>
      </c>
      <c r="L183" s="4">
        <v>10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203</v>
      </c>
      <c r="F184" s="4">
        <f>ROUND(Source!Q172,O184)</f>
        <v>193124.76</v>
      </c>
      <c r="G184" s="4" t="s">
        <v>75</v>
      </c>
      <c r="H184" s="4" t="s">
        <v>76</v>
      </c>
      <c r="I184" s="4"/>
      <c r="J184" s="4"/>
      <c r="K184" s="4">
        <v>203</v>
      </c>
      <c r="L184" s="4">
        <v>11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231</v>
      </c>
      <c r="F185" s="4">
        <f>ROUND(Source!BB172,O185)</f>
        <v>0</v>
      </c>
      <c r="G185" s="4" t="s">
        <v>77</v>
      </c>
      <c r="H185" s="4" t="s">
        <v>78</v>
      </c>
      <c r="I185" s="4"/>
      <c r="J185" s="4"/>
      <c r="K185" s="4">
        <v>231</v>
      </c>
      <c r="L185" s="4">
        <v>12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204</v>
      </c>
      <c r="F186" s="4">
        <f>ROUND(Source!R172,O186)</f>
        <v>102348.83</v>
      </c>
      <c r="G186" s="4" t="s">
        <v>79</v>
      </c>
      <c r="H186" s="4" t="s">
        <v>80</v>
      </c>
      <c r="I186" s="4"/>
      <c r="J186" s="4"/>
      <c r="K186" s="4">
        <v>204</v>
      </c>
      <c r="L186" s="4">
        <v>13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205</v>
      </c>
      <c r="F187" s="4">
        <f>ROUND(Source!S172,O187)</f>
        <v>78878.17</v>
      </c>
      <c r="G187" s="4" t="s">
        <v>81</v>
      </c>
      <c r="H187" s="4" t="s">
        <v>82</v>
      </c>
      <c r="I187" s="4"/>
      <c r="J187" s="4"/>
      <c r="K187" s="4">
        <v>205</v>
      </c>
      <c r="L187" s="4">
        <v>14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232</v>
      </c>
      <c r="F188" s="4">
        <f>ROUND(Source!BC172,O188)</f>
        <v>0</v>
      </c>
      <c r="G188" s="4" t="s">
        <v>83</v>
      </c>
      <c r="H188" s="4" t="s">
        <v>84</v>
      </c>
      <c r="I188" s="4"/>
      <c r="J188" s="4"/>
      <c r="K188" s="4">
        <v>232</v>
      </c>
      <c r="L188" s="4">
        <v>15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214</v>
      </c>
      <c r="F189" s="4">
        <f>ROUND(Source!AS172,O189)</f>
        <v>0</v>
      </c>
      <c r="G189" s="4" t="s">
        <v>85</v>
      </c>
      <c r="H189" s="4" t="s">
        <v>86</v>
      </c>
      <c r="I189" s="4"/>
      <c r="J189" s="4"/>
      <c r="K189" s="4">
        <v>214</v>
      </c>
      <c r="L189" s="4">
        <v>16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215</v>
      </c>
      <c r="F190" s="4">
        <f>ROUND(Source!AT172,O190)</f>
        <v>0</v>
      </c>
      <c r="G190" s="4" t="s">
        <v>87</v>
      </c>
      <c r="H190" s="4" t="s">
        <v>88</v>
      </c>
      <c r="I190" s="4"/>
      <c r="J190" s="4"/>
      <c r="K190" s="4">
        <v>215</v>
      </c>
      <c r="L190" s="4">
        <v>17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217</v>
      </c>
      <c r="F191" s="4">
        <f>ROUND(Source!AU172,O191)</f>
        <v>896582.82</v>
      </c>
      <c r="G191" s="4" t="s">
        <v>89</v>
      </c>
      <c r="H191" s="4" t="s">
        <v>90</v>
      </c>
      <c r="I191" s="4"/>
      <c r="J191" s="4"/>
      <c r="K191" s="4">
        <v>217</v>
      </c>
      <c r="L191" s="4">
        <v>18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230</v>
      </c>
      <c r="F192" s="4">
        <f>ROUND(Source!BA172,O192)</f>
        <v>0</v>
      </c>
      <c r="G192" s="4" t="s">
        <v>91</v>
      </c>
      <c r="H192" s="4" t="s">
        <v>92</v>
      </c>
      <c r="I192" s="4"/>
      <c r="J192" s="4"/>
      <c r="K192" s="4">
        <v>230</v>
      </c>
      <c r="L192" s="4">
        <v>19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>
        <v>50</v>
      </c>
      <c r="B193" s="4">
        <v>0</v>
      </c>
      <c r="C193" s="4">
        <v>0</v>
      </c>
      <c r="D193" s="4">
        <v>1</v>
      </c>
      <c r="E193" s="4">
        <v>206</v>
      </c>
      <c r="F193" s="4">
        <f>ROUND(Source!T172,O193)</f>
        <v>0</v>
      </c>
      <c r="G193" s="4" t="s">
        <v>93</v>
      </c>
      <c r="H193" s="4" t="s">
        <v>94</v>
      </c>
      <c r="I193" s="4"/>
      <c r="J193" s="4"/>
      <c r="K193" s="4">
        <v>206</v>
      </c>
      <c r="L193" s="4">
        <v>20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>
        <v>50</v>
      </c>
      <c r="B194" s="4">
        <v>0</v>
      </c>
      <c r="C194" s="4">
        <v>0</v>
      </c>
      <c r="D194" s="4">
        <v>1</v>
      </c>
      <c r="E194" s="4">
        <v>207</v>
      </c>
      <c r="F194" s="4">
        <f>Source!U172</f>
        <v>366.16144000000003</v>
      </c>
      <c r="G194" s="4" t="s">
        <v>95</v>
      </c>
      <c r="H194" s="4" t="s">
        <v>96</v>
      </c>
      <c r="I194" s="4"/>
      <c r="J194" s="4"/>
      <c r="K194" s="4">
        <v>207</v>
      </c>
      <c r="L194" s="4">
        <v>21</v>
      </c>
      <c r="M194" s="4">
        <v>3</v>
      </c>
      <c r="N194" s="4" t="s">
        <v>3</v>
      </c>
      <c r="O194" s="4">
        <v>-1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>
        <v>50</v>
      </c>
      <c r="B195" s="4">
        <v>0</v>
      </c>
      <c r="C195" s="4">
        <v>0</v>
      </c>
      <c r="D195" s="4">
        <v>1</v>
      </c>
      <c r="E195" s="4">
        <v>208</v>
      </c>
      <c r="F195" s="4">
        <f>Source!V172</f>
        <v>0</v>
      </c>
      <c r="G195" s="4" t="s">
        <v>97</v>
      </c>
      <c r="H195" s="4" t="s">
        <v>98</v>
      </c>
      <c r="I195" s="4"/>
      <c r="J195" s="4"/>
      <c r="K195" s="4">
        <v>208</v>
      </c>
      <c r="L195" s="4">
        <v>22</v>
      </c>
      <c r="M195" s="4">
        <v>3</v>
      </c>
      <c r="N195" s="4" t="s">
        <v>3</v>
      </c>
      <c r="O195" s="4">
        <v>-1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>
        <v>50</v>
      </c>
      <c r="B196" s="4">
        <v>0</v>
      </c>
      <c r="C196" s="4">
        <v>0</v>
      </c>
      <c r="D196" s="4">
        <v>1</v>
      </c>
      <c r="E196" s="4">
        <v>209</v>
      </c>
      <c r="F196" s="4">
        <f>ROUND(Source!W172,O196)</f>
        <v>0</v>
      </c>
      <c r="G196" s="4" t="s">
        <v>99</v>
      </c>
      <c r="H196" s="4" t="s">
        <v>100</v>
      </c>
      <c r="I196" s="4"/>
      <c r="J196" s="4"/>
      <c r="K196" s="4">
        <v>209</v>
      </c>
      <c r="L196" s="4">
        <v>23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>
        <v>50</v>
      </c>
      <c r="B197" s="4">
        <v>0</v>
      </c>
      <c r="C197" s="4">
        <v>0</v>
      </c>
      <c r="D197" s="4">
        <v>1</v>
      </c>
      <c r="E197" s="4">
        <v>233</v>
      </c>
      <c r="F197" s="4">
        <f>ROUND(Source!BD172,O197)</f>
        <v>0</v>
      </c>
      <c r="G197" s="4" t="s">
        <v>101</v>
      </c>
      <c r="H197" s="4" t="s">
        <v>102</v>
      </c>
      <c r="I197" s="4"/>
      <c r="J197" s="4"/>
      <c r="K197" s="4">
        <v>233</v>
      </c>
      <c r="L197" s="4">
        <v>24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>
        <v>50</v>
      </c>
      <c r="B198" s="4">
        <v>0</v>
      </c>
      <c r="C198" s="4">
        <v>0</v>
      </c>
      <c r="D198" s="4">
        <v>1</v>
      </c>
      <c r="E198" s="4">
        <v>210</v>
      </c>
      <c r="F198" s="4">
        <f>ROUND(Source!X172,O198)</f>
        <v>55214.71</v>
      </c>
      <c r="G198" s="4" t="s">
        <v>103</v>
      </c>
      <c r="H198" s="4" t="s">
        <v>104</v>
      </c>
      <c r="I198" s="4"/>
      <c r="J198" s="4"/>
      <c r="K198" s="4">
        <v>210</v>
      </c>
      <c r="L198" s="4">
        <v>25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>
        <v>50</v>
      </c>
      <c r="B199" s="4">
        <v>0</v>
      </c>
      <c r="C199" s="4">
        <v>0</v>
      </c>
      <c r="D199" s="4">
        <v>1</v>
      </c>
      <c r="E199" s="4">
        <v>211</v>
      </c>
      <c r="F199" s="4">
        <f>ROUND(Source!Y172,O199)</f>
        <v>7887.83</v>
      </c>
      <c r="G199" s="4" t="s">
        <v>105</v>
      </c>
      <c r="H199" s="4" t="s">
        <v>106</v>
      </c>
      <c r="I199" s="4"/>
      <c r="J199" s="4"/>
      <c r="K199" s="4">
        <v>211</v>
      </c>
      <c r="L199" s="4">
        <v>26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>
        <v>50</v>
      </c>
      <c r="B200" s="4">
        <v>0</v>
      </c>
      <c r="C200" s="4">
        <v>0</v>
      </c>
      <c r="D200" s="4">
        <v>1</v>
      </c>
      <c r="E200" s="4">
        <v>224</v>
      </c>
      <c r="F200" s="4">
        <f>ROUND(Source!AR172,O200)</f>
        <v>896582.82</v>
      </c>
      <c r="G200" s="4" t="s">
        <v>107</v>
      </c>
      <c r="H200" s="4" t="s">
        <v>108</v>
      </c>
      <c r="I200" s="4"/>
      <c r="J200" s="4"/>
      <c r="K200" s="4">
        <v>224</v>
      </c>
      <c r="L200" s="4">
        <v>27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3" spans="1:23" x14ac:dyDescent="0.2">
      <c r="A203">
        <v>-1</v>
      </c>
    </row>
    <row r="205" spans="1:23" x14ac:dyDescent="0.2">
      <c r="A205" s="3">
        <v>75</v>
      </c>
      <c r="B205" s="3" t="s">
        <v>125</v>
      </c>
      <c r="C205" s="3">
        <v>2020</v>
      </c>
      <c r="D205" s="3">
        <v>0</v>
      </c>
      <c r="E205" s="3">
        <v>10</v>
      </c>
      <c r="F205" s="3">
        <v>0</v>
      </c>
      <c r="G205" s="3">
        <v>0</v>
      </c>
      <c r="H205" s="3">
        <v>1</v>
      </c>
      <c r="I205" s="3">
        <v>0</v>
      </c>
      <c r="J205" s="3">
        <v>1</v>
      </c>
      <c r="K205" s="3">
        <v>78</v>
      </c>
      <c r="L205" s="3">
        <v>30</v>
      </c>
      <c r="M205" s="3">
        <v>0</v>
      </c>
      <c r="N205" s="3">
        <v>38115817</v>
      </c>
      <c r="O205" s="3">
        <v>1</v>
      </c>
    </row>
    <row r="209" spans="1:5" x14ac:dyDescent="0.2">
      <c r="A209">
        <v>65</v>
      </c>
      <c r="C209">
        <v>1</v>
      </c>
      <c r="D209">
        <v>0</v>
      </c>
      <c r="E209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126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58634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38115817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12</v>
      </c>
      <c r="D16" s="5" t="s">
        <v>12</v>
      </c>
      <c r="E16" s="6">
        <f>(Source!F159)/1000</f>
        <v>0</v>
      </c>
      <c r="F16" s="6">
        <f>(Source!F160)/1000</f>
        <v>0</v>
      </c>
      <c r="G16" s="6">
        <f>(Source!F151)/1000</f>
        <v>0</v>
      </c>
      <c r="H16" s="6">
        <f>(Source!F161)/1000+(Source!F162)/1000</f>
        <v>896.58281999999997</v>
      </c>
      <c r="I16" s="6">
        <f>E16+F16+G16+H16</f>
        <v>896.58281999999997</v>
      </c>
      <c r="J16" s="6">
        <f>(Source!F157)/1000</f>
        <v>78.878169999999997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809580.52</v>
      </c>
      <c r="AU16" s="6">
        <v>537577.59</v>
      </c>
      <c r="AV16" s="6">
        <v>0</v>
      </c>
      <c r="AW16" s="6">
        <v>0</v>
      </c>
      <c r="AX16" s="6">
        <v>0</v>
      </c>
      <c r="AY16" s="6">
        <v>193124.76</v>
      </c>
      <c r="AZ16" s="6">
        <v>102348.83</v>
      </c>
      <c r="BA16" s="6">
        <v>78878.17</v>
      </c>
      <c r="BB16" s="6">
        <v>0</v>
      </c>
      <c r="BC16" s="6">
        <v>0</v>
      </c>
      <c r="BD16" s="6">
        <v>896582.82</v>
      </c>
      <c r="BE16" s="6">
        <v>0</v>
      </c>
      <c r="BF16" s="6">
        <v>366.16144000000003</v>
      </c>
      <c r="BG16" s="6">
        <v>0</v>
      </c>
      <c r="BH16" s="6">
        <v>0</v>
      </c>
      <c r="BI16" s="6">
        <v>55214.71</v>
      </c>
      <c r="BJ16" s="6">
        <v>7887.83</v>
      </c>
      <c r="BK16" s="6">
        <v>896582.82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896.58281999999997</v>
      </c>
      <c r="I18" s="7">
        <f>SUMIF(A16:A17,3,I16:I17)</f>
        <v>896.58281999999997</v>
      </c>
      <c r="J18" s="7">
        <f>SUMIF(A16:A17,3,J16:J17)</f>
        <v>78.878169999999997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809580.52</v>
      </c>
      <c r="G20" s="4" t="s">
        <v>55</v>
      </c>
      <c r="H20" s="4" t="s">
        <v>56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537577.59</v>
      </c>
      <c r="G21" s="4" t="s">
        <v>57</v>
      </c>
      <c r="H21" s="4" t="s">
        <v>58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59</v>
      </c>
      <c r="H22" s="4" t="s">
        <v>60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537577.59</v>
      </c>
      <c r="G23" s="4" t="s">
        <v>61</v>
      </c>
      <c r="H23" s="4" t="s">
        <v>62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537577.59</v>
      </c>
      <c r="G24" s="4" t="s">
        <v>63</v>
      </c>
      <c r="H24" s="4" t="s">
        <v>64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65</v>
      </c>
      <c r="H25" s="4" t="s">
        <v>66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537577.59</v>
      </c>
      <c r="G26" s="4" t="s">
        <v>67</v>
      </c>
      <c r="H26" s="4" t="s">
        <v>68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69</v>
      </c>
      <c r="H27" s="4" t="s">
        <v>70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71</v>
      </c>
      <c r="H28" s="4" t="s">
        <v>72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73</v>
      </c>
      <c r="H29" s="4" t="s">
        <v>74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193124.76</v>
      </c>
      <c r="G30" s="4" t="s">
        <v>75</v>
      </c>
      <c r="H30" s="4" t="s">
        <v>76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77</v>
      </c>
      <c r="H31" s="4" t="s">
        <v>78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102348.83</v>
      </c>
      <c r="G32" s="4" t="s">
        <v>79</v>
      </c>
      <c r="H32" s="4" t="s">
        <v>80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78878.17</v>
      </c>
      <c r="G33" s="4" t="s">
        <v>81</v>
      </c>
      <c r="H33" s="4" t="s">
        <v>82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83</v>
      </c>
      <c r="H34" s="4" t="s">
        <v>84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85</v>
      </c>
      <c r="H35" s="4" t="s">
        <v>86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87</v>
      </c>
      <c r="H36" s="4" t="s">
        <v>88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896582.82</v>
      </c>
      <c r="G37" s="4" t="s">
        <v>89</v>
      </c>
      <c r="H37" s="4" t="s">
        <v>90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91</v>
      </c>
      <c r="H38" s="4" t="s">
        <v>92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93</v>
      </c>
      <c r="H39" s="4" t="s">
        <v>94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366.16144000000003</v>
      </c>
      <c r="G40" s="4" t="s">
        <v>95</v>
      </c>
      <c r="H40" s="4" t="s">
        <v>96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97</v>
      </c>
      <c r="H41" s="4" t="s">
        <v>98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99</v>
      </c>
      <c r="H42" s="4" t="s">
        <v>100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101</v>
      </c>
      <c r="H43" s="4" t="s">
        <v>102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55214.71</v>
      </c>
      <c r="G44" s="4" t="s">
        <v>103</v>
      </c>
      <c r="H44" s="4" t="s">
        <v>104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7887.83</v>
      </c>
      <c r="G45" s="4" t="s">
        <v>105</v>
      </c>
      <c r="H45" s="4" t="s">
        <v>106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896582.82</v>
      </c>
      <c r="G46" s="4" t="s">
        <v>107</v>
      </c>
      <c r="H46" s="4" t="s">
        <v>108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8" spans="1:16" x14ac:dyDescent="0.2">
      <c r="A48">
        <v>-1</v>
      </c>
    </row>
    <row r="51" spans="1:15" x14ac:dyDescent="0.2">
      <c r="A51" s="3">
        <v>75</v>
      </c>
      <c r="B51" s="3" t="s">
        <v>125</v>
      </c>
      <c r="C51" s="3">
        <v>2020</v>
      </c>
      <c r="D51" s="3">
        <v>0</v>
      </c>
      <c r="E51" s="3">
        <v>10</v>
      </c>
      <c r="F51" s="3">
        <v>0</v>
      </c>
      <c r="G51" s="3">
        <v>0</v>
      </c>
      <c r="H51" s="3">
        <v>1</v>
      </c>
      <c r="I51" s="3">
        <v>0</v>
      </c>
      <c r="J51" s="3">
        <v>1</v>
      </c>
      <c r="K51" s="3">
        <v>78</v>
      </c>
      <c r="L51" s="3">
        <v>30</v>
      </c>
      <c r="M51" s="3">
        <v>0</v>
      </c>
      <c r="N51" s="3">
        <v>38115817</v>
      </c>
      <c r="O51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38115817</v>
      </c>
      <c r="C1">
        <v>38116962</v>
      </c>
      <c r="D1">
        <v>36621550</v>
      </c>
      <c r="E1">
        <v>27</v>
      </c>
      <c r="F1">
        <v>1</v>
      </c>
      <c r="G1">
        <v>27</v>
      </c>
      <c r="H1">
        <v>1</v>
      </c>
      <c r="I1" t="s">
        <v>127</v>
      </c>
      <c r="J1" t="s">
        <v>3</v>
      </c>
      <c r="K1" t="s">
        <v>128</v>
      </c>
      <c r="L1">
        <v>1191</v>
      </c>
      <c r="N1">
        <v>1013</v>
      </c>
      <c r="O1" t="s">
        <v>129</v>
      </c>
      <c r="P1" t="s">
        <v>129</v>
      </c>
      <c r="Q1">
        <v>1</v>
      </c>
      <c r="W1">
        <v>0</v>
      </c>
      <c r="X1">
        <v>476480486</v>
      </c>
      <c r="Y1">
        <v>59.6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59.6</v>
      </c>
      <c r="AU1" t="s">
        <v>3</v>
      </c>
      <c r="AV1">
        <v>1</v>
      </c>
      <c r="AW1">
        <v>2</v>
      </c>
      <c r="AX1">
        <v>38116969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3.5760000000000001</v>
      </c>
      <c r="CY1">
        <f>AD1</f>
        <v>0</v>
      </c>
      <c r="CZ1">
        <f>AH1</f>
        <v>0</v>
      </c>
      <c r="DA1">
        <f>AL1</f>
        <v>1</v>
      </c>
      <c r="DB1">
        <f>ROUND(ROUND(AT1*CZ1,2),6)</f>
        <v>0</v>
      </c>
      <c r="DC1">
        <f>ROUND(ROUND(AT1*AG1,2),6)</f>
        <v>0</v>
      </c>
    </row>
    <row r="2" spans="1:107" x14ac:dyDescent="0.2">
      <c r="A2">
        <f>ROW(Source!A29)</f>
        <v>29</v>
      </c>
      <c r="B2">
        <v>38115817</v>
      </c>
      <c r="C2">
        <v>38116970</v>
      </c>
      <c r="D2">
        <v>36621550</v>
      </c>
      <c r="E2">
        <v>27</v>
      </c>
      <c r="F2">
        <v>1</v>
      </c>
      <c r="G2">
        <v>27</v>
      </c>
      <c r="H2">
        <v>1</v>
      </c>
      <c r="I2" t="s">
        <v>127</v>
      </c>
      <c r="J2" t="s">
        <v>3</v>
      </c>
      <c r="K2" t="s">
        <v>128</v>
      </c>
      <c r="L2">
        <v>1191</v>
      </c>
      <c r="N2">
        <v>1013</v>
      </c>
      <c r="O2" t="s">
        <v>129</v>
      </c>
      <c r="P2" t="s">
        <v>129</v>
      </c>
      <c r="Q2">
        <v>1</v>
      </c>
      <c r="W2">
        <v>0</v>
      </c>
      <c r="X2">
        <v>476480486</v>
      </c>
      <c r="Y2">
        <v>13.57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13.57</v>
      </c>
      <c r="AU2" t="s">
        <v>3</v>
      </c>
      <c r="AV2">
        <v>1</v>
      </c>
      <c r="AW2">
        <v>2</v>
      </c>
      <c r="AX2">
        <v>38116971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Y2*Source!I29</f>
        <v>8.1419999999999995</v>
      </c>
      <c r="CY2">
        <f>AD2</f>
        <v>0</v>
      </c>
      <c r="CZ2">
        <f>AH2</f>
        <v>0</v>
      </c>
      <c r="DA2">
        <f>AL2</f>
        <v>1</v>
      </c>
      <c r="DB2">
        <f>ROUND(ROUND(AT2*CZ2,2),6)</f>
        <v>0</v>
      </c>
      <c r="DC2">
        <f>ROUND(ROUND(AT2*AG2,2),6)</f>
        <v>0</v>
      </c>
    </row>
    <row r="3" spans="1:107" x14ac:dyDescent="0.2">
      <c r="A3">
        <f>ROW(Source!A29)</f>
        <v>29</v>
      </c>
      <c r="B3">
        <v>38115817</v>
      </c>
      <c r="C3">
        <v>38116970</v>
      </c>
      <c r="D3">
        <v>36633910</v>
      </c>
      <c r="E3">
        <v>1</v>
      </c>
      <c r="F3">
        <v>1</v>
      </c>
      <c r="G3">
        <v>27</v>
      </c>
      <c r="H3">
        <v>2</v>
      </c>
      <c r="I3" t="s">
        <v>130</v>
      </c>
      <c r="J3" t="s">
        <v>131</v>
      </c>
      <c r="K3" t="s">
        <v>132</v>
      </c>
      <c r="L3">
        <v>1368</v>
      </c>
      <c r="N3">
        <v>1011</v>
      </c>
      <c r="O3" t="s">
        <v>133</v>
      </c>
      <c r="P3" t="s">
        <v>133</v>
      </c>
      <c r="Q3">
        <v>1</v>
      </c>
      <c r="W3">
        <v>0</v>
      </c>
      <c r="X3">
        <v>-1240034423</v>
      </c>
      <c r="Y3">
        <v>0.46</v>
      </c>
      <c r="AA3">
        <v>0</v>
      </c>
      <c r="AB3">
        <v>888.61</v>
      </c>
      <c r="AC3">
        <v>396.74</v>
      </c>
      <c r="AD3">
        <v>0</v>
      </c>
      <c r="AE3">
        <v>0</v>
      </c>
      <c r="AF3">
        <v>888.61</v>
      </c>
      <c r="AG3">
        <v>396.74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0.46</v>
      </c>
      <c r="AU3" t="s">
        <v>3</v>
      </c>
      <c r="AV3">
        <v>0</v>
      </c>
      <c r="AW3">
        <v>2</v>
      </c>
      <c r="AX3">
        <v>38116972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0.27600000000000002</v>
      </c>
      <c r="CY3">
        <f>AB3</f>
        <v>888.61</v>
      </c>
      <c r="CZ3">
        <f>AF3</f>
        <v>888.61</v>
      </c>
      <c r="DA3">
        <f>AJ3</f>
        <v>1</v>
      </c>
      <c r="DB3">
        <f>ROUND(ROUND(AT3*CZ3,2),6)</f>
        <v>408.76</v>
      </c>
      <c r="DC3">
        <f>ROUND(ROUND(AT3*AG3,2),6)</f>
        <v>182.5</v>
      </c>
    </row>
    <row r="4" spans="1:107" x14ac:dyDescent="0.2">
      <c r="A4">
        <f>ROW(Source!A29)</f>
        <v>29</v>
      </c>
      <c r="B4">
        <v>38115817</v>
      </c>
      <c r="C4">
        <v>38116970</v>
      </c>
      <c r="D4">
        <v>36633911</v>
      </c>
      <c r="E4">
        <v>1</v>
      </c>
      <c r="F4">
        <v>1</v>
      </c>
      <c r="G4">
        <v>27</v>
      </c>
      <c r="H4">
        <v>2</v>
      </c>
      <c r="I4" t="s">
        <v>134</v>
      </c>
      <c r="J4" t="s">
        <v>135</v>
      </c>
      <c r="K4" t="s">
        <v>136</v>
      </c>
      <c r="L4">
        <v>1368</v>
      </c>
      <c r="N4">
        <v>1011</v>
      </c>
      <c r="O4" t="s">
        <v>133</v>
      </c>
      <c r="P4" t="s">
        <v>133</v>
      </c>
      <c r="Q4">
        <v>1</v>
      </c>
      <c r="W4">
        <v>0</v>
      </c>
      <c r="X4">
        <v>-2018326900</v>
      </c>
      <c r="Y4">
        <v>1.39</v>
      </c>
      <c r="AA4">
        <v>0</v>
      </c>
      <c r="AB4">
        <v>880.59</v>
      </c>
      <c r="AC4">
        <v>534.02</v>
      </c>
      <c r="AD4">
        <v>0</v>
      </c>
      <c r="AE4">
        <v>0</v>
      </c>
      <c r="AF4">
        <v>880.59</v>
      </c>
      <c r="AG4">
        <v>534.02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1.39</v>
      </c>
      <c r="AU4" t="s">
        <v>3</v>
      </c>
      <c r="AV4">
        <v>0</v>
      </c>
      <c r="AW4">
        <v>2</v>
      </c>
      <c r="AX4">
        <v>38116973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0.83399999999999996</v>
      </c>
      <c r="CY4">
        <f>AB4</f>
        <v>880.59</v>
      </c>
      <c r="CZ4">
        <f>AF4</f>
        <v>880.59</v>
      </c>
      <c r="DA4">
        <f>AJ4</f>
        <v>1</v>
      </c>
      <c r="DB4">
        <f>ROUND(ROUND(AT4*CZ4,2),6)</f>
        <v>1224.02</v>
      </c>
      <c r="DC4">
        <f>ROUND(ROUND(AT4*AG4,2),6)</f>
        <v>742.29</v>
      </c>
    </row>
    <row r="5" spans="1:107" x14ac:dyDescent="0.2">
      <c r="A5">
        <f>ROW(Source!A29)</f>
        <v>29</v>
      </c>
      <c r="B5">
        <v>38115817</v>
      </c>
      <c r="C5">
        <v>38116970</v>
      </c>
      <c r="D5">
        <v>36637803</v>
      </c>
      <c r="E5">
        <v>1</v>
      </c>
      <c r="F5">
        <v>1</v>
      </c>
      <c r="G5">
        <v>27</v>
      </c>
      <c r="H5">
        <v>3</v>
      </c>
      <c r="I5" t="s">
        <v>137</v>
      </c>
      <c r="J5" t="s">
        <v>138</v>
      </c>
      <c r="K5" t="s">
        <v>139</v>
      </c>
      <c r="L5">
        <v>1348</v>
      </c>
      <c r="N5">
        <v>1009</v>
      </c>
      <c r="O5" t="s">
        <v>117</v>
      </c>
      <c r="P5" t="s">
        <v>117</v>
      </c>
      <c r="Q5">
        <v>1000</v>
      </c>
      <c r="W5">
        <v>0</v>
      </c>
      <c r="X5">
        <v>-1620018910</v>
      </c>
      <c r="Y5">
        <v>9.58</v>
      </c>
      <c r="AA5">
        <v>2690.29</v>
      </c>
      <c r="AB5">
        <v>0</v>
      </c>
      <c r="AC5">
        <v>0</v>
      </c>
      <c r="AD5">
        <v>0</v>
      </c>
      <c r="AE5">
        <v>2690.29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9.58</v>
      </c>
      <c r="AU5" t="s">
        <v>3</v>
      </c>
      <c r="AV5">
        <v>0</v>
      </c>
      <c r="AW5">
        <v>2</v>
      </c>
      <c r="AX5">
        <v>38116974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Y5*Source!I29</f>
        <v>5.7480000000000002</v>
      </c>
      <c r="CY5">
        <f>AA5</f>
        <v>2690.29</v>
      </c>
      <c r="CZ5">
        <f>AE5</f>
        <v>2690.29</v>
      </c>
      <c r="DA5">
        <f>AI5</f>
        <v>1</v>
      </c>
      <c r="DB5">
        <f>ROUND(ROUND(AT5*CZ5,2),6)</f>
        <v>25772.98</v>
      </c>
      <c r="DC5">
        <f>ROUND(ROUND(AT5*AG5,2),6)</f>
        <v>0</v>
      </c>
    </row>
    <row r="6" spans="1:107" x14ac:dyDescent="0.2">
      <c r="A6">
        <f>ROW(Source!A30)</f>
        <v>30</v>
      </c>
      <c r="B6">
        <v>38115817</v>
      </c>
      <c r="C6">
        <v>38116993</v>
      </c>
      <c r="D6">
        <v>36621550</v>
      </c>
      <c r="E6">
        <v>27</v>
      </c>
      <c r="F6">
        <v>1</v>
      </c>
      <c r="G6">
        <v>27</v>
      </c>
      <c r="H6">
        <v>1</v>
      </c>
      <c r="I6" t="s">
        <v>127</v>
      </c>
      <c r="J6" t="s">
        <v>3</v>
      </c>
      <c r="K6" t="s">
        <v>128</v>
      </c>
      <c r="L6">
        <v>1191</v>
      </c>
      <c r="N6">
        <v>1013</v>
      </c>
      <c r="O6" t="s">
        <v>129</v>
      </c>
      <c r="P6" t="s">
        <v>129</v>
      </c>
      <c r="Q6">
        <v>1</v>
      </c>
      <c r="W6">
        <v>0</v>
      </c>
      <c r="X6">
        <v>476480486</v>
      </c>
      <c r="Y6">
        <v>24.874000000000002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1</v>
      </c>
      <c r="AQ6">
        <v>0</v>
      </c>
      <c r="AR6">
        <v>0</v>
      </c>
      <c r="AS6" t="s">
        <v>3</v>
      </c>
      <c r="AT6">
        <v>124.37</v>
      </c>
      <c r="AU6" t="s">
        <v>34</v>
      </c>
      <c r="AV6">
        <v>1</v>
      </c>
      <c r="AW6">
        <v>2</v>
      </c>
      <c r="AX6">
        <v>38116994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Y6*Source!I30</f>
        <v>6.4672400000000012</v>
      </c>
      <c r="CY6">
        <f>AD6</f>
        <v>0</v>
      </c>
      <c r="CZ6">
        <f>AH6</f>
        <v>0</v>
      </c>
      <c r="DA6">
        <f>AL6</f>
        <v>1</v>
      </c>
      <c r="DB6">
        <f>ROUND((ROUND(AT6*CZ6,2)*0.2),6)</f>
        <v>0</v>
      </c>
      <c r="DC6">
        <f>ROUND((ROUND(AT6*AG6,2)*0.2),6)</f>
        <v>0</v>
      </c>
    </row>
    <row r="7" spans="1:107" x14ac:dyDescent="0.2">
      <c r="A7">
        <f>ROW(Source!A30)</f>
        <v>30</v>
      </c>
      <c r="B7">
        <v>38115817</v>
      </c>
      <c r="C7">
        <v>38116993</v>
      </c>
      <c r="D7">
        <v>36634527</v>
      </c>
      <c r="E7">
        <v>1</v>
      </c>
      <c r="F7">
        <v>1</v>
      </c>
      <c r="G7">
        <v>27</v>
      </c>
      <c r="H7">
        <v>2</v>
      </c>
      <c r="I7" t="s">
        <v>140</v>
      </c>
      <c r="J7" t="s">
        <v>141</v>
      </c>
      <c r="K7" t="s">
        <v>142</v>
      </c>
      <c r="L7">
        <v>1368</v>
      </c>
      <c r="N7">
        <v>1011</v>
      </c>
      <c r="O7" t="s">
        <v>133</v>
      </c>
      <c r="P7" t="s">
        <v>133</v>
      </c>
      <c r="Q7">
        <v>1</v>
      </c>
      <c r="W7">
        <v>0</v>
      </c>
      <c r="X7">
        <v>1185668136</v>
      </c>
      <c r="Y7">
        <v>0.22000000000000003</v>
      </c>
      <c r="AA7">
        <v>0</v>
      </c>
      <c r="AB7">
        <v>641.88</v>
      </c>
      <c r="AC7">
        <v>413.66</v>
      </c>
      <c r="AD7">
        <v>0</v>
      </c>
      <c r="AE7">
        <v>0</v>
      </c>
      <c r="AF7">
        <v>641.88</v>
      </c>
      <c r="AG7">
        <v>413.66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1</v>
      </c>
      <c r="AQ7">
        <v>0</v>
      </c>
      <c r="AR7">
        <v>0</v>
      </c>
      <c r="AS7" t="s">
        <v>3</v>
      </c>
      <c r="AT7">
        <v>1.1000000000000001</v>
      </c>
      <c r="AU7" t="s">
        <v>34</v>
      </c>
      <c r="AV7">
        <v>0</v>
      </c>
      <c r="AW7">
        <v>2</v>
      </c>
      <c r="AX7">
        <v>38116995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Y7*Source!I30</f>
        <v>5.7200000000000008E-2</v>
      </c>
      <c r="CY7">
        <f>AB7</f>
        <v>641.88</v>
      </c>
      <c r="CZ7">
        <f>AF7</f>
        <v>641.88</v>
      </c>
      <c r="DA7">
        <f>AJ7</f>
        <v>1</v>
      </c>
      <c r="DB7">
        <f>ROUND((ROUND(AT7*CZ7,2)*0.2),6)</f>
        <v>141.214</v>
      </c>
      <c r="DC7">
        <f>ROUND((ROUND(AT7*AG7,2)*0.2),6)</f>
        <v>91.006</v>
      </c>
    </row>
    <row r="8" spans="1:107" x14ac:dyDescent="0.2">
      <c r="A8">
        <f>ROW(Source!A30)</f>
        <v>30</v>
      </c>
      <c r="B8">
        <v>38115817</v>
      </c>
      <c r="C8">
        <v>38116993</v>
      </c>
      <c r="D8">
        <v>36634562</v>
      </c>
      <c r="E8">
        <v>1</v>
      </c>
      <c r="F8">
        <v>1</v>
      </c>
      <c r="G8">
        <v>27</v>
      </c>
      <c r="H8">
        <v>2</v>
      </c>
      <c r="I8" t="s">
        <v>143</v>
      </c>
      <c r="J8" t="s">
        <v>144</v>
      </c>
      <c r="K8" t="s">
        <v>145</v>
      </c>
      <c r="L8">
        <v>1368</v>
      </c>
      <c r="N8">
        <v>1011</v>
      </c>
      <c r="O8" t="s">
        <v>133</v>
      </c>
      <c r="P8" t="s">
        <v>133</v>
      </c>
      <c r="Q8">
        <v>1</v>
      </c>
      <c r="W8">
        <v>0</v>
      </c>
      <c r="X8">
        <v>1867963690</v>
      </c>
      <c r="Y8">
        <v>1.4240000000000002</v>
      </c>
      <c r="AA8">
        <v>0</v>
      </c>
      <c r="AB8">
        <v>7.97</v>
      </c>
      <c r="AC8">
        <v>1.87</v>
      </c>
      <c r="AD8">
        <v>0</v>
      </c>
      <c r="AE8">
        <v>0</v>
      </c>
      <c r="AF8">
        <v>7.97</v>
      </c>
      <c r="AG8">
        <v>1.87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1</v>
      </c>
      <c r="AQ8">
        <v>0</v>
      </c>
      <c r="AR8">
        <v>0</v>
      </c>
      <c r="AS8" t="s">
        <v>3</v>
      </c>
      <c r="AT8">
        <v>7.12</v>
      </c>
      <c r="AU8" t="s">
        <v>34</v>
      </c>
      <c r="AV8">
        <v>0</v>
      </c>
      <c r="AW8">
        <v>2</v>
      </c>
      <c r="AX8">
        <v>38116996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Y8*Source!I30</f>
        <v>0.37024000000000007</v>
      </c>
      <c r="CY8">
        <f>AB8</f>
        <v>7.97</v>
      </c>
      <c r="CZ8">
        <f>AF8</f>
        <v>7.97</v>
      </c>
      <c r="DA8">
        <f>AJ8</f>
        <v>1</v>
      </c>
      <c r="DB8">
        <f>ROUND((ROUND(AT8*CZ8,2)*0.2),6)</f>
        <v>11.35</v>
      </c>
      <c r="DC8">
        <f>ROUND((ROUND(AT8*AG8,2)*0.2),6)</f>
        <v>2.6619999999999999</v>
      </c>
    </row>
    <row r="9" spans="1:107" x14ac:dyDescent="0.2">
      <c r="A9">
        <f>ROW(Source!A30)</f>
        <v>30</v>
      </c>
      <c r="B9">
        <v>38115817</v>
      </c>
      <c r="C9">
        <v>38116993</v>
      </c>
      <c r="D9">
        <v>36635536</v>
      </c>
      <c r="E9">
        <v>1</v>
      </c>
      <c r="F9">
        <v>1</v>
      </c>
      <c r="G9">
        <v>27</v>
      </c>
      <c r="H9">
        <v>3</v>
      </c>
      <c r="I9" t="s">
        <v>146</v>
      </c>
      <c r="J9" t="s">
        <v>147</v>
      </c>
      <c r="K9" t="s">
        <v>148</v>
      </c>
      <c r="L9">
        <v>1348</v>
      </c>
      <c r="N9">
        <v>1009</v>
      </c>
      <c r="O9" t="s">
        <v>117</v>
      </c>
      <c r="P9" t="s">
        <v>117</v>
      </c>
      <c r="Q9">
        <v>1000</v>
      </c>
      <c r="W9">
        <v>0</v>
      </c>
      <c r="X9">
        <v>1130308456</v>
      </c>
      <c r="Y9">
        <v>0</v>
      </c>
      <c r="AA9">
        <v>53313.54</v>
      </c>
      <c r="AB9">
        <v>0</v>
      </c>
      <c r="AC9">
        <v>0</v>
      </c>
      <c r="AD9">
        <v>0</v>
      </c>
      <c r="AE9">
        <v>53313.54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3</v>
      </c>
      <c r="AT9">
        <v>0.11</v>
      </c>
      <c r="AU9" t="s">
        <v>33</v>
      </c>
      <c r="AV9">
        <v>0</v>
      </c>
      <c r="AW9">
        <v>2</v>
      </c>
      <c r="AX9">
        <v>38116997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Y9*Source!I30</f>
        <v>0</v>
      </c>
      <c r="CY9">
        <f t="shared" ref="CY9:CY16" si="0">AA9</f>
        <v>53313.54</v>
      </c>
      <c r="CZ9">
        <f t="shared" ref="CZ9:CZ16" si="1">AE9</f>
        <v>53313.54</v>
      </c>
      <c r="DA9">
        <f t="shared" ref="DA9:DA16" si="2">AI9</f>
        <v>1</v>
      </c>
      <c r="DB9">
        <f t="shared" ref="DB9:DB16" si="3">ROUND((ROUND(AT9*CZ9,2)*0),6)</f>
        <v>0</v>
      </c>
      <c r="DC9">
        <f t="shared" ref="DC9:DC16" si="4">ROUND((ROUND(AT9*AG9,2)*0),6)</f>
        <v>0</v>
      </c>
    </row>
    <row r="10" spans="1:107" x14ac:dyDescent="0.2">
      <c r="A10">
        <f>ROW(Source!A30)</f>
        <v>30</v>
      </c>
      <c r="B10">
        <v>38115817</v>
      </c>
      <c r="C10">
        <v>38116993</v>
      </c>
      <c r="D10">
        <v>36635876</v>
      </c>
      <c r="E10">
        <v>1</v>
      </c>
      <c r="F10">
        <v>1</v>
      </c>
      <c r="G10">
        <v>27</v>
      </c>
      <c r="H10">
        <v>3</v>
      </c>
      <c r="I10" t="s">
        <v>149</v>
      </c>
      <c r="J10" t="s">
        <v>150</v>
      </c>
      <c r="K10" t="s">
        <v>151</v>
      </c>
      <c r="L10">
        <v>1339</v>
      </c>
      <c r="N10">
        <v>1007</v>
      </c>
      <c r="O10" t="s">
        <v>40</v>
      </c>
      <c r="P10" t="s">
        <v>40</v>
      </c>
      <c r="Q10">
        <v>1</v>
      </c>
      <c r="W10">
        <v>0</v>
      </c>
      <c r="X10">
        <v>909340900</v>
      </c>
      <c r="Y10">
        <v>0</v>
      </c>
      <c r="AA10">
        <v>590.78</v>
      </c>
      <c r="AB10">
        <v>0</v>
      </c>
      <c r="AC10">
        <v>0</v>
      </c>
      <c r="AD10">
        <v>0</v>
      </c>
      <c r="AE10">
        <v>590.78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3.4</v>
      </c>
      <c r="AU10" t="s">
        <v>33</v>
      </c>
      <c r="AV10">
        <v>0</v>
      </c>
      <c r="AW10">
        <v>2</v>
      </c>
      <c r="AX10">
        <v>38116998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Y10*Source!I30</f>
        <v>0</v>
      </c>
      <c r="CY10">
        <f t="shared" si="0"/>
        <v>590.78</v>
      </c>
      <c r="CZ10">
        <f t="shared" si="1"/>
        <v>590.78</v>
      </c>
      <c r="DA10">
        <f t="shared" si="2"/>
        <v>1</v>
      </c>
      <c r="DB10">
        <f t="shared" si="3"/>
        <v>0</v>
      </c>
      <c r="DC10">
        <f t="shared" si="4"/>
        <v>0</v>
      </c>
    </row>
    <row r="11" spans="1:107" x14ac:dyDescent="0.2">
      <c r="A11">
        <f>ROW(Source!A30)</f>
        <v>30</v>
      </c>
      <c r="B11">
        <v>38115817</v>
      </c>
      <c r="C11">
        <v>38116993</v>
      </c>
      <c r="D11">
        <v>36635894</v>
      </c>
      <c r="E11">
        <v>1</v>
      </c>
      <c r="F11">
        <v>1</v>
      </c>
      <c r="G11">
        <v>27</v>
      </c>
      <c r="H11">
        <v>3</v>
      </c>
      <c r="I11" t="s">
        <v>152</v>
      </c>
      <c r="J11" t="s">
        <v>153</v>
      </c>
      <c r="K11" t="s">
        <v>154</v>
      </c>
      <c r="L11">
        <v>1339</v>
      </c>
      <c r="N11">
        <v>1007</v>
      </c>
      <c r="O11" t="s">
        <v>40</v>
      </c>
      <c r="P11" t="s">
        <v>40</v>
      </c>
      <c r="Q11">
        <v>1</v>
      </c>
      <c r="W11">
        <v>0</v>
      </c>
      <c r="X11">
        <v>-1412128106</v>
      </c>
      <c r="Y11">
        <v>0</v>
      </c>
      <c r="AA11">
        <v>1436.5</v>
      </c>
      <c r="AB11">
        <v>0</v>
      </c>
      <c r="AC11">
        <v>0</v>
      </c>
      <c r="AD11">
        <v>0</v>
      </c>
      <c r="AE11">
        <v>1436.5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1</v>
      </c>
      <c r="AQ11">
        <v>0</v>
      </c>
      <c r="AR11">
        <v>0</v>
      </c>
      <c r="AS11" t="s">
        <v>3</v>
      </c>
      <c r="AT11">
        <v>3.4</v>
      </c>
      <c r="AU11" t="s">
        <v>33</v>
      </c>
      <c r="AV11">
        <v>0</v>
      </c>
      <c r="AW11">
        <v>2</v>
      </c>
      <c r="AX11">
        <v>38116999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Y11*Source!I30</f>
        <v>0</v>
      </c>
      <c r="CY11">
        <f t="shared" si="0"/>
        <v>1436.5</v>
      </c>
      <c r="CZ11">
        <f t="shared" si="1"/>
        <v>1436.5</v>
      </c>
      <c r="DA11">
        <f t="shared" si="2"/>
        <v>1</v>
      </c>
      <c r="DB11">
        <f t="shared" si="3"/>
        <v>0</v>
      </c>
      <c r="DC11">
        <f t="shared" si="4"/>
        <v>0</v>
      </c>
    </row>
    <row r="12" spans="1:107" x14ac:dyDescent="0.2">
      <c r="A12">
        <f>ROW(Source!A30)</f>
        <v>30</v>
      </c>
      <c r="B12">
        <v>38115817</v>
      </c>
      <c r="C12">
        <v>38116993</v>
      </c>
      <c r="D12">
        <v>36635926</v>
      </c>
      <c r="E12">
        <v>1</v>
      </c>
      <c r="F12">
        <v>1</v>
      </c>
      <c r="G12">
        <v>27</v>
      </c>
      <c r="H12">
        <v>3</v>
      </c>
      <c r="I12" t="s">
        <v>155</v>
      </c>
      <c r="J12" t="s">
        <v>156</v>
      </c>
      <c r="K12" t="s">
        <v>157</v>
      </c>
      <c r="L12">
        <v>1348</v>
      </c>
      <c r="N12">
        <v>1009</v>
      </c>
      <c r="O12" t="s">
        <v>117</v>
      </c>
      <c r="P12" t="s">
        <v>117</v>
      </c>
      <c r="Q12">
        <v>1000</v>
      </c>
      <c r="W12">
        <v>0</v>
      </c>
      <c r="X12">
        <v>-750171961</v>
      </c>
      <c r="Y12">
        <v>0</v>
      </c>
      <c r="AA12">
        <v>9548.1200000000008</v>
      </c>
      <c r="AB12">
        <v>0</v>
      </c>
      <c r="AC12">
        <v>0</v>
      </c>
      <c r="AD12">
        <v>0</v>
      </c>
      <c r="AE12">
        <v>9548.1200000000008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3</v>
      </c>
      <c r="AT12">
        <v>1.46</v>
      </c>
      <c r="AU12" t="s">
        <v>33</v>
      </c>
      <c r="AV12">
        <v>0</v>
      </c>
      <c r="AW12">
        <v>2</v>
      </c>
      <c r="AX12">
        <v>38117000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Y12*Source!I30</f>
        <v>0</v>
      </c>
      <c r="CY12">
        <f t="shared" si="0"/>
        <v>9548.1200000000008</v>
      </c>
      <c r="CZ12">
        <f t="shared" si="1"/>
        <v>9548.1200000000008</v>
      </c>
      <c r="DA12">
        <f t="shared" si="2"/>
        <v>1</v>
      </c>
      <c r="DB12">
        <f t="shared" si="3"/>
        <v>0</v>
      </c>
      <c r="DC12">
        <f t="shared" si="4"/>
        <v>0</v>
      </c>
    </row>
    <row r="13" spans="1:107" x14ac:dyDescent="0.2">
      <c r="A13">
        <f>ROW(Source!A30)</f>
        <v>30</v>
      </c>
      <c r="B13">
        <v>38115817</v>
      </c>
      <c r="C13">
        <v>38116993</v>
      </c>
      <c r="D13">
        <v>36635927</v>
      </c>
      <c r="E13">
        <v>1</v>
      </c>
      <c r="F13">
        <v>1</v>
      </c>
      <c r="G13">
        <v>27</v>
      </c>
      <c r="H13">
        <v>3</v>
      </c>
      <c r="I13" t="s">
        <v>158</v>
      </c>
      <c r="J13" t="s">
        <v>159</v>
      </c>
      <c r="K13" t="s">
        <v>160</v>
      </c>
      <c r="L13">
        <v>1327</v>
      </c>
      <c r="N13">
        <v>1005</v>
      </c>
      <c r="O13" t="s">
        <v>161</v>
      </c>
      <c r="P13" t="s">
        <v>161</v>
      </c>
      <c r="Q13">
        <v>1</v>
      </c>
      <c r="W13">
        <v>0</v>
      </c>
      <c r="X13">
        <v>-1610909561</v>
      </c>
      <c r="Y13">
        <v>0</v>
      </c>
      <c r="AA13">
        <v>4659.1099999999997</v>
      </c>
      <c r="AB13">
        <v>0</v>
      </c>
      <c r="AC13">
        <v>0</v>
      </c>
      <c r="AD13">
        <v>0</v>
      </c>
      <c r="AE13">
        <v>4659.1099999999997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10</v>
      </c>
      <c r="AU13" t="s">
        <v>33</v>
      </c>
      <c r="AV13">
        <v>0</v>
      </c>
      <c r="AW13">
        <v>2</v>
      </c>
      <c r="AX13">
        <v>38117001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Y13*Source!I30</f>
        <v>0</v>
      </c>
      <c r="CY13">
        <f t="shared" si="0"/>
        <v>4659.1099999999997</v>
      </c>
      <c r="CZ13">
        <f t="shared" si="1"/>
        <v>4659.1099999999997</v>
      </c>
      <c r="DA13">
        <f t="shared" si="2"/>
        <v>1</v>
      </c>
      <c r="DB13">
        <f t="shared" si="3"/>
        <v>0</v>
      </c>
      <c r="DC13">
        <f t="shared" si="4"/>
        <v>0</v>
      </c>
    </row>
    <row r="14" spans="1:107" x14ac:dyDescent="0.2">
      <c r="A14">
        <f>ROW(Source!A30)</f>
        <v>30</v>
      </c>
      <c r="B14">
        <v>38115817</v>
      </c>
      <c r="C14">
        <v>38116993</v>
      </c>
      <c r="D14">
        <v>36634824</v>
      </c>
      <c r="E14">
        <v>1</v>
      </c>
      <c r="F14">
        <v>1</v>
      </c>
      <c r="G14">
        <v>27</v>
      </c>
      <c r="H14">
        <v>3</v>
      </c>
      <c r="I14" t="s">
        <v>162</v>
      </c>
      <c r="J14" t="s">
        <v>163</v>
      </c>
      <c r="K14" t="s">
        <v>164</v>
      </c>
      <c r="L14">
        <v>1348</v>
      </c>
      <c r="N14">
        <v>1009</v>
      </c>
      <c r="O14" t="s">
        <v>117</v>
      </c>
      <c r="P14" t="s">
        <v>117</v>
      </c>
      <c r="Q14">
        <v>1000</v>
      </c>
      <c r="W14">
        <v>0</v>
      </c>
      <c r="X14">
        <v>1285591100</v>
      </c>
      <c r="Y14">
        <v>0</v>
      </c>
      <c r="AA14">
        <v>4207.5</v>
      </c>
      <c r="AB14">
        <v>0</v>
      </c>
      <c r="AC14">
        <v>0</v>
      </c>
      <c r="AD14">
        <v>0</v>
      </c>
      <c r="AE14">
        <v>4207.5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1.3</v>
      </c>
      <c r="AU14" t="s">
        <v>33</v>
      </c>
      <c r="AV14">
        <v>0</v>
      </c>
      <c r="AW14">
        <v>2</v>
      </c>
      <c r="AX14">
        <v>38117002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Y14*Source!I30</f>
        <v>0</v>
      </c>
      <c r="CY14">
        <f t="shared" si="0"/>
        <v>4207.5</v>
      </c>
      <c r="CZ14">
        <f t="shared" si="1"/>
        <v>4207.5</v>
      </c>
      <c r="DA14">
        <f t="shared" si="2"/>
        <v>1</v>
      </c>
      <c r="DB14">
        <f t="shared" si="3"/>
        <v>0</v>
      </c>
      <c r="DC14">
        <f t="shared" si="4"/>
        <v>0</v>
      </c>
    </row>
    <row r="15" spans="1:107" x14ac:dyDescent="0.2">
      <c r="A15">
        <f>ROW(Source!A30)</f>
        <v>30</v>
      </c>
      <c r="B15">
        <v>38115817</v>
      </c>
      <c r="C15">
        <v>38116993</v>
      </c>
      <c r="D15">
        <v>36636621</v>
      </c>
      <c r="E15">
        <v>1</v>
      </c>
      <c r="F15">
        <v>1</v>
      </c>
      <c r="G15">
        <v>27</v>
      </c>
      <c r="H15">
        <v>3</v>
      </c>
      <c r="I15" t="s">
        <v>38</v>
      </c>
      <c r="J15" t="s">
        <v>41</v>
      </c>
      <c r="K15" t="s">
        <v>39</v>
      </c>
      <c r="L15">
        <v>1339</v>
      </c>
      <c r="N15">
        <v>1007</v>
      </c>
      <c r="O15" t="s">
        <v>40</v>
      </c>
      <c r="P15" t="s">
        <v>40</v>
      </c>
      <c r="Q15">
        <v>1</v>
      </c>
      <c r="W15">
        <v>0</v>
      </c>
      <c r="X15">
        <v>1927597627</v>
      </c>
      <c r="Y15">
        <v>0</v>
      </c>
      <c r="AA15">
        <v>35.25</v>
      </c>
      <c r="AB15">
        <v>0</v>
      </c>
      <c r="AC15">
        <v>0</v>
      </c>
      <c r="AD15">
        <v>0</v>
      </c>
      <c r="AE15">
        <v>35.25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3</v>
      </c>
      <c r="AT15">
        <v>1</v>
      </c>
      <c r="AU15" t="s">
        <v>33</v>
      </c>
      <c r="AV15">
        <v>0</v>
      </c>
      <c r="AW15">
        <v>2</v>
      </c>
      <c r="AX15">
        <v>38117003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Y15*Source!I30</f>
        <v>0</v>
      </c>
      <c r="CY15">
        <f t="shared" si="0"/>
        <v>35.25</v>
      </c>
      <c r="CZ15">
        <f t="shared" si="1"/>
        <v>35.25</v>
      </c>
      <c r="DA15">
        <f t="shared" si="2"/>
        <v>1</v>
      </c>
      <c r="DB15">
        <f t="shared" si="3"/>
        <v>0</v>
      </c>
      <c r="DC15">
        <f t="shared" si="4"/>
        <v>0</v>
      </c>
    </row>
    <row r="16" spans="1:107" x14ac:dyDescent="0.2">
      <c r="A16">
        <f>ROW(Source!A30)</f>
        <v>30</v>
      </c>
      <c r="B16">
        <v>38115817</v>
      </c>
      <c r="C16">
        <v>38116993</v>
      </c>
      <c r="D16">
        <v>36637840</v>
      </c>
      <c r="E16">
        <v>1</v>
      </c>
      <c r="F16">
        <v>1</v>
      </c>
      <c r="G16">
        <v>27</v>
      </c>
      <c r="H16">
        <v>3</v>
      </c>
      <c r="I16" t="s">
        <v>165</v>
      </c>
      <c r="J16" t="s">
        <v>166</v>
      </c>
      <c r="K16" t="s">
        <v>167</v>
      </c>
      <c r="L16">
        <v>1348</v>
      </c>
      <c r="N16">
        <v>1009</v>
      </c>
      <c r="O16" t="s">
        <v>117</v>
      </c>
      <c r="P16" t="s">
        <v>117</v>
      </c>
      <c r="Q16">
        <v>1000</v>
      </c>
      <c r="W16">
        <v>0</v>
      </c>
      <c r="X16">
        <v>-508128525</v>
      </c>
      <c r="Y16">
        <v>0</v>
      </c>
      <c r="AA16">
        <v>36434</v>
      </c>
      <c r="AB16">
        <v>0</v>
      </c>
      <c r="AC16">
        <v>0</v>
      </c>
      <c r="AD16">
        <v>0</v>
      </c>
      <c r="AE16">
        <v>36434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 t="s">
        <v>3</v>
      </c>
      <c r="AT16">
        <v>0.03</v>
      </c>
      <c r="AU16" t="s">
        <v>33</v>
      </c>
      <c r="AV16">
        <v>0</v>
      </c>
      <c r="AW16">
        <v>2</v>
      </c>
      <c r="AX16">
        <v>38117004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Y16*Source!I30</f>
        <v>0</v>
      </c>
      <c r="CY16">
        <f t="shared" si="0"/>
        <v>36434</v>
      </c>
      <c r="CZ16">
        <f t="shared" si="1"/>
        <v>36434</v>
      </c>
      <c r="DA16">
        <f t="shared" si="2"/>
        <v>1</v>
      </c>
      <c r="DB16">
        <f t="shared" si="3"/>
        <v>0</v>
      </c>
      <c r="DC16">
        <f t="shared" si="4"/>
        <v>0</v>
      </c>
    </row>
    <row r="17" spans="1:107" x14ac:dyDescent="0.2">
      <c r="A17">
        <f>ROW(Source!A31)</f>
        <v>31</v>
      </c>
      <c r="B17">
        <v>38115817</v>
      </c>
      <c r="C17">
        <v>38116981</v>
      </c>
      <c r="D17">
        <v>36621550</v>
      </c>
      <c r="E17">
        <v>27</v>
      </c>
      <c r="F17">
        <v>1</v>
      </c>
      <c r="G17">
        <v>27</v>
      </c>
      <c r="H17">
        <v>1</v>
      </c>
      <c r="I17" t="s">
        <v>127</v>
      </c>
      <c r="J17" t="s">
        <v>3</v>
      </c>
      <c r="K17" t="s">
        <v>128</v>
      </c>
      <c r="L17">
        <v>1191</v>
      </c>
      <c r="N17">
        <v>1013</v>
      </c>
      <c r="O17" t="s">
        <v>129</v>
      </c>
      <c r="P17" t="s">
        <v>129</v>
      </c>
      <c r="Q17">
        <v>1</v>
      </c>
      <c r="W17">
        <v>0</v>
      </c>
      <c r="X17">
        <v>476480486</v>
      </c>
      <c r="Y17">
        <v>124.37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124.37</v>
      </c>
      <c r="AU17" t="s">
        <v>3</v>
      </c>
      <c r="AV17">
        <v>1</v>
      </c>
      <c r="AW17">
        <v>2</v>
      </c>
      <c r="AX17">
        <v>38116982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Y17*Source!I31</f>
        <v>32.336200000000005</v>
      </c>
      <c r="CY17">
        <f>AD17</f>
        <v>0</v>
      </c>
      <c r="CZ17">
        <f>AH17</f>
        <v>0</v>
      </c>
      <c r="DA17">
        <f>AL17</f>
        <v>1</v>
      </c>
      <c r="DB17">
        <f t="shared" ref="DB17:DB52" si="5">ROUND(ROUND(AT17*CZ17,2),6)</f>
        <v>0</v>
      </c>
      <c r="DC17">
        <f t="shared" ref="DC17:DC52" si="6">ROUND(ROUND(AT17*AG17,2),6)</f>
        <v>0</v>
      </c>
    </row>
    <row r="18" spans="1:107" x14ac:dyDescent="0.2">
      <c r="A18">
        <f>ROW(Source!A31)</f>
        <v>31</v>
      </c>
      <c r="B18">
        <v>38115817</v>
      </c>
      <c r="C18">
        <v>38116981</v>
      </c>
      <c r="D18">
        <v>36634527</v>
      </c>
      <c r="E18">
        <v>1</v>
      </c>
      <c r="F18">
        <v>1</v>
      </c>
      <c r="G18">
        <v>27</v>
      </c>
      <c r="H18">
        <v>2</v>
      </c>
      <c r="I18" t="s">
        <v>140</v>
      </c>
      <c r="J18" t="s">
        <v>141</v>
      </c>
      <c r="K18" t="s">
        <v>142</v>
      </c>
      <c r="L18">
        <v>1368</v>
      </c>
      <c r="N18">
        <v>1011</v>
      </c>
      <c r="O18" t="s">
        <v>133</v>
      </c>
      <c r="P18" t="s">
        <v>133</v>
      </c>
      <c r="Q18">
        <v>1</v>
      </c>
      <c r="W18">
        <v>0</v>
      </c>
      <c r="X18">
        <v>1185668136</v>
      </c>
      <c r="Y18">
        <v>1.1000000000000001</v>
      </c>
      <c r="AA18">
        <v>0</v>
      </c>
      <c r="AB18">
        <v>641.88</v>
      </c>
      <c r="AC18">
        <v>413.66</v>
      </c>
      <c r="AD18">
        <v>0</v>
      </c>
      <c r="AE18">
        <v>0</v>
      </c>
      <c r="AF18">
        <v>641.88</v>
      </c>
      <c r="AG18">
        <v>413.66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1.1000000000000001</v>
      </c>
      <c r="AU18" t="s">
        <v>3</v>
      </c>
      <c r="AV18">
        <v>0</v>
      </c>
      <c r="AW18">
        <v>2</v>
      </c>
      <c r="AX18">
        <v>38116983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Y18*Source!I31</f>
        <v>0.28600000000000003</v>
      </c>
      <c r="CY18">
        <f>AB18</f>
        <v>641.88</v>
      </c>
      <c r="CZ18">
        <f>AF18</f>
        <v>641.88</v>
      </c>
      <c r="DA18">
        <f>AJ18</f>
        <v>1</v>
      </c>
      <c r="DB18">
        <f t="shared" si="5"/>
        <v>706.07</v>
      </c>
      <c r="DC18">
        <f t="shared" si="6"/>
        <v>455.03</v>
      </c>
    </row>
    <row r="19" spans="1:107" x14ac:dyDescent="0.2">
      <c r="A19">
        <f>ROW(Source!A31)</f>
        <v>31</v>
      </c>
      <c r="B19">
        <v>38115817</v>
      </c>
      <c r="C19">
        <v>38116981</v>
      </c>
      <c r="D19">
        <v>36634562</v>
      </c>
      <c r="E19">
        <v>1</v>
      </c>
      <c r="F19">
        <v>1</v>
      </c>
      <c r="G19">
        <v>27</v>
      </c>
      <c r="H19">
        <v>2</v>
      </c>
      <c r="I19" t="s">
        <v>143</v>
      </c>
      <c r="J19" t="s">
        <v>144</v>
      </c>
      <c r="K19" t="s">
        <v>145</v>
      </c>
      <c r="L19">
        <v>1368</v>
      </c>
      <c r="N19">
        <v>1011</v>
      </c>
      <c r="O19" t="s">
        <v>133</v>
      </c>
      <c r="P19" t="s">
        <v>133</v>
      </c>
      <c r="Q19">
        <v>1</v>
      </c>
      <c r="W19">
        <v>0</v>
      </c>
      <c r="X19">
        <v>1867963690</v>
      </c>
      <c r="Y19">
        <v>7.12</v>
      </c>
      <c r="AA19">
        <v>0</v>
      </c>
      <c r="AB19">
        <v>7.97</v>
      </c>
      <c r="AC19">
        <v>1.87</v>
      </c>
      <c r="AD19">
        <v>0</v>
      </c>
      <c r="AE19">
        <v>0</v>
      </c>
      <c r="AF19">
        <v>7.97</v>
      </c>
      <c r="AG19">
        <v>1.87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7.12</v>
      </c>
      <c r="AU19" t="s">
        <v>3</v>
      </c>
      <c r="AV19">
        <v>0</v>
      </c>
      <c r="AW19">
        <v>2</v>
      </c>
      <c r="AX19">
        <v>38116984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Y19*Source!I31</f>
        <v>1.8512000000000002</v>
      </c>
      <c r="CY19">
        <f>AB19</f>
        <v>7.97</v>
      </c>
      <c r="CZ19">
        <f>AF19</f>
        <v>7.97</v>
      </c>
      <c r="DA19">
        <f>AJ19</f>
        <v>1</v>
      </c>
      <c r="DB19">
        <f t="shared" si="5"/>
        <v>56.75</v>
      </c>
      <c r="DC19">
        <f t="shared" si="6"/>
        <v>13.31</v>
      </c>
    </row>
    <row r="20" spans="1:107" x14ac:dyDescent="0.2">
      <c r="A20">
        <f>ROW(Source!A31)</f>
        <v>31</v>
      </c>
      <c r="B20">
        <v>38115817</v>
      </c>
      <c r="C20">
        <v>38116981</v>
      </c>
      <c r="D20">
        <v>36635536</v>
      </c>
      <c r="E20">
        <v>1</v>
      </c>
      <c r="F20">
        <v>1</v>
      </c>
      <c r="G20">
        <v>27</v>
      </c>
      <c r="H20">
        <v>3</v>
      </c>
      <c r="I20" t="s">
        <v>146</v>
      </c>
      <c r="J20" t="s">
        <v>147</v>
      </c>
      <c r="K20" t="s">
        <v>148</v>
      </c>
      <c r="L20">
        <v>1348</v>
      </c>
      <c r="N20">
        <v>1009</v>
      </c>
      <c r="O20" t="s">
        <v>117</v>
      </c>
      <c r="P20" t="s">
        <v>117</v>
      </c>
      <c r="Q20">
        <v>1000</v>
      </c>
      <c r="W20">
        <v>0</v>
      </c>
      <c r="X20">
        <v>1130308456</v>
      </c>
      <c r="Y20">
        <v>0.11</v>
      </c>
      <c r="AA20">
        <v>53313.54</v>
      </c>
      <c r="AB20">
        <v>0</v>
      </c>
      <c r="AC20">
        <v>0</v>
      </c>
      <c r="AD20">
        <v>0</v>
      </c>
      <c r="AE20">
        <v>53313.54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0.11</v>
      </c>
      <c r="AU20" t="s">
        <v>3</v>
      </c>
      <c r="AV20">
        <v>0</v>
      </c>
      <c r="AW20">
        <v>2</v>
      </c>
      <c r="AX20">
        <v>38116985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Y20*Source!I31</f>
        <v>2.86E-2</v>
      </c>
      <c r="CY20">
        <f t="shared" ref="CY20:CY27" si="7">AA20</f>
        <v>53313.54</v>
      </c>
      <c r="CZ20">
        <f t="shared" ref="CZ20:CZ27" si="8">AE20</f>
        <v>53313.54</v>
      </c>
      <c r="DA20">
        <f t="shared" ref="DA20:DA27" si="9">AI20</f>
        <v>1</v>
      </c>
      <c r="DB20">
        <f t="shared" si="5"/>
        <v>5864.49</v>
      </c>
      <c r="DC20">
        <f t="shared" si="6"/>
        <v>0</v>
      </c>
    </row>
    <row r="21" spans="1:107" x14ac:dyDescent="0.2">
      <c r="A21">
        <f>ROW(Source!A31)</f>
        <v>31</v>
      </c>
      <c r="B21">
        <v>38115817</v>
      </c>
      <c r="C21">
        <v>38116981</v>
      </c>
      <c r="D21">
        <v>36635876</v>
      </c>
      <c r="E21">
        <v>1</v>
      </c>
      <c r="F21">
        <v>1</v>
      </c>
      <c r="G21">
        <v>27</v>
      </c>
      <c r="H21">
        <v>3</v>
      </c>
      <c r="I21" t="s">
        <v>149</v>
      </c>
      <c r="J21" t="s">
        <v>150</v>
      </c>
      <c r="K21" t="s">
        <v>151</v>
      </c>
      <c r="L21">
        <v>1339</v>
      </c>
      <c r="N21">
        <v>1007</v>
      </c>
      <c r="O21" t="s">
        <v>40</v>
      </c>
      <c r="P21" t="s">
        <v>40</v>
      </c>
      <c r="Q21">
        <v>1</v>
      </c>
      <c r="W21">
        <v>0</v>
      </c>
      <c r="X21">
        <v>909340900</v>
      </c>
      <c r="Y21">
        <v>3.4</v>
      </c>
      <c r="AA21">
        <v>590.78</v>
      </c>
      <c r="AB21">
        <v>0</v>
      </c>
      <c r="AC21">
        <v>0</v>
      </c>
      <c r="AD21">
        <v>0</v>
      </c>
      <c r="AE21">
        <v>590.78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3.4</v>
      </c>
      <c r="AU21" t="s">
        <v>3</v>
      </c>
      <c r="AV21">
        <v>0</v>
      </c>
      <c r="AW21">
        <v>2</v>
      </c>
      <c r="AX21">
        <v>38116986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Y21*Source!I31</f>
        <v>0.88400000000000001</v>
      </c>
      <c r="CY21">
        <f t="shared" si="7"/>
        <v>590.78</v>
      </c>
      <c r="CZ21">
        <f t="shared" si="8"/>
        <v>590.78</v>
      </c>
      <c r="DA21">
        <f t="shared" si="9"/>
        <v>1</v>
      </c>
      <c r="DB21">
        <f t="shared" si="5"/>
        <v>2008.65</v>
      </c>
      <c r="DC21">
        <f t="shared" si="6"/>
        <v>0</v>
      </c>
    </row>
    <row r="22" spans="1:107" x14ac:dyDescent="0.2">
      <c r="A22">
        <f>ROW(Source!A31)</f>
        <v>31</v>
      </c>
      <c r="B22">
        <v>38115817</v>
      </c>
      <c r="C22">
        <v>38116981</v>
      </c>
      <c r="D22">
        <v>36635894</v>
      </c>
      <c r="E22">
        <v>1</v>
      </c>
      <c r="F22">
        <v>1</v>
      </c>
      <c r="G22">
        <v>27</v>
      </c>
      <c r="H22">
        <v>3</v>
      </c>
      <c r="I22" t="s">
        <v>152</v>
      </c>
      <c r="J22" t="s">
        <v>153</v>
      </c>
      <c r="K22" t="s">
        <v>154</v>
      </c>
      <c r="L22">
        <v>1339</v>
      </c>
      <c r="N22">
        <v>1007</v>
      </c>
      <c r="O22" t="s">
        <v>40</v>
      </c>
      <c r="P22" t="s">
        <v>40</v>
      </c>
      <c r="Q22">
        <v>1</v>
      </c>
      <c r="W22">
        <v>0</v>
      </c>
      <c r="X22">
        <v>-1412128106</v>
      </c>
      <c r="Y22">
        <v>3.4</v>
      </c>
      <c r="AA22">
        <v>1436.5</v>
      </c>
      <c r="AB22">
        <v>0</v>
      </c>
      <c r="AC22">
        <v>0</v>
      </c>
      <c r="AD22">
        <v>0</v>
      </c>
      <c r="AE22">
        <v>1436.5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3.4</v>
      </c>
      <c r="AU22" t="s">
        <v>3</v>
      </c>
      <c r="AV22">
        <v>0</v>
      </c>
      <c r="AW22">
        <v>2</v>
      </c>
      <c r="AX22">
        <v>38116987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Y22*Source!I31</f>
        <v>0.88400000000000001</v>
      </c>
      <c r="CY22">
        <f t="shared" si="7"/>
        <v>1436.5</v>
      </c>
      <c r="CZ22">
        <f t="shared" si="8"/>
        <v>1436.5</v>
      </c>
      <c r="DA22">
        <f t="shared" si="9"/>
        <v>1</v>
      </c>
      <c r="DB22">
        <f t="shared" si="5"/>
        <v>4884.1000000000004</v>
      </c>
      <c r="DC22">
        <f t="shared" si="6"/>
        <v>0</v>
      </c>
    </row>
    <row r="23" spans="1:107" x14ac:dyDescent="0.2">
      <c r="A23">
        <f>ROW(Source!A31)</f>
        <v>31</v>
      </c>
      <c r="B23">
        <v>38115817</v>
      </c>
      <c r="C23">
        <v>38116981</v>
      </c>
      <c r="D23">
        <v>36635926</v>
      </c>
      <c r="E23">
        <v>1</v>
      </c>
      <c r="F23">
        <v>1</v>
      </c>
      <c r="G23">
        <v>27</v>
      </c>
      <c r="H23">
        <v>3</v>
      </c>
      <c r="I23" t="s">
        <v>155</v>
      </c>
      <c r="J23" t="s">
        <v>156</v>
      </c>
      <c r="K23" t="s">
        <v>157</v>
      </c>
      <c r="L23">
        <v>1348</v>
      </c>
      <c r="N23">
        <v>1009</v>
      </c>
      <c r="O23" t="s">
        <v>117</v>
      </c>
      <c r="P23" t="s">
        <v>117</v>
      </c>
      <c r="Q23">
        <v>1000</v>
      </c>
      <c r="W23">
        <v>0</v>
      </c>
      <c r="X23">
        <v>-750171961</v>
      </c>
      <c r="Y23">
        <v>1.46</v>
      </c>
      <c r="AA23">
        <v>9548.1200000000008</v>
      </c>
      <c r="AB23">
        <v>0</v>
      </c>
      <c r="AC23">
        <v>0</v>
      </c>
      <c r="AD23">
        <v>0</v>
      </c>
      <c r="AE23">
        <v>9548.1200000000008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1.46</v>
      </c>
      <c r="AU23" t="s">
        <v>3</v>
      </c>
      <c r="AV23">
        <v>0</v>
      </c>
      <c r="AW23">
        <v>2</v>
      </c>
      <c r="AX23">
        <v>38116988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Y23*Source!I31</f>
        <v>0.37959999999999999</v>
      </c>
      <c r="CY23">
        <f t="shared" si="7"/>
        <v>9548.1200000000008</v>
      </c>
      <c r="CZ23">
        <f t="shared" si="8"/>
        <v>9548.1200000000008</v>
      </c>
      <c r="DA23">
        <f t="shared" si="9"/>
        <v>1</v>
      </c>
      <c r="DB23">
        <f t="shared" si="5"/>
        <v>13940.26</v>
      </c>
      <c r="DC23">
        <f t="shared" si="6"/>
        <v>0</v>
      </c>
    </row>
    <row r="24" spans="1:107" x14ac:dyDescent="0.2">
      <c r="A24">
        <f>ROW(Source!A31)</f>
        <v>31</v>
      </c>
      <c r="B24">
        <v>38115817</v>
      </c>
      <c r="C24">
        <v>38116981</v>
      </c>
      <c r="D24">
        <v>36635927</v>
      </c>
      <c r="E24">
        <v>1</v>
      </c>
      <c r="F24">
        <v>1</v>
      </c>
      <c r="G24">
        <v>27</v>
      </c>
      <c r="H24">
        <v>3</v>
      </c>
      <c r="I24" t="s">
        <v>158</v>
      </c>
      <c r="J24" t="s">
        <v>159</v>
      </c>
      <c r="K24" t="s">
        <v>160</v>
      </c>
      <c r="L24">
        <v>1327</v>
      </c>
      <c r="N24">
        <v>1005</v>
      </c>
      <c r="O24" t="s">
        <v>161</v>
      </c>
      <c r="P24" t="s">
        <v>161</v>
      </c>
      <c r="Q24">
        <v>1</v>
      </c>
      <c r="W24">
        <v>0</v>
      </c>
      <c r="X24">
        <v>-1610909561</v>
      </c>
      <c r="Y24">
        <v>10</v>
      </c>
      <c r="AA24">
        <v>4659.1099999999997</v>
      </c>
      <c r="AB24">
        <v>0</v>
      </c>
      <c r="AC24">
        <v>0</v>
      </c>
      <c r="AD24">
        <v>0</v>
      </c>
      <c r="AE24">
        <v>4659.1099999999997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10</v>
      </c>
      <c r="AU24" t="s">
        <v>3</v>
      </c>
      <c r="AV24">
        <v>0</v>
      </c>
      <c r="AW24">
        <v>2</v>
      </c>
      <c r="AX24">
        <v>38116989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Y24*Source!I31</f>
        <v>2.6</v>
      </c>
      <c r="CY24">
        <f t="shared" si="7"/>
        <v>4659.1099999999997</v>
      </c>
      <c r="CZ24">
        <f t="shared" si="8"/>
        <v>4659.1099999999997</v>
      </c>
      <c r="DA24">
        <f t="shared" si="9"/>
        <v>1</v>
      </c>
      <c r="DB24">
        <f t="shared" si="5"/>
        <v>46591.1</v>
      </c>
      <c r="DC24">
        <f t="shared" si="6"/>
        <v>0</v>
      </c>
    </row>
    <row r="25" spans="1:107" x14ac:dyDescent="0.2">
      <c r="A25">
        <f>ROW(Source!A31)</f>
        <v>31</v>
      </c>
      <c r="B25">
        <v>38115817</v>
      </c>
      <c r="C25">
        <v>38116981</v>
      </c>
      <c r="D25">
        <v>36634824</v>
      </c>
      <c r="E25">
        <v>1</v>
      </c>
      <c r="F25">
        <v>1</v>
      </c>
      <c r="G25">
        <v>27</v>
      </c>
      <c r="H25">
        <v>3</v>
      </c>
      <c r="I25" t="s">
        <v>162</v>
      </c>
      <c r="J25" t="s">
        <v>163</v>
      </c>
      <c r="K25" t="s">
        <v>164</v>
      </c>
      <c r="L25">
        <v>1348</v>
      </c>
      <c r="N25">
        <v>1009</v>
      </c>
      <c r="O25" t="s">
        <v>117</v>
      </c>
      <c r="P25" t="s">
        <v>117</v>
      </c>
      <c r="Q25">
        <v>1000</v>
      </c>
      <c r="W25">
        <v>0</v>
      </c>
      <c r="X25">
        <v>1285591100</v>
      </c>
      <c r="Y25">
        <v>1.3</v>
      </c>
      <c r="AA25">
        <v>4207.5</v>
      </c>
      <c r="AB25">
        <v>0</v>
      </c>
      <c r="AC25">
        <v>0</v>
      </c>
      <c r="AD25">
        <v>0</v>
      </c>
      <c r="AE25">
        <v>4207.5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1.3</v>
      </c>
      <c r="AU25" t="s">
        <v>3</v>
      </c>
      <c r="AV25">
        <v>0</v>
      </c>
      <c r="AW25">
        <v>2</v>
      </c>
      <c r="AX25">
        <v>38116990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Y25*Source!I31</f>
        <v>0.33800000000000002</v>
      </c>
      <c r="CY25">
        <f t="shared" si="7"/>
        <v>4207.5</v>
      </c>
      <c r="CZ25">
        <f t="shared" si="8"/>
        <v>4207.5</v>
      </c>
      <c r="DA25">
        <f t="shared" si="9"/>
        <v>1</v>
      </c>
      <c r="DB25">
        <f t="shared" si="5"/>
        <v>5469.75</v>
      </c>
      <c r="DC25">
        <f t="shared" si="6"/>
        <v>0</v>
      </c>
    </row>
    <row r="26" spans="1:107" x14ac:dyDescent="0.2">
      <c r="A26">
        <f>ROW(Source!A31)</f>
        <v>31</v>
      </c>
      <c r="B26">
        <v>38115817</v>
      </c>
      <c r="C26">
        <v>38116981</v>
      </c>
      <c r="D26">
        <v>36636621</v>
      </c>
      <c r="E26">
        <v>1</v>
      </c>
      <c r="F26">
        <v>1</v>
      </c>
      <c r="G26">
        <v>27</v>
      </c>
      <c r="H26">
        <v>3</v>
      </c>
      <c r="I26" t="s">
        <v>38</v>
      </c>
      <c r="J26" t="s">
        <v>41</v>
      </c>
      <c r="K26" t="s">
        <v>39</v>
      </c>
      <c r="L26">
        <v>1339</v>
      </c>
      <c r="N26">
        <v>1007</v>
      </c>
      <c r="O26" t="s">
        <v>40</v>
      </c>
      <c r="P26" t="s">
        <v>40</v>
      </c>
      <c r="Q26">
        <v>1</v>
      </c>
      <c r="W26">
        <v>1</v>
      </c>
      <c r="X26">
        <v>1927597627</v>
      </c>
      <c r="Y26">
        <v>-1</v>
      </c>
      <c r="AA26">
        <v>35.25</v>
      </c>
      <c r="AB26">
        <v>0</v>
      </c>
      <c r="AC26">
        <v>0</v>
      </c>
      <c r="AD26">
        <v>0</v>
      </c>
      <c r="AE26">
        <v>35.25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-1</v>
      </c>
      <c r="AU26" t="s">
        <v>3</v>
      </c>
      <c r="AV26">
        <v>0</v>
      </c>
      <c r="AW26">
        <v>2</v>
      </c>
      <c r="AX26">
        <v>38116991</v>
      </c>
      <c r="AY26">
        <v>1</v>
      </c>
      <c r="AZ26">
        <v>6144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Y26*Source!I31</f>
        <v>-0.26</v>
      </c>
      <c r="CY26">
        <f t="shared" si="7"/>
        <v>35.25</v>
      </c>
      <c r="CZ26">
        <f t="shared" si="8"/>
        <v>35.25</v>
      </c>
      <c r="DA26">
        <f t="shared" si="9"/>
        <v>1</v>
      </c>
      <c r="DB26">
        <f t="shared" si="5"/>
        <v>-35.25</v>
      </c>
      <c r="DC26">
        <f t="shared" si="6"/>
        <v>0</v>
      </c>
    </row>
    <row r="27" spans="1:107" x14ac:dyDescent="0.2">
      <c r="A27">
        <f>ROW(Source!A31)</f>
        <v>31</v>
      </c>
      <c r="B27">
        <v>38115817</v>
      </c>
      <c r="C27">
        <v>38116981</v>
      </c>
      <c r="D27">
        <v>36637840</v>
      </c>
      <c r="E27">
        <v>1</v>
      </c>
      <c r="F27">
        <v>1</v>
      </c>
      <c r="G27">
        <v>27</v>
      </c>
      <c r="H27">
        <v>3</v>
      </c>
      <c r="I27" t="s">
        <v>165</v>
      </c>
      <c r="J27" t="s">
        <v>166</v>
      </c>
      <c r="K27" t="s">
        <v>167</v>
      </c>
      <c r="L27">
        <v>1348</v>
      </c>
      <c r="N27">
        <v>1009</v>
      </c>
      <c r="O27" t="s">
        <v>117</v>
      </c>
      <c r="P27" t="s">
        <v>117</v>
      </c>
      <c r="Q27">
        <v>1000</v>
      </c>
      <c r="W27">
        <v>0</v>
      </c>
      <c r="X27">
        <v>-508128525</v>
      </c>
      <c r="Y27">
        <v>0.03</v>
      </c>
      <c r="AA27">
        <v>36434</v>
      </c>
      <c r="AB27">
        <v>0</v>
      </c>
      <c r="AC27">
        <v>0</v>
      </c>
      <c r="AD27">
        <v>0</v>
      </c>
      <c r="AE27">
        <v>36434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0.03</v>
      </c>
      <c r="AU27" t="s">
        <v>3</v>
      </c>
      <c r="AV27">
        <v>0</v>
      </c>
      <c r="AW27">
        <v>2</v>
      </c>
      <c r="AX27">
        <v>38116992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Y27*Source!I31</f>
        <v>7.7999999999999996E-3</v>
      </c>
      <c r="CY27">
        <f t="shared" si="7"/>
        <v>36434</v>
      </c>
      <c r="CZ27">
        <f t="shared" si="8"/>
        <v>36434</v>
      </c>
      <c r="DA27">
        <f t="shared" si="9"/>
        <v>1</v>
      </c>
      <c r="DB27">
        <f t="shared" si="5"/>
        <v>1093.02</v>
      </c>
      <c r="DC27">
        <f t="shared" si="6"/>
        <v>0</v>
      </c>
    </row>
    <row r="28" spans="1:107" x14ac:dyDescent="0.2">
      <c r="A28">
        <f>ROW(Source!A33)</f>
        <v>33</v>
      </c>
      <c r="B28">
        <v>38115817</v>
      </c>
      <c r="C28">
        <v>38116935</v>
      </c>
      <c r="D28">
        <v>36621550</v>
      </c>
      <c r="E28">
        <v>27</v>
      </c>
      <c r="F28">
        <v>1</v>
      </c>
      <c r="G28">
        <v>27</v>
      </c>
      <c r="H28">
        <v>1</v>
      </c>
      <c r="I28" t="s">
        <v>127</v>
      </c>
      <c r="J28" t="s">
        <v>3</v>
      </c>
      <c r="K28" t="s">
        <v>128</v>
      </c>
      <c r="L28">
        <v>1191</v>
      </c>
      <c r="N28">
        <v>1013</v>
      </c>
      <c r="O28" t="s">
        <v>129</v>
      </c>
      <c r="P28" t="s">
        <v>129</v>
      </c>
      <c r="Q28">
        <v>1</v>
      </c>
      <c r="W28">
        <v>0</v>
      </c>
      <c r="X28">
        <v>476480486</v>
      </c>
      <c r="Y28">
        <v>155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155</v>
      </c>
      <c r="AU28" t="s">
        <v>3</v>
      </c>
      <c r="AV28">
        <v>1</v>
      </c>
      <c r="AW28">
        <v>2</v>
      </c>
      <c r="AX28">
        <v>38116940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Y28*Source!I33</f>
        <v>69.982500000000002</v>
      </c>
      <c r="CY28">
        <f>AD28</f>
        <v>0</v>
      </c>
      <c r="CZ28">
        <f>AH28</f>
        <v>0</v>
      </c>
      <c r="DA28">
        <f>AL28</f>
        <v>1</v>
      </c>
      <c r="DB28">
        <f t="shared" si="5"/>
        <v>0</v>
      </c>
      <c r="DC28">
        <f t="shared" si="6"/>
        <v>0</v>
      </c>
    </row>
    <row r="29" spans="1:107" x14ac:dyDescent="0.2">
      <c r="A29">
        <f>ROW(Source!A33)</f>
        <v>33</v>
      </c>
      <c r="B29">
        <v>38115817</v>
      </c>
      <c r="C29">
        <v>38116935</v>
      </c>
      <c r="D29">
        <v>36634077</v>
      </c>
      <c r="E29">
        <v>1</v>
      </c>
      <c r="F29">
        <v>1</v>
      </c>
      <c r="G29">
        <v>27</v>
      </c>
      <c r="H29">
        <v>2</v>
      </c>
      <c r="I29" t="s">
        <v>168</v>
      </c>
      <c r="J29" t="s">
        <v>169</v>
      </c>
      <c r="K29" t="s">
        <v>170</v>
      </c>
      <c r="L29">
        <v>1368</v>
      </c>
      <c r="N29">
        <v>1011</v>
      </c>
      <c r="O29" t="s">
        <v>133</v>
      </c>
      <c r="P29" t="s">
        <v>133</v>
      </c>
      <c r="Q29">
        <v>1</v>
      </c>
      <c r="W29">
        <v>0</v>
      </c>
      <c r="X29">
        <v>255594146</v>
      </c>
      <c r="Y29">
        <v>37.5</v>
      </c>
      <c r="AA29">
        <v>0</v>
      </c>
      <c r="AB29">
        <v>744.2</v>
      </c>
      <c r="AC29">
        <v>423.17</v>
      </c>
      <c r="AD29">
        <v>0</v>
      </c>
      <c r="AE29">
        <v>0</v>
      </c>
      <c r="AF29">
        <v>744.2</v>
      </c>
      <c r="AG29">
        <v>423.17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37.5</v>
      </c>
      <c r="AU29" t="s">
        <v>3</v>
      </c>
      <c r="AV29">
        <v>0</v>
      </c>
      <c r="AW29">
        <v>2</v>
      </c>
      <c r="AX29">
        <v>38116941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Y29*Source!I33</f>
        <v>16.931250000000002</v>
      </c>
      <c r="CY29">
        <f>AB29</f>
        <v>744.2</v>
      </c>
      <c r="CZ29">
        <f>AF29</f>
        <v>744.2</v>
      </c>
      <c r="DA29">
        <f>AJ29</f>
        <v>1</v>
      </c>
      <c r="DB29">
        <f t="shared" si="5"/>
        <v>27907.5</v>
      </c>
      <c r="DC29">
        <f t="shared" si="6"/>
        <v>15868.88</v>
      </c>
    </row>
    <row r="30" spans="1:107" x14ac:dyDescent="0.2">
      <c r="A30">
        <f>ROW(Source!A33)</f>
        <v>33</v>
      </c>
      <c r="B30">
        <v>38115817</v>
      </c>
      <c r="C30">
        <v>38116935</v>
      </c>
      <c r="D30">
        <v>36634592</v>
      </c>
      <c r="E30">
        <v>1</v>
      </c>
      <c r="F30">
        <v>1</v>
      </c>
      <c r="G30">
        <v>27</v>
      </c>
      <c r="H30">
        <v>2</v>
      </c>
      <c r="I30" t="s">
        <v>171</v>
      </c>
      <c r="J30" t="s">
        <v>172</v>
      </c>
      <c r="K30" t="s">
        <v>173</v>
      </c>
      <c r="L30">
        <v>1368</v>
      </c>
      <c r="N30">
        <v>1011</v>
      </c>
      <c r="O30" t="s">
        <v>133</v>
      </c>
      <c r="P30" t="s">
        <v>133</v>
      </c>
      <c r="Q30">
        <v>1</v>
      </c>
      <c r="W30">
        <v>0</v>
      </c>
      <c r="X30">
        <v>-352447613</v>
      </c>
      <c r="Y30">
        <v>75</v>
      </c>
      <c r="AA30">
        <v>0</v>
      </c>
      <c r="AB30">
        <v>6.02</v>
      </c>
      <c r="AC30">
        <v>0.02</v>
      </c>
      <c r="AD30">
        <v>0</v>
      </c>
      <c r="AE30">
        <v>0</v>
      </c>
      <c r="AF30">
        <v>6.02</v>
      </c>
      <c r="AG30">
        <v>0.02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75</v>
      </c>
      <c r="AU30" t="s">
        <v>3</v>
      </c>
      <c r="AV30">
        <v>0</v>
      </c>
      <c r="AW30">
        <v>2</v>
      </c>
      <c r="AX30">
        <v>38116942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Y30*Source!I33</f>
        <v>33.862500000000004</v>
      </c>
      <c r="CY30">
        <f>AB30</f>
        <v>6.02</v>
      </c>
      <c r="CZ30">
        <f>AF30</f>
        <v>6.02</v>
      </c>
      <c r="DA30">
        <f>AJ30</f>
        <v>1</v>
      </c>
      <c r="DB30">
        <f t="shared" si="5"/>
        <v>451.5</v>
      </c>
      <c r="DC30">
        <f t="shared" si="6"/>
        <v>1.5</v>
      </c>
    </row>
    <row r="31" spans="1:107" x14ac:dyDescent="0.2">
      <c r="A31">
        <f>ROW(Source!A33)</f>
        <v>33</v>
      </c>
      <c r="B31">
        <v>38115817</v>
      </c>
      <c r="C31">
        <v>38116935</v>
      </c>
      <c r="D31">
        <v>36633947</v>
      </c>
      <c r="E31">
        <v>1</v>
      </c>
      <c r="F31">
        <v>1</v>
      </c>
      <c r="G31">
        <v>27</v>
      </c>
      <c r="H31">
        <v>2</v>
      </c>
      <c r="I31" t="s">
        <v>174</v>
      </c>
      <c r="J31" t="s">
        <v>175</v>
      </c>
      <c r="K31" t="s">
        <v>176</v>
      </c>
      <c r="L31">
        <v>1368</v>
      </c>
      <c r="N31">
        <v>1011</v>
      </c>
      <c r="O31" t="s">
        <v>133</v>
      </c>
      <c r="P31" t="s">
        <v>133</v>
      </c>
      <c r="Q31">
        <v>1</v>
      </c>
      <c r="W31">
        <v>0</v>
      </c>
      <c r="X31">
        <v>1116182101</v>
      </c>
      <c r="Y31">
        <v>1.55</v>
      </c>
      <c r="AA31">
        <v>0</v>
      </c>
      <c r="AB31">
        <v>1412.71</v>
      </c>
      <c r="AC31">
        <v>641.32000000000005</v>
      </c>
      <c r="AD31">
        <v>0</v>
      </c>
      <c r="AE31">
        <v>0</v>
      </c>
      <c r="AF31">
        <v>1412.71</v>
      </c>
      <c r="AG31">
        <v>641.32000000000005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1.55</v>
      </c>
      <c r="AU31" t="s">
        <v>3</v>
      </c>
      <c r="AV31">
        <v>0</v>
      </c>
      <c r="AW31">
        <v>2</v>
      </c>
      <c r="AX31">
        <v>38116943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Y31*Source!I33</f>
        <v>0.69982500000000003</v>
      </c>
      <c r="CY31">
        <f>AB31</f>
        <v>1412.71</v>
      </c>
      <c r="CZ31">
        <f>AF31</f>
        <v>1412.71</v>
      </c>
      <c r="DA31">
        <f>AJ31</f>
        <v>1</v>
      </c>
      <c r="DB31">
        <f t="shared" si="5"/>
        <v>2189.6999999999998</v>
      </c>
      <c r="DC31">
        <f t="shared" si="6"/>
        <v>994.05</v>
      </c>
    </row>
    <row r="32" spans="1:107" x14ac:dyDescent="0.2">
      <c r="A32">
        <f>ROW(Source!A34)</f>
        <v>34</v>
      </c>
      <c r="B32">
        <v>38115817</v>
      </c>
      <c r="C32">
        <v>38116944</v>
      </c>
      <c r="D32">
        <v>36621550</v>
      </c>
      <c r="E32">
        <v>27</v>
      </c>
      <c r="F32">
        <v>1</v>
      </c>
      <c r="G32">
        <v>27</v>
      </c>
      <c r="H32">
        <v>1</v>
      </c>
      <c r="I32" t="s">
        <v>127</v>
      </c>
      <c r="J32" t="s">
        <v>3</v>
      </c>
      <c r="K32" t="s">
        <v>128</v>
      </c>
      <c r="L32">
        <v>1191</v>
      </c>
      <c r="N32">
        <v>1013</v>
      </c>
      <c r="O32" t="s">
        <v>129</v>
      </c>
      <c r="P32" t="s">
        <v>129</v>
      </c>
      <c r="Q32">
        <v>1</v>
      </c>
      <c r="W32">
        <v>0</v>
      </c>
      <c r="X32">
        <v>476480486</v>
      </c>
      <c r="Y32">
        <v>10.3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10.3</v>
      </c>
      <c r="AU32" t="s">
        <v>3</v>
      </c>
      <c r="AV32">
        <v>1</v>
      </c>
      <c r="AW32">
        <v>2</v>
      </c>
      <c r="AX32">
        <v>38116949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Y32*Source!I34</f>
        <v>66.435000000000002</v>
      </c>
      <c r="CY32">
        <f>AD32</f>
        <v>0</v>
      </c>
      <c r="CZ32">
        <f>AH32</f>
        <v>0</v>
      </c>
      <c r="DA32">
        <f>AL32</f>
        <v>1</v>
      </c>
      <c r="DB32">
        <f t="shared" si="5"/>
        <v>0</v>
      </c>
      <c r="DC32">
        <f t="shared" si="6"/>
        <v>0</v>
      </c>
    </row>
    <row r="33" spans="1:107" x14ac:dyDescent="0.2">
      <c r="A33">
        <f>ROW(Source!A34)</f>
        <v>34</v>
      </c>
      <c r="B33">
        <v>38115817</v>
      </c>
      <c r="C33">
        <v>38116944</v>
      </c>
      <c r="D33">
        <v>36633908</v>
      </c>
      <c r="E33">
        <v>1</v>
      </c>
      <c r="F33">
        <v>1</v>
      </c>
      <c r="G33">
        <v>27</v>
      </c>
      <c r="H33">
        <v>2</v>
      </c>
      <c r="I33" t="s">
        <v>177</v>
      </c>
      <c r="J33" t="s">
        <v>178</v>
      </c>
      <c r="K33" t="s">
        <v>179</v>
      </c>
      <c r="L33">
        <v>1368</v>
      </c>
      <c r="N33">
        <v>1011</v>
      </c>
      <c r="O33" t="s">
        <v>133</v>
      </c>
      <c r="P33" t="s">
        <v>133</v>
      </c>
      <c r="Q33">
        <v>1</v>
      </c>
      <c r="W33">
        <v>0</v>
      </c>
      <c r="X33">
        <v>-1043398787</v>
      </c>
      <c r="Y33">
        <v>0.89</v>
      </c>
      <c r="AA33">
        <v>0</v>
      </c>
      <c r="AB33">
        <v>1261.8699999999999</v>
      </c>
      <c r="AC33">
        <v>530.02</v>
      </c>
      <c r="AD33">
        <v>0</v>
      </c>
      <c r="AE33">
        <v>0</v>
      </c>
      <c r="AF33">
        <v>1261.8699999999999</v>
      </c>
      <c r="AG33">
        <v>530.02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0.89</v>
      </c>
      <c r="AU33" t="s">
        <v>3</v>
      </c>
      <c r="AV33">
        <v>0</v>
      </c>
      <c r="AW33">
        <v>2</v>
      </c>
      <c r="AX33">
        <v>38116950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Y33*Source!I34</f>
        <v>5.7404999999999999</v>
      </c>
      <c r="CY33">
        <f>AB33</f>
        <v>1261.8699999999999</v>
      </c>
      <c r="CZ33">
        <f>AF33</f>
        <v>1261.8699999999999</v>
      </c>
      <c r="DA33">
        <f>AJ33</f>
        <v>1</v>
      </c>
      <c r="DB33">
        <f t="shared" si="5"/>
        <v>1123.06</v>
      </c>
      <c r="DC33">
        <f t="shared" si="6"/>
        <v>471.72</v>
      </c>
    </row>
    <row r="34" spans="1:107" x14ac:dyDescent="0.2">
      <c r="A34">
        <f>ROW(Source!A34)</f>
        <v>34</v>
      </c>
      <c r="B34">
        <v>38115817</v>
      </c>
      <c r="C34">
        <v>38116944</v>
      </c>
      <c r="D34">
        <v>36634714</v>
      </c>
      <c r="E34">
        <v>1</v>
      </c>
      <c r="F34">
        <v>1</v>
      </c>
      <c r="G34">
        <v>27</v>
      </c>
      <c r="H34">
        <v>3</v>
      </c>
      <c r="I34" t="s">
        <v>180</v>
      </c>
      <c r="J34" t="s">
        <v>181</v>
      </c>
      <c r="K34" t="s">
        <v>182</v>
      </c>
      <c r="L34">
        <v>1348</v>
      </c>
      <c r="N34">
        <v>1009</v>
      </c>
      <c r="O34" t="s">
        <v>117</v>
      </c>
      <c r="P34" t="s">
        <v>117</v>
      </c>
      <c r="Q34">
        <v>1000</v>
      </c>
      <c r="W34">
        <v>0</v>
      </c>
      <c r="X34">
        <v>-68218516</v>
      </c>
      <c r="Y34">
        <v>0.06</v>
      </c>
      <c r="AA34">
        <v>25888.1</v>
      </c>
      <c r="AB34">
        <v>0</v>
      </c>
      <c r="AC34">
        <v>0</v>
      </c>
      <c r="AD34">
        <v>0</v>
      </c>
      <c r="AE34">
        <v>25888.1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0.06</v>
      </c>
      <c r="AU34" t="s">
        <v>3</v>
      </c>
      <c r="AV34">
        <v>0</v>
      </c>
      <c r="AW34">
        <v>2</v>
      </c>
      <c r="AX34">
        <v>38116951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Y34*Source!I34</f>
        <v>0.38700000000000001</v>
      </c>
      <c r="CY34">
        <f>AA34</f>
        <v>25888.1</v>
      </c>
      <c r="CZ34">
        <f>AE34</f>
        <v>25888.1</v>
      </c>
      <c r="DA34">
        <f>AI34</f>
        <v>1</v>
      </c>
      <c r="DB34">
        <f t="shared" si="5"/>
        <v>1553.29</v>
      </c>
      <c r="DC34">
        <f t="shared" si="6"/>
        <v>0</v>
      </c>
    </row>
    <row r="35" spans="1:107" x14ac:dyDescent="0.2">
      <c r="A35">
        <f>ROW(Source!A34)</f>
        <v>34</v>
      </c>
      <c r="B35">
        <v>38115817</v>
      </c>
      <c r="C35">
        <v>38116944</v>
      </c>
      <c r="D35">
        <v>36637819</v>
      </c>
      <c r="E35">
        <v>1</v>
      </c>
      <c r="F35">
        <v>1</v>
      </c>
      <c r="G35">
        <v>27</v>
      </c>
      <c r="H35">
        <v>3</v>
      </c>
      <c r="I35" t="s">
        <v>183</v>
      </c>
      <c r="J35" t="s">
        <v>184</v>
      </c>
      <c r="K35" t="s">
        <v>185</v>
      </c>
      <c r="L35">
        <v>1348</v>
      </c>
      <c r="N35">
        <v>1009</v>
      </c>
      <c r="O35" t="s">
        <v>117</v>
      </c>
      <c r="P35" t="s">
        <v>117</v>
      </c>
      <c r="Q35">
        <v>1000</v>
      </c>
      <c r="W35">
        <v>0</v>
      </c>
      <c r="X35">
        <v>2062870502</v>
      </c>
      <c r="Y35">
        <v>7.14</v>
      </c>
      <c r="AA35">
        <v>2652.04</v>
      </c>
      <c r="AB35">
        <v>0</v>
      </c>
      <c r="AC35">
        <v>0</v>
      </c>
      <c r="AD35">
        <v>0</v>
      </c>
      <c r="AE35">
        <v>2652.04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7.14</v>
      </c>
      <c r="AU35" t="s">
        <v>3</v>
      </c>
      <c r="AV35">
        <v>0</v>
      </c>
      <c r="AW35">
        <v>2</v>
      </c>
      <c r="AX35">
        <v>38116952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Y35*Source!I34</f>
        <v>46.052999999999997</v>
      </c>
      <c r="CY35">
        <f>AA35</f>
        <v>2652.04</v>
      </c>
      <c r="CZ35">
        <f>AE35</f>
        <v>2652.04</v>
      </c>
      <c r="DA35">
        <f>AI35</f>
        <v>1</v>
      </c>
      <c r="DB35">
        <f t="shared" si="5"/>
        <v>18935.57</v>
      </c>
      <c r="DC35">
        <f t="shared" si="6"/>
        <v>0</v>
      </c>
    </row>
    <row r="36" spans="1:107" x14ac:dyDescent="0.2">
      <c r="A36">
        <f>ROW(Source!A35)</f>
        <v>35</v>
      </c>
      <c r="B36">
        <v>38115817</v>
      </c>
      <c r="C36">
        <v>38116953</v>
      </c>
      <c r="D36">
        <v>36621550</v>
      </c>
      <c r="E36">
        <v>27</v>
      </c>
      <c r="F36">
        <v>1</v>
      </c>
      <c r="G36">
        <v>27</v>
      </c>
      <c r="H36">
        <v>1</v>
      </c>
      <c r="I36" t="s">
        <v>127</v>
      </c>
      <c r="J36" t="s">
        <v>3</v>
      </c>
      <c r="K36" t="s">
        <v>128</v>
      </c>
      <c r="L36">
        <v>1191</v>
      </c>
      <c r="N36">
        <v>1013</v>
      </c>
      <c r="O36" t="s">
        <v>129</v>
      </c>
      <c r="P36" t="s">
        <v>129</v>
      </c>
      <c r="Q36">
        <v>1</v>
      </c>
      <c r="W36">
        <v>0</v>
      </c>
      <c r="X36">
        <v>476480486</v>
      </c>
      <c r="Y36">
        <v>10.3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10.3</v>
      </c>
      <c r="AU36" t="s">
        <v>3</v>
      </c>
      <c r="AV36">
        <v>1</v>
      </c>
      <c r="AW36">
        <v>2</v>
      </c>
      <c r="AX36">
        <v>38116958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Y36*Source!I35</f>
        <v>66.435000000000002</v>
      </c>
      <c r="CY36">
        <f>AD36</f>
        <v>0</v>
      </c>
      <c r="CZ36">
        <f>AH36</f>
        <v>0</v>
      </c>
      <c r="DA36">
        <f>AL36</f>
        <v>1</v>
      </c>
      <c r="DB36">
        <f t="shared" si="5"/>
        <v>0</v>
      </c>
      <c r="DC36">
        <f t="shared" si="6"/>
        <v>0</v>
      </c>
    </row>
    <row r="37" spans="1:107" x14ac:dyDescent="0.2">
      <c r="A37">
        <f>ROW(Source!A35)</f>
        <v>35</v>
      </c>
      <c r="B37">
        <v>38115817</v>
      </c>
      <c r="C37">
        <v>38116953</v>
      </c>
      <c r="D37">
        <v>36633908</v>
      </c>
      <c r="E37">
        <v>1</v>
      </c>
      <c r="F37">
        <v>1</v>
      </c>
      <c r="G37">
        <v>27</v>
      </c>
      <c r="H37">
        <v>2</v>
      </c>
      <c r="I37" t="s">
        <v>177</v>
      </c>
      <c r="J37" t="s">
        <v>178</v>
      </c>
      <c r="K37" t="s">
        <v>179</v>
      </c>
      <c r="L37">
        <v>1368</v>
      </c>
      <c r="N37">
        <v>1011</v>
      </c>
      <c r="O37" t="s">
        <v>133</v>
      </c>
      <c r="P37" t="s">
        <v>133</v>
      </c>
      <c r="Q37">
        <v>1</v>
      </c>
      <c r="W37">
        <v>0</v>
      </c>
      <c r="X37">
        <v>-1043398787</v>
      </c>
      <c r="Y37">
        <v>0.89</v>
      </c>
      <c r="AA37">
        <v>0</v>
      </c>
      <c r="AB37">
        <v>1261.8699999999999</v>
      </c>
      <c r="AC37">
        <v>530.02</v>
      </c>
      <c r="AD37">
        <v>0</v>
      </c>
      <c r="AE37">
        <v>0</v>
      </c>
      <c r="AF37">
        <v>1261.8699999999999</v>
      </c>
      <c r="AG37">
        <v>530.02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0.89</v>
      </c>
      <c r="AU37" t="s">
        <v>3</v>
      </c>
      <c r="AV37">
        <v>0</v>
      </c>
      <c r="AW37">
        <v>2</v>
      </c>
      <c r="AX37">
        <v>38116959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Y37*Source!I35</f>
        <v>5.7404999999999999</v>
      </c>
      <c r="CY37">
        <f>AB37</f>
        <v>1261.8699999999999</v>
      </c>
      <c r="CZ37">
        <f>AF37</f>
        <v>1261.8699999999999</v>
      </c>
      <c r="DA37">
        <f>AJ37</f>
        <v>1</v>
      </c>
      <c r="DB37">
        <f t="shared" si="5"/>
        <v>1123.06</v>
      </c>
      <c r="DC37">
        <f t="shared" si="6"/>
        <v>471.72</v>
      </c>
    </row>
    <row r="38" spans="1:107" x14ac:dyDescent="0.2">
      <c r="A38">
        <f>ROW(Source!A35)</f>
        <v>35</v>
      </c>
      <c r="B38">
        <v>38115817</v>
      </c>
      <c r="C38">
        <v>38116953</v>
      </c>
      <c r="D38">
        <v>36634714</v>
      </c>
      <c r="E38">
        <v>1</v>
      </c>
      <c r="F38">
        <v>1</v>
      </c>
      <c r="G38">
        <v>27</v>
      </c>
      <c r="H38">
        <v>3</v>
      </c>
      <c r="I38" t="s">
        <v>180</v>
      </c>
      <c r="J38" t="s">
        <v>181</v>
      </c>
      <c r="K38" t="s">
        <v>182</v>
      </c>
      <c r="L38">
        <v>1348</v>
      </c>
      <c r="N38">
        <v>1009</v>
      </c>
      <c r="O38" t="s">
        <v>117</v>
      </c>
      <c r="P38" t="s">
        <v>117</v>
      </c>
      <c r="Q38">
        <v>1000</v>
      </c>
      <c r="W38">
        <v>0</v>
      </c>
      <c r="X38">
        <v>-68218516</v>
      </c>
      <c r="Y38">
        <v>0.06</v>
      </c>
      <c r="AA38">
        <v>25888.1</v>
      </c>
      <c r="AB38">
        <v>0</v>
      </c>
      <c r="AC38">
        <v>0</v>
      </c>
      <c r="AD38">
        <v>0</v>
      </c>
      <c r="AE38">
        <v>25888.1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0.06</v>
      </c>
      <c r="AU38" t="s">
        <v>3</v>
      </c>
      <c r="AV38">
        <v>0</v>
      </c>
      <c r="AW38">
        <v>2</v>
      </c>
      <c r="AX38">
        <v>38116960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Y38*Source!I35</f>
        <v>0.38700000000000001</v>
      </c>
      <c r="CY38">
        <f>AA38</f>
        <v>25888.1</v>
      </c>
      <c r="CZ38">
        <f>AE38</f>
        <v>25888.1</v>
      </c>
      <c r="DA38">
        <f>AI38</f>
        <v>1</v>
      </c>
      <c r="DB38">
        <f t="shared" si="5"/>
        <v>1553.29</v>
      </c>
      <c r="DC38">
        <f t="shared" si="6"/>
        <v>0</v>
      </c>
    </row>
    <row r="39" spans="1:107" x14ac:dyDescent="0.2">
      <c r="A39">
        <f>ROW(Source!A35)</f>
        <v>35</v>
      </c>
      <c r="B39">
        <v>38115817</v>
      </c>
      <c r="C39">
        <v>38116953</v>
      </c>
      <c r="D39">
        <v>36637793</v>
      </c>
      <c r="E39">
        <v>1</v>
      </c>
      <c r="F39">
        <v>1</v>
      </c>
      <c r="G39">
        <v>27</v>
      </c>
      <c r="H39">
        <v>3</v>
      </c>
      <c r="I39" t="s">
        <v>186</v>
      </c>
      <c r="J39" t="s">
        <v>187</v>
      </c>
      <c r="K39" t="s">
        <v>188</v>
      </c>
      <c r="L39">
        <v>1348</v>
      </c>
      <c r="N39">
        <v>1009</v>
      </c>
      <c r="O39" t="s">
        <v>117</v>
      </c>
      <c r="P39" t="s">
        <v>117</v>
      </c>
      <c r="Q39">
        <v>1000</v>
      </c>
      <c r="W39">
        <v>0</v>
      </c>
      <c r="X39">
        <v>291499313</v>
      </c>
      <c r="Y39">
        <v>10.7</v>
      </c>
      <c r="AA39">
        <v>2649.07</v>
      </c>
      <c r="AB39">
        <v>0</v>
      </c>
      <c r="AC39">
        <v>0</v>
      </c>
      <c r="AD39">
        <v>0</v>
      </c>
      <c r="AE39">
        <v>2649.07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10.7</v>
      </c>
      <c r="AU39" t="s">
        <v>3</v>
      </c>
      <c r="AV39">
        <v>0</v>
      </c>
      <c r="AW39">
        <v>2</v>
      </c>
      <c r="AX39">
        <v>38116961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Y39*Source!I35</f>
        <v>69.015000000000001</v>
      </c>
      <c r="CY39">
        <f>AA39</f>
        <v>2649.07</v>
      </c>
      <c r="CZ39">
        <f>AE39</f>
        <v>2649.07</v>
      </c>
      <c r="DA39">
        <f>AI39</f>
        <v>1</v>
      </c>
      <c r="DB39">
        <f t="shared" si="5"/>
        <v>28345.05</v>
      </c>
      <c r="DC39">
        <f t="shared" si="6"/>
        <v>0</v>
      </c>
    </row>
    <row r="40" spans="1:107" x14ac:dyDescent="0.2">
      <c r="A40">
        <f>ROW(Source!A71)</f>
        <v>71</v>
      </c>
      <c r="B40">
        <v>38115817</v>
      </c>
      <c r="C40">
        <v>38116910</v>
      </c>
      <c r="D40">
        <v>36621550</v>
      </c>
      <c r="E40">
        <v>27</v>
      </c>
      <c r="F40">
        <v>1</v>
      </c>
      <c r="G40">
        <v>27</v>
      </c>
      <c r="H40">
        <v>1</v>
      </c>
      <c r="I40" t="s">
        <v>127</v>
      </c>
      <c r="J40" t="s">
        <v>3</v>
      </c>
      <c r="K40" t="s">
        <v>128</v>
      </c>
      <c r="L40">
        <v>1191</v>
      </c>
      <c r="N40">
        <v>1013</v>
      </c>
      <c r="O40" t="s">
        <v>129</v>
      </c>
      <c r="P40" t="s">
        <v>129</v>
      </c>
      <c r="Q40">
        <v>1</v>
      </c>
      <c r="W40">
        <v>0</v>
      </c>
      <c r="X40">
        <v>476480486</v>
      </c>
      <c r="Y40">
        <v>155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155</v>
      </c>
      <c r="AU40" t="s">
        <v>3</v>
      </c>
      <c r="AV40">
        <v>1</v>
      </c>
      <c r="AW40">
        <v>2</v>
      </c>
      <c r="AX40">
        <v>38116911</v>
      </c>
      <c r="AY40">
        <v>1</v>
      </c>
      <c r="AZ40">
        <v>0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Y40*Source!I71</f>
        <v>40.6875</v>
      </c>
      <c r="CY40">
        <f>AD40</f>
        <v>0</v>
      </c>
      <c r="CZ40">
        <f>AH40</f>
        <v>0</v>
      </c>
      <c r="DA40">
        <f>AL40</f>
        <v>1</v>
      </c>
      <c r="DB40">
        <f t="shared" si="5"/>
        <v>0</v>
      </c>
      <c r="DC40">
        <f t="shared" si="6"/>
        <v>0</v>
      </c>
    </row>
    <row r="41" spans="1:107" x14ac:dyDescent="0.2">
      <c r="A41">
        <f>ROW(Source!A71)</f>
        <v>71</v>
      </c>
      <c r="B41">
        <v>38115817</v>
      </c>
      <c r="C41">
        <v>38116910</v>
      </c>
      <c r="D41">
        <v>36634077</v>
      </c>
      <c r="E41">
        <v>1</v>
      </c>
      <c r="F41">
        <v>1</v>
      </c>
      <c r="G41">
        <v>27</v>
      </c>
      <c r="H41">
        <v>2</v>
      </c>
      <c r="I41" t="s">
        <v>168</v>
      </c>
      <c r="J41" t="s">
        <v>169</v>
      </c>
      <c r="K41" t="s">
        <v>170</v>
      </c>
      <c r="L41">
        <v>1368</v>
      </c>
      <c r="N41">
        <v>1011</v>
      </c>
      <c r="O41" t="s">
        <v>133</v>
      </c>
      <c r="P41" t="s">
        <v>133</v>
      </c>
      <c r="Q41">
        <v>1</v>
      </c>
      <c r="W41">
        <v>0</v>
      </c>
      <c r="X41">
        <v>255594146</v>
      </c>
      <c r="Y41">
        <v>37.5</v>
      </c>
      <c r="AA41">
        <v>0</v>
      </c>
      <c r="AB41">
        <v>744.2</v>
      </c>
      <c r="AC41">
        <v>423.17</v>
      </c>
      <c r="AD41">
        <v>0</v>
      </c>
      <c r="AE41">
        <v>0</v>
      </c>
      <c r="AF41">
        <v>744.2</v>
      </c>
      <c r="AG41">
        <v>423.17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37.5</v>
      </c>
      <c r="AU41" t="s">
        <v>3</v>
      </c>
      <c r="AV41">
        <v>0</v>
      </c>
      <c r="AW41">
        <v>2</v>
      </c>
      <c r="AX41">
        <v>38116912</v>
      </c>
      <c r="AY41">
        <v>1</v>
      </c>
      <c r="AZ41">
        <v>0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Y41*Source!I71</f>
        <v>9.84375</v>
      </c>
      <c r="CY41">
        <f>AB41</f>
        <v>744.2</v>
      </c>
      <c r="CZ41">
        <f>AF41</f>
        <v>744.2</v>
      </c>
      <c r="DA41">
        <f>AJ41</f>
        <v>1</v>
      </c>
      <c r="DB41">
        <f t="shared" si="5"/>
        <v>27907.5</v>
      </c>
      <c r="DC41">
        <f t="shared" si="6"/>
        <v>15868.88</v>
      </c>
    </row>
    <row r="42" spans="1:107" x14ac:dyDescent="0.2">
      <c r="A42">
        <f>ROW(Source!A71)</f>
        <v>71</v>
      </c>
      <c r="B42">
        <v>38115817</v>
      </c>
      <c r="C42">
        <v>38116910</v>
      </c>
      <c r="D42">
        <v>36634592</v>
      </c>
      <c r="E42">
        <v>1</v>
      </c>
      <c r="F42">
        <v>1</v>
      </c>
      <c r="G42">
        <v>27</v>
      </c>
      <c r="H42">
        <v>2</v>
      </c>
      <c r="I42" t="s">
        <v>171</v>
      </c>
      <c r="J42" t="s">
        <v>172</v>
      </c>
      <c r="K42" t="s">
        <v>173</v>
      </c>
      <c r="L42">
        <v>1368</v>
      </c>
      <c r="N42">
        <v>1011</v>
      </c>
      <c r="O42" t="s">
        <v>133</v>
      </c>
      <c r="P42" t="s">
        <v>133</v>
      </c>
      <c r="Q42">
        <v>1</v>
      </c>
      <c r="W42">
        <v>0</v>
      </c>
      <c r="X42">
        <v>-352447613</v>
      </c>
      <c r="Y42">
        <v>75</v>
      </c>
      <c r="AA42">
        <v>0</v>
      </c>
      <c r="AB42">
        <v>6.02</v>
      </c>
      <c r="AC42">
        <v>0.02</v>
      </c>
      <c r="AD42">
        <v>0</v>
      </c>
      <c r="AE42">
        <v>0</v>
      </c>
      <c r="AF42">
        <v>6.02</v>
      </c>
      <c r="AG42">
        <v>0.02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75</v>
      </c>
      <c r="AU42" t="s">
        <v>3</v>
      </c>
      <c r="AV42">
        <v>0</v>
      </c>
      <c r="AW42">
        <v>2</v>
      </c>
      <c r="AX42">
        <v>38116913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Y42*Source!I71</f>
        <v>19.6875</v>
      </c>
      <c r="CY42">
        <f>AB42</f>
        <v>6.02</v>
      </c>
      <c r="CZ42">
        <f>AF42</f>
        <v>6.02</v>
      </c>
      <c r="DA42">
        <f>AJ42</f>
        <v>1</v>
      </c>
      <c r="DB42">
        <f t="shared" si="5"/>
        <v>451.5</v>
      </c>
      <c r="DC42">
        <f t="shared" si="6"/>
        <v>1.5</v>
      </c>
    </row>
    <row r="43" spans="1:107" x14ac:dyDescent="0.2">
      <c r="A43">
        <f>ROW(Source!A71)</f>
        <v>71</v>
      </c>
      <c r="B43">
        <v>38115817</v>
      </c>
      <c r="C43">
        <v>38116910</v>
      </c>
      <c r="D43">
        <v>36633947</v>
      </c>
      <c r="E43">
        <v>1</v>
      </c>
      <c r="F43">
        <v>1</v>
      </c>
      <c r="G43">
        <v>27</v>
      </c>
      <c r="H43">
        <v>2</v>
      </c>
      <c r="I43" t="s">
        <v>174</v>
      </c>
      <c r="J43" t="s">
        <v>175</v>
      </c>
      <c r="K43" t="s">
        <v>176</v>
      </c>
      <c r="L43">
        <v>1368</v>
      </c>
      <c r="N43">
        <v>1011</v>
      </c>
      <c r="O43" t="s">
        <v>133</v>
      </c>
      <c r="P43" t="s">
        <v>133</v>
      </c>
      <c r="Q43">
        <v>1</v>
      </c>
      <c r="W43">
        <v>0</v>
      </c>
      <c r="X43">
        <v>1116182101</v>
      </c>
      <c r="Y43">
        <v>1.55</v>
      </c>
      <c r="AA43">
        <v>0</v>
      </c>
      <c r="AB43">
        <v>1412.71</v>
      </c>
      <c r="AC43">
        <v>641.32000000000005</v>
      </c>
      <c r="AD43">
        <v>0</v>
      </c>
      <c r="AE43">
        <v>0</v>
      </c>
      <c r="AF43">
        <v>1412.71</v>
      </c>
      <c r="AG43">
        <v>641.32000000000005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1.55</v>
      </c>
      <c r="AU43" t="s">
        <v>3</v>
      </c>
      <c r="AV43">
        <v>0</v>
      </c>
      <c r="AW43">
        <v>2</v>
      </c>
      <c r="AX43">
        <v>38116914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Y43*Source!I71</f>
        <v>0.40687500000000004</v>
      </c>
      <c r="CY43">
        <f>AB43</f>
        <v>1412.71</v>
      </c>
      <c r="CZ43">
        <f>AF43</f>
        <v>1412.71</v>
      </c>
      <c r="DA43">
        <f>AJ43</f>
        <v>1</v>
      </c>
      <c r="DB43">
        <f t="shared" si="5"/>
        <v>2189.6999999999998</v>
      </c>
      <c r="DC43">
        <f t="shared" si="6"/>
        <v>994.05</v>
      </c>
    </row>
    <row r="44" spans="1:107" x14ac:dyDescent="0.2">
      <c r="A44">
        <f>ROW(Source!A72)</f>
        <v>72</v>
      </c>
      <c r="B44">
        <v>38115817</v>
      </c>
      <c r="C44">
        <v>38116925</v>
      </c>
      <c r="D44">
        <v>36621550</v>
      </c>
      <c r="E44">
        <v>27</v>
      </c>
      <c r="F44">
        <v>1</v>
      </c>
      <c r="G44">
        <v>27</v>
      </c>
      <c r="H44">
        <v>1</v>
      </c>
      <c r="I44" t="s">
        <v>127</v>
      </c>
      <c r="J44" t="s">
        <v>3</v>
      </c>
      <c r="K44" t="s">
        <v>128</v>
      </c>
      <c r="L44">
        <v>1191</v>
      </c>
      <c r="N44">
        <v>1013</v>
      </c>
      <c r="O44" t="s">
        <v>129</v>
      </c>
      <c r="P44" t="s">
        <v>129</v>
      </c>
      <c r="Q44">
        <v>1</v>
      </c>
      <c r="W44">
        <v>0</v>
      </c>
      <c r="X44">
        <v>476480486</v>
      </c>
      <c r="Y44">
        <v>10.3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10.3</v>
      </c>
      <c r="AU44" t="s">
        <v>3</v>
      </c>
      <c r="AV44">
        <v>1</v>
      </c>
      <c r="AW44">
        <v>2</v>
      </c>
      <c r="AX44">
        <v>38116926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Y44*Source!I72</f>
        <v>36.050000000000004</v>
      </c>
      <c r="CY44">
        <f>AD44</f>
        <v>0</v>
      </c>
      <c r="CZ44">
        <f>AH44</f>
        <v>0</v>
      </c>
      <c r="DA44">
        <f>AL44</f>
        <v>1</v>
      </c>
      <c r="DB44">
        <f t="shared" si="5"/>
        <v>0</v>
      </c>
      <c r="DC44">
        <f t="shared" si="6"/>
        <v>0</v>
      </c>
    </row>
    <row r="45" spans="1:107" x14ac:dyDescent="0.2">
      <c r="A45">
        <f>ROW(Source!A72)</f>
        <v>72</v>
      </c>
      <c r="B45">
        <v>38115817</v>
      </c>
      <c r="C45">
        <v>38116925</v>
      </c>
      <c r="D45">
        <v>36633908</v>
      </c>
      <c r="E45">
        <v>1</v>
      </c>
      <c r="F45">
        <v>1</v>
      </c>
      <c r="G45">
        <v>27</v>
      </c>
      <c r="H45">
        <v>2</v>
      </c>
      <c r="I45" t="s">
        <v>177</v>
      </c>
      <c r="J45" t="s">
        <v>178</v>
      </c>
      <c r="K45" t="s">
        <v>179</v>
      </c>
      <c r="L45">
        <v>1368</v>
      </c>
      <c r="N45">
        <v>1011</v>
      </c>
      <c r="O45" t="s">
        <v>133</v>
      </c>
      <c r="P45" t="s">
        <v>133</v>
      </c>
      <c r="Q45">
        <v>1</v>
      </c>
      <c r="W45">
        <v>0</v>
      </c>
      <c r="X45">
        <v>-1043398787</v>
      </c>
      <c r="Y45">
        <v>0.89</v>
      </c>
      <c r="AA45">
        <v>0</v>
      </c>
      <c r="AB45">
        <v>1261.8699999999999</v>
      </c>
      <c r="AC45">
        <v>530.02</v>
      </c>
      <c r="AD45">
        <v>0</v>
      </c>
      <c r="AE45">
        <v>0</v>
      </c>
      <c r="AF45">
        <v>1261.8699999999999</v>
      </c>
      <c r="AG45">
        <v>530.02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0.89</v>
      </c>
      <c r="AU45" t="s">
        <v>3</v>
      </c>
      <c r="AV45">
        <v>0</v>
      </c>
      <c r="AW45">
        <v>2</v>
      </c>
      <c r="AX45">
        <v>38116927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Y45*Source!I72</f>
        <v>3.1150000000000002</v>
      </c>
      <c r="CY45">
        <f>AB45</f>
        <v>1261.8699999999999</v>
      </c>
      <c r="CZ45">
        <f>AF45</f>
        <v>1261.8699999999999</v>
      </c>
      <c r="DA45">
        <f>AJ45</f>
        <v>1</v>
      </c>
      <c r="DB45">
        <f t="shared" si="5"/>
        <v>1123.06</v>
      </c>
      <c r="DC45">
        <f t="shared" si="6"/>
        <v>471.72</v>
      </c>
    </row>
    <row r="46" spans="1:107" x14ac:dyDescent="0.2">
      <c r="A46">
        <f>ROW(Source!A72)</f>
        <v>72</v>
      </c>
      <c r="B46">
        <v>38115817</v>
      </c>
      <c r="C46">
        <v>38116925</v>
      </c>
      <c r="D46">
        <v>36634714</v>
      </c>
      <c r="E46">
        <v>1</v>
      </c>
      <c r="F46">
        <v>1</v>
      </c>
      <c r="G46">
        <v>27</v>
      </c>
      <c r="H46">
        <v>3</v>
      </c>
      <c r="I46" t="s">
        <v>180</v>
      </c>
      <c r="J46" t="s">
        <v>181</v>
      </c>
      <c r="K46" t="s">
        <v>182</v>
      </c>
      <c r="L46">
        <v>1348</v>
      </c>
      <c r="N46">
        <v>1009</v>
      </c>
      <c r="O46" t="s">
        <v>117</v>
      </c>
      <c r="P46" t="s">
        <v>117</v>
      </c>
      <c r="Q46">
        <v>1000</v>
      </c>
      <c r="W46">
        <v>0</v>
      </c>
      <c r="X46">
        <v>-68218516</v>
      </c>
      <c r="Y46">
        <v>0.06</v>
      </c>
      <c r="AA46">
        <v>25888.1</v>
      </c>
      <c r="AB46">
        <v>0</v>
      </c>
      <c r="AC46">
        <v>0</v>
      </c>
      <c r="AD46">
        <v>0</v>
      </c>
      <c r="AE46">
        <v>25888.1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0.06</v>
      </c>
      <c r="AU46" t="s">
        <v>3</v>
      </c>
      <c r="AV46">
        <v>0</v>
      </c>
      <c r="AW46">
        <v>2</v>
      </c>
      <c r="AX46">
        <v>38116928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Y46*Source!I72</f>
        <v>0.21</v>
      </c>
      <c r="CY46">
        <f>AA46</f>
        <v>25888.1</v>
      </c>
      <c r="CZ46">
        <f>AE46</f>
        <v>25888.1</v>
      </c>
      <c r="DA46">
        <f>AI46</f>
        <v>1</v>
      </c>
      <c r="DB46">
        <f t="shared" si="5"/>
        <v>1553.29</v>
      </c>
      <c r="DC46">
        <f t="shared" si="6"/>
        <v>0</v>
      </c>
    </row>
    <row r="47" spans="1:107" x14ac:dyDescent="0.2">
      <c r="A47">
        <f>ROW(Source!A72)</f>
        <v>72</v>
      </c>
      <c r="B47">
        <v>38115817</v>
      </c>
      <c r="C47">
        <v>38116925</v>
      </c>
      <c r="D47">
        <v>36637819</v>
      </c>
      <c r="E47">
        <v>1</v>
      </c>
      <c r="F47">
        <v>1</v>
      </c>
      <c r="G47">
        <v>27</v>
      </c>
      <c r="H47">
        <v>3</v>
      </c>
      <c r="I47" t="s">
        <v>183</v>
      </c>
      <c r="J47" t="s">
        <v>184</v>
      </c>
      <c r="K47" t="s">
        <v>185</v>
      </c>
      <c r="L47">
        <v>1348</v>
      </c>
      <c r="N47">
        <v>1009</v>
      </c>
      <c r="O47" t="s">
        <v>117</v>
      </c>
      <c r="P47" t="s">
        <v>117</v>
      </c>
      <c r="Q47">
        <v>1000</v>
      </c>
      <c r="W47">
        <v>0</v>
      </c>
      <c r="X47">
        <v>2062870502</v>
      </c>
      <c r="Y47">
        <v>7.14</v>
      </c>
      <c r="AA47">
        <v>2652.04</v>
      </c>
      <c r="AB47">
        <v>0</v>
      </c>
      <c r="AC47">
        <v>0</v>
      </c>
      <c r="AD47">
        <v>0</v>
      </c>
      <c r="AE47">
        <v>2652.04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7.14</v>
      </c>
      <c r="AU47" t="s">
        <v>3</v>
      </c>
      <c r="AV47">
        <v>0</v>
      </c>
      <c r="AW47">
        <v>2</v>
      </c>
      <c r="AX47">
        <v>38116929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Y47*Source!I72</f>
        <v>24.99</v>
      </c>
      <c r="CY47">
        <f>AA47</f>
        <v>2652.04</v>
      </c>
      <c r="CZ47">
        <f>AE47</f>
        <v>2652.04</v>
      </c>
      <c r="DA47">
        <f>AI47</f>
        <v>1</v>
      </c>
      <c r="DB47">
        <f t="shared" si="5"/>
        <v>18935.57</v>
      </c>
      <c r="DC47">
        <f t="shared" si="6"/>
        <v>0</v>
      </c>
    </row>
    <row r="48" spans="1:107" x14ac:dyDescent="0.2">
      <c r="A48">
        <f>ROW(Source!A73)</f>
        <v>73</v>
      </c>
      <c r="B48">
        <v>38115817</v>
      </c>
      <c r="C48">
        <v>38116930</v>
      </c>
      <c r="D48">
        <v>36621550</v>
      </c>
      <c r="E48">
        <v>27</v>
      </c>
      <c r="F48">
        <v>1</v>
      </c>
      <c r="G48">
        <v>27</v>
      </c>
      <c r="H48">
        <v>1</v>
      </c>
      <c r="I48" t="s">
        <v>127</v>
      </c>
      <c r="J48" t="s">
        <v>3</v>
      </c>
      <c r="K48" t="s">
        <v>128</v>
      </c>
      <c r="L48">
        <v>1191</v>
      </c>
      <c r="N48">
        <v>1013</v>
      </c>
      <c r="O48" t="s">
        <v>129</v>
      </c>
      <c r="P48" t="s">
        <v>129</v>
      </c>
      <c r="Q48">
        <v>1</v>
      </c>
      <c r="W48">
        <v>0</v>
      </c>
      <c r="X48">
        <v>476480486</v>
      </c>
      <c r="Y48">
        <v>10.3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10.3</v>
      </c>
      <c r="AU48" t="s">
        <v>3</v>
      </c>
      <c r="AV48">
        <v>1</v>
      </c>
      <c r="AW48">
        <v>2</v>
      </c>
      <c r="AX48">
        <v>38116931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Y48*Source!I73</f>
        <v>36.050000000000004</v>
      </c>
      <c r="CY48">
        <f>AD48</f>
        <v>0</v>
      </c>
      <c r="CZ48">
        <f>AH48</f>
        <v>0</v>
      </c>
      <c r="DA48">
        <f>AL48</f>
        <v>1</v>
      </c>
      <c r="DB48">
        <f t="shared" si="5"/>
        <v>0</v>
      </c>
      <c r="DC48">
        <f t="shared" si="6"/>
        <v>0</v>
      </c>
    </row>
    <row r="49" spans="1:107" x14ac:dyDescent="0.2">
      <c r="A49">
        <f>ROW(Source!A73)</f>
        <v>73</v>
      </c>
      <c r="B49">
        <v>38115817</v>
      </c>
      <c r="C49">
        <v>38116930</v>
      </c>
      <c r="D49">
        <v>36633908</v>
      </c>
      <c r="E49">
        <v>1</v>
      </c>
      <c r="F49">
        <v>1</v>
      </c>
      <c r="G49">
        <v>27</v>
      </c>
      <c r="H49">
        <v>2</v>
      </c>
      <c r="I49" t="s">
        <v>177</v>
      </c>
      <c r="J49" t="s">
        <v>178</v>
      </c>
      <c r="K49" t="s">
        <v>179</v>
      </c>
      <c r="L49">
        <v>1368</v>
      </c>
      <c r="N49">
        <v>1011</v>
      </c>
      <c r="O49" t="s">
        <v>133</v>
      </c>
      <c r="P49" t="s">
        <v>133</v>
      </c>
      <c r="Q49">
        <v>1</v>
      </c>
      <c r="W49">
        <v>0</v>
      </c>
      <c r="X49">
        <v>-1043398787</v>
      </c>
      <c r="Y49">
        <v>0.89</v>
      </c>
      <c r="AA49">
        <v>0</v>
      </c>
      <c r="AB49">
        <v>1261.8699999999999</v>
      </c>
      <c r="AC49">
        <v>530.02</v>
      </c>
      <c r="AD49">
        <v>0</v>
      </c>
      <c r="AE49">
        <v>0</v>
      </c>
      <c r="AF49">
        <v>1261.8699999999999</v>
      </c>
      <c r="AG49">
        <v>530.02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0.89</v>
      </c>
      <c r="AU49" t="s">
        <v>3</v>
      </c>
      <c r="AV49">
        <v>0</v>
      </c>
      <c r="AW49">
        <v>2</v>
      </c>
      <c r="AX49">
        <v>38116932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Y49*Source!I73</f>
        <v>3.1150000000000002</v>
      </c>
      <c r="CY49">
        <f>AB49</f>
        <v>1261.8699999999999</v>
      </c>
      <c r="CZ49">
        <f>AF49</f>
        <v>1261.8699999999999</v>
      </c>
      <c r="DA49">
        <f>AJ49</f>
        <v>1</v>
      </c>
      <c r="DB49">
        <f t="shared" si="5"/>
        <v>1123.06</v>
      </c>
      <c r="DC49">
        <f t="shared" si="6"/>
        <v>471.72</v>
      </c>
    </row>
    <row r="50" spans="1:107" x14ac:dyDescent="0.2">
      <c r="A50">
        <f>ROW(Source!A73)</f>
        <v>73</v>
      </c>
      <c r="B50">
        <v>38115817</v>
      </c>
      <c r="C50">
        <v>38116930</v>
      </c>
      <c r="D50">
        <v>36634714</v>
      </c>
      <c r="E50">
        <v>1</v>
      </c>
      <c r="F50">
        <v>1</v>
      </c>
      <c r="G50">
        <v>27</v>
      </c>
      <c r="H50">
        <v>3</v>
      </c>
      <c r="I50" t="s">
        <v>180</v>
      </c>
      <c r="J50" t="s">
        <v>181</v>
      </c>
      <c r="K50" t="s">
        <v>182</v>
      </c>
      <c r="L50">
        <v>1348</v>
      </c>
      <c r="N50">
        <v>1009</v>
      </c>
      <c r="O50" t="s">
        <v>117</v>
      </c>
      <c r="P50" t="s">
        <v>117</v>
      </c>
      <c r="Q50">
        <v>1000</v>
      </c>
      <c r="W50">
        <v>0</v>
      </c>
      <c r="X50">
        <v>-68218516</v>
      </c>
      <c r="Y50">
        <v>0.06</v>
      </c>
      <c r="AA50">
        <v>25888.1</v>
      </c>
      <c r="AB50">
        <v>0</v>
      </c>
      <c r="AC50">
        <v>0</v>
      </c>
      <c r="AD50">
        <v>0</v>
      </c>
      <c r="AE50">
        <v>25888.1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0.06</v>
      </c>
      <c r="AU50" t="s">
        <v>3</v>
      </c>
      <c r="AV50">
        <v>0</v>
      </c>
      <c r="AW50">
        <v>2</v>
      </c>
      <c r="AX50">
        <v>38116933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Y50*Source!I73</f>
        <v>0.21</v>
      </c>
      <c r="CY50">
        <f>AA50</f>
        <v>25888.1</v>
      </c>
      <c r="CZ50">
        <f>AE50</f>
        <v>25888.1</v>
      </c>
      <c r="DA50">
        <f>AI50</f>
        <v>1</v>
      </c>
      <c r="DB50">
        <f t="shared" si="5"/>
        <v>1553.29</v>
      </c>
      <c r="DC50">
        <f t="shared" si="6"/>
        <v>0</v>
      </c>
    </row>
    <row r="51" spans="1:107" x14ac:dyDescent="0.2">
      <c r="A51">
        <f>ROW(Source!A73)</f>
        <v>73</v>
      </c>
      <c r="B51">
        <v>38115817</v>
      </c>
      <c r="C51">
        <v>38116930</v>
      </c>
      <c r="D51">
        <v>36637793</v>
      </c>
      <c r="E51">
        <v>1</v>
      </c>
      <c r="F51">
        <v>1</v>
      </c>
      <c r="G51">
        <v>27</v>
      </c>
      <c r="H51">
        <v>3</v>
      </c>
      <c r="I51" t="s">
        <v>186</v>
      </c>
      <c r="J51" t="s">
        <v>187</v>
      </c>
      <c r="K51" t="s">
        <v>188</v>
      </c>
      <c r="L51">
        <v>1348</v>
      </c>
      <c r="N51">
        <v>1009</v>
      </c>
      <c r="O51" t="s">
        <v>117</v>
      </c>
      <c r="P51" t="s">
        <v>117</v>
      </c>
      <c r="Q51">
        <v>1000</v>
      </c>
      <c r="W51">
        <v>0</v>
      </c>
      <c r="X51">
        <v>291499313</v>
      </c>
      <c r="Y51">
        <v>10.7</v>
      </c>
      <c r="AA51">
        <v>2649.07</v>
      </c>
      <c r="AB51">
        <v>0</v>
      </c>
      <c r="AC51">
        <v>0</v>
      </c>
      <c r="AD51">
        <v>0</v>
      </c>
      <c r="AE51">
        <v>2649.07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10.7</v>
      </c>
      <c r="AU51" t="s">
        <v>3</v>
      </c>
      <c r="AV51">
        <v>0</v>
      </c>
      <c r="AW51">
        <v>2</v>
      </c>
      <c r="AX51">
        <v>38116934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Y51*Source!I73</f>
        <v>37.449999999999996</v>
      </c>
      <c r="CY51">
        <f>AA51</f>
        <v>2649.07</v>
      </c>
      <c r="CZ51">
        <f>AE51</f>
        <v>2649.07</v>
      </c>
      <c r="DA51">
        <f>AI51</f>
        <v>1</v>
      </c>
      <c r="DB51">
        <f t="shared" si="5"/>
        <v>28345.05</v>
      </c>
      <c r="DC51">
        <f t="shared" si="6"/>
        <v>0</v>
      </c>
    </row>
    <row r="52" spans="1:107" x14ac:dyDescent="0.2">
      <c r="A52">
        <f>ROW(Source!A109)</f>
        <v>109</v>
      </c>
      <c r="B52">
        <v>38115817</v>
      </c>
      <c r="C52">
        <v>38117080</v>
      </c>
      <c r="D52">
        <v>36634520</v>
      </c>
      <c r="E52">
        <v>1</v>
      </c>
      <c r="F52">
        <v>1</v>
      </c>
      <c r="G52">
        <v>27</v>
      </c>
      <c r="H52">
        <v>2</v>
      </c>
      <c r="I52" t="s">
        <v>189</v>
      </c>
      <c r="J52" t="s">
        <v>190</v>
      </c>
      <c r="K52" t="s">
        <v>191</v>
      </c>
      <c r="L52">
        <v>1368</v>
      </c>
      <c r="N52">
        <v>1011</v>
      </c>
      <c r="O52" t="s">
        <v>133</v>
      </c>
      <c r="P52" t="s">
        <v>133</v>
      </c>
      <c r="Q52">
        <v>1</v>
      </c>
      <c r="W52">
        <v>0</v>
      </c>
      <c r="X52">
        <v>486337296</v>
      </c>
      <c r="Y52">
        <v>3.6999999999999998E-2</v>
      </c>
      <c r="AA52">
        <v>0</v>
      </c>
      <c r="AB52">
        <v>1014.12</v>
      </c>
      <c r="AC52">
        <v>317.13</v>
      </c>
      <c r="AD52">
        <v>0</v>
      </c>
      <c r="AE52">
        <v>0</v>
      </c>
      <c r="AF52">
        <v>1014.12</v>
      </c>
      <c r="AG52">
        <v>317.13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3.6999999999999998E-2</v>
      </c>
      <c r="AU52" t="s">
        <v>3</v>
      </c>
      <c r="AV52">
        <v>0</v>
      </c>
      <c r="AW52">
        <v>2</v>
      </c>
      <c r="AX52">
        <v>38117081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Y52*Source!I109</f>
        <v>6.5534400000000002</v>
      </c>
      <c r="CY52">
        <f>AB52</f>
        <v>1014.12</v>
      </c>
      <c r="CZ52">
        <f>AF52</f>
        <v>1014.12</v>
      </c>
      <c r="DA52">
        <f>AJ52</f>
        <v>1</v>
      </c>
      <c r="DB52">
        <f t="shared" si="5"/>
        <v>37.520000000000003</v>
      </c>
      <c r="DC52">
        <f t="shared" si="6"/>
        <v>11.73</v>
      </c>
    </row>
    <row r="53" spans="1:107" x14ac:dyDescent="0.2">
      <c r="A53">
        <f>ROW(Source!A110)</f>
        <v>110</v>
      </c>
      <c r="B53">
        <v>38115817</v>
      </c>
      <c r="C53">
        <v>38117082</v>
      </c>
      <c r="D53">
        <v>36634520</v>
      </c>
      <c r="E53">
        <v>1</v>
      </c>
      <c r="F53">
        <v>1</v>
      </c>
      <c r="G53">
        <v>27</v>
      </c>
      <c r="H53">
        <v>2</v>
      </c>
      <c r="I53" t="s">
        <v>189</v>
      </c>
      <c r="J53" t="s">
        <v>190</v>
      </c>
      <c r="K53" t="s">
        <v>191</v>
      </c>
      <c r="L53">
        <v>1368</v>
      </c>
      <c r="N53">
        <v>1011</v>
      </c>
      <c r="O53" t="s">
        <v>133</v>
      </c>
      <c r="P53" t="s">
        <v>133</v>
      </c>
      <c r="Q53">
        <v>1</v>
      </c>
      <c r="W53">
        <v>0</v>
      </c>
      <c r="X53">
        <v>486337296</v>
      </c>
      <c r="Y53">
        <v>0.51</v>
      </c>
      <c r="AA53">
        <v>0</v>
      </c>
      <c r="AB53">
        <v>1014.12</v>
      </c>
      <c r="AC53">
        <v>317.13</v>
      </c>
      <c r="AD53">
        <v>0</v>
      </c>
      <c r="AE53">
        <v>0</v>
      </c>
      <c r="AF53">
        <v>1014.12</v>
      </c>
      <c r="AG53">
        <v>317.13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 t="s">
        <v>3</v>
      </c>
      <c r="AT53">
        <v>0.01</v>
      </c>
      <c r="AU53" t="s">
        <v>124</v>
      </c>
      <c r="AV53">
        <v>0</v>
      </c>
      <c r="AW53">
        <v>2</v>
      </c>
      <c r="AX53">
        <v>38117083</v>
      </c>
      <c r="AY53">
        <v>1</v>
      </c>
      <c r="AZ53">
        <v>0</v>
      </c>
      <c r="BA53">
        <v>53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Y53*Source!I110</f>
        <v>90.33120000000001</v>
      </c>
      <c r="CY53">
        <f>AB53</f>
        <v>1014.12</v>
      </c>
      <c r="CZ53">
        <f>AF53</f>
        <v>1014.12</v>
      </c>
      <c r="DA53">
        <f>AJ53</f>
        <v>1</v>
      </c>
      <c r="DB53">
        <f>ROUND((ROUND(AT53*CZ53,2)*51),6)</f>
        <v>517.14</v>
      </c>
      <c r="DC53">
        <f>ROUND((ROUND(AT53*AG53,2)*51),6)</f>
        <v>161.66999999999999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38116969</v>
      </c>
      <c r="C1">
        <v>38116962</v>
      </c>
      <c r="D1">
        <v>36621550</v>
      </c>
      <c r="E1">
        <v>27</v>
      </c>
      <c r="F1">
        <v>1</v>
      </c>
      <c r="G1">
        <v>27</v>
      </c>
      <c r="H1">
        <v>1</v>
      </c>
      <c r="I1" t="s">
        <v>127</v>
      </c>
      <c r="J1" t="s">
        <v>3</v>
      </c>
      <c r="K1" t="s">
        <v>128</v>
      </c>
      <c r="L1">
        <v>1191</v>
      </c>
      <c r="N1">
        <v>1013</v>
      </c>
      <c r="O1" t="s">
        <v>129</v>
      </c>
      <c r="P1" t="s">
        <v>129</v>
      </c>
      <c r="Q1">
        <v>1</v>
      </c>
      <c r="X1">
        <v>59.6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59.6</v>
      </c>
      <c r="AH1">
        <v>2</v>
      </c>
      <c r="AI1">
        <v>38116969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ROW(Source!A29)</f>
        <v>29</v>
      </c>
      <c r="B2">
        <v>38116971</v>
      </c>
      <c r="C2">
        <v>38116970</v>
      </c>
      <c r="D2">
        <v>36621550</v>
      </c>
      <c r="E2">
        <v>27</v>
      </c>
      <c r="F2">
        <v>1</v>
      </c>
      <c r="G2">
        <v>27</v>
      </c>
      <c r="H2">
        <v>1</v>
      </c>
      <c r="I2" t="s">
        <v>127</v>
      </c>
      <c r="J2" t="s">
        <v>3</v>
      </c>
      <c r="K2" t="s">
        <v>128</v>
      </c>
      <c r="L2">
        <v>1191</v>
      </c>
      <c r="N2">
        <v>1013</v>
      </c>
      <c r="O2" t="s">
        <v>129</v>
      </c>
      <c r="P2" t="s">
        <v>129</v>
      </c>
      <c r="Q2">
        <v>1</v>
      </c>
      <c r="X2">
        <v>13.57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 t="s">
        <v>3</v>
      </c>
      <c r="AG2">
        <v>13.57</v>
      </c>
      <c r="AH2">
        <v>2</v>
      </c>
      <c r="AI2">
        <v>38116971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ROW(Source!A29)</f>
        <v>29</v>
      </c>
      <c r="B3">
        <v>38116972</v>
      </c>
      <c r="C3">
        <v>38116970</v>
      </c>
      <c r="D3">
        <v>36633910</v>
      </c>
      <c r="E3">
        <v>1</v>
      </c>
      <c r="F3">
        <v>1</v>
      </c>
      <c r="G3">
        <v>27</v>
      </c>
      <c r="H3">
        <v>2</v>
      </c>
      <c r="I3" t="s">
        <v>130</v>
      </c>
      <c r="J3" t="s">
        <v>131</v>
      </c>
      <c r="K3" t="s">
        <v>132</v>
      </c>
      <c r="L3">
        <v>1368</v>
      </c>
      <c r="N3">
        <v>1011</v>
      </c>
      <c r="O3" t="s">
        <v>133</v>
      </c>
      <c r="P3" t="s">
        <v>133</v>
      </c>
      <c r="Q3">
        <v>1</v>
      </c>
      <c r="X3">
        <v>0.46</v>
      </c>
      <c r="Y3">
        <v>0</v>
      </c>
      <c r="Z3">
        <v>888.61</v>
      </c>
      <c r="AA3">
        <v>396.74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0.46</v>
      </c>
      <c r="AH3">
        <v>2</v>
      </c>
      <c r="AI3">
        <v>38116972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ROW(Source!A29)</f>
        <v>29</v>
      </c>
      <c r="B4">
        <v>38116973</v>
      </c>
      <c r="C4">
        <v>38116970</v>
      </c>
      <c r="D4">
        <v>36633911</v>
      </c>
      <c r="E4">
        <v>1</v>
      </c>
      <c r="F4">
        <v>1</v>
      </c>
      <c r="G4">
        <v>27</v>
      </c>
      <c r="H4">
        <v>2</v>
      </c>
      <c r="I4" t="s">
        <v>134</v>
      </c>
      <c r="J4" t="s">
        <v>135</v>
      </c>
      <c r="K4" t="s">
        <v>136</v>
      </c>
      <c r="L4">
        <v>1368</v>
      </c>
      <c r="N4">
        <v>1011</v>
      </c>
      <c r="O4" t="s">
        <v>133</v>
      </c>
      <c r="P4" t="s">
        <v>133</v>
      </c>
      <c r="Q4">
        <v>1</v>
      </c>
      <c r="X4">
        <v>1.39</v>
      </c>
      <c r="Y4">
        <v>0</v>
      </c>
      <c r="Z4">
        <v>880.59</v>
      </c>
      <c r="AA4">
        <v>534.02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1.39</v>
      </c>
      <c r="AH4">
        <v>2</v>
      </c>
      <c r="AI4">
        <v>38116973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ROW(Source!A29)</f>
        <v>29</v>
      </c>
      <c r="B5">
        <v>38116974</v>
      </c>
      <c r="C5">
        <v>38116970</v>
      </c>
      <c r="D5">
        <v>36637803</v>
      </c>
      <c r="E5">
        <v>1</v>
      </c>
      <c r="F5">
        <v>1</v>
      </c>
      <c r="G5">
        <v>27</v>
      </c>
      <c r="H5">
        <v>3</v>
      </c>
      <c r="I5" t="s">
        <v>137</v>
      </c>
      <c r="J5" t="s">
        <v>138</v>
      </c>
      <c r="K5" t="s">
        <v>139</v>
      </c>
      <c r="L5">
        <v>1348</v>
      </c>
      <c r="N5">
        <v>1009</v>
      </c>
      <c r="O5" t="s">
        <v>117</v>
      </c>
      <c r="P5" t="s">
        <v>117</v>
      </c>
      <c r="Q5">
        <v>1000</v>
      </c>
      <c r="X5">
        <v>9.58</v>
      </c>
      <c r="Y5">
        <v>2690.29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9.58</v>
      </c>
      <c r="AH5">
        <v>2</v>
      </c>
      <c r="AI5">
        <v>38116974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ROW(Source!A30)</f>
        <v>30</v>
      </c>
      <c r="B6">
        <v>38116994</v>
      </c>
      <c r="C6">
        <v>38116993</v>
      </c>
      <c r="D6">
        <v>36621550</v>
      </c>
      <c r="E6">
        <v>27</v>
      </c>
      <c r="F6">
        <v>1</v>
      </c>
      <c r="G6">
        <v>27</v>
      </c>
      <c r="H6">
        <v>1</v>
      </c>
      <c r="I6" t="s">
        <v>127</v>
      </c>
      <c r="J6" t="s">
        <v>3</v>
      </c>
      <c r="K6" t="s">
        <v>128</v>
      </c>
      <c r="L6">
        <v>1191</v>
      </c>
      <c r="N6">
        <v>1013</v>
      </c>
      <c r="O6" t="s">
        <v>129</v>
      </c>
      <c r="P6" t="s">
        <v>129</v>
      </c>
      <c r="Q6">
        <v>1</v>
      </c>
      <c r="X6">
        <v>124.37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34</v>
      </c>
      <c r="AG6">
        <v>24.874000000000002</v>
      </c>
      <c r="AH6">
        <v>2</v>
      </c>
      <c r="AI6">
        <v>38116994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ROW(Source!A30)</f>
        <v>30</v>
      </c>
      <c r="B7">
        <v>38116995</v>
      </c>
      <c r="C7">
        <v>38116993</v>
      </c>
      <c r="D7">
        <v>36634527</v>
      </c>
      <c r="E7">
        <v>1</v>
      </c>
      <c r="F7">
        <v>1</v>
      </c>
      <c r="G7">
        <v>27</v>
      </c>
      <c r="H7">
        <v>2</v>
      </c>
      <c r="I7" t="s">
        <v>140</v>
      </c>
      <c r="J7" t="s">
        <v>141</v>
      </c>
      <c r="K7" t="s">
        <v>142</v>
      </c>
      <c r="L7">
        <v>1368</v>
      </c>
      <c r="N7">
        <v>1011</v>
      </c>
      <c r="O7" t="s">
        <v>133</v>
      </c>
      <c r="P7" t="s">
        <v>133</v>
      </c>
      <c r="Q7">
        <v>1</v>
      </c>
      <c r="X7">
        <v>1.1000000000000001</v>
      </c>
      <c r="Y7">
        <v>0</v>
      </c>
      <c r="Z7">
        <v>641.88</v>
      </c>
      <c r="AA7">
        <v>413.66</v>
      </c>
      <c r="AB7">
        <v>0</v>
      </c>
      <c r="AC7">
        <v>0</v>
      </c>
      <c r="AD7">
        <v>1</v>
      </c>
      <c r="AE7">
        <v>0</v>
      </c>
      <c r="AF7" t="s">
        <v>34</v>
      </c>
      <c r="AG7">
        <v>0.22000000000000003</v>
      </c>
      <c r="AH7">
        <v>2</v>
      </c>
      <c r="AI7">
        <v>38116995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ROW(Source!A30)</f>
        <v>30</v>
      </c>
      <c r="B8">
        <v>38116996</v>
      </c>
      <c r="C8">
        <v>38116993</v>
      </c>
      <c r="D8">
        <v>36634562</v>
      </c>
      <c r="E8">
        <v>1</v>
      </c>
      <c r="F8">
        <v>1</v>
      </c>
      <c r="G8">
        <v>27</v>
      </c>
      <c r="H8">
        <v>2</v>
      </c>
      <c r="I8" t="s">
        <v>143</v>
      </c>
      <c r="J8" t="s">
        <v>144</v>
      </c>
      <c r="K8" t="s">
        <v>145</v>
      </c>
      <c r="L8">
        <v>1368</v>
      </c>
      <c r="N8">
        <v>1011</v>
      </c>
      <c r="O8" t="s">
        <v>133</v>
      </c>
      <c r="P8" t="s">
        <v>133</v>
      </c>
      <c r="Q8">
        <v>1</v>
      </c>
      <c r="X8">
        <v>7.12</v>
      </c>
      <c r="Y8">
        <v>0</v>
      </c>
      <c r="Z8">
        <v>7.97</v>
      </c>
      <c r="AA8">
        <v>1.87</v>
      </c>
      <c r="AB8">
        <v>0</v>
      </c>
      <c r="AC8">
        <v>0</v>
      </c>
      <c r="AD8">
        <v>1</v>
      </c>
      <c r="AE8">
        <v>0</v>
      </c>
      <c r="AF8" t="s">
        <v>34</v>
      </c>
      <c r="AG8">
        <v>1.4240000000000002</v>
      </c>
      <c r="AH8">
        <v>2</v>
      </c>
      <c r="AI8">
        <v>38116996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ROW(Source!A30)</f>
        <v>30</v>
      </c>
      <c r="B9">
        <v>38116997</v>
      </c>
      <c r="C9">
        <v>38116993</v>
      </c>
      <c r="D9">
        <v>36635536</v>
      </c>
      <c r="E9">
        <v>1</v>
      </c>
      <c r="F9">
        <v>1</v>
      </c>
      <c r="G9">
        <v>27</v>
      </c>
      <c r="H9">
        <v>3</v>
      </c>
      <c r="I9" t="s">
        <v>146</v>
      </c>
      <c r="J9" t="s">
        <v>147</v>
      </c>
      <c r="K9" t="s">
        <v>148</v>
      </c>
      <c r="L9">
        <v>1348</v>
      </c>
      <c r="N9">
        <v>1009</v>
      </c>
      <c r="O9" t="s">
        <v>117</v>
      </c>
      <c r="P9" t="s">
        <v>117</v>
      </c>
      <c r="Q9">
        <v>1000</v>
      </c>
      <c r="X9">
        <v>0.11</v>
      </c>
      <c r="Y9">
        <v>53313.54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33</v>
      </c>
      <c r="AG9">
        <v>0</v>
      </c>
      <c r="AH9">
        <v>2</v>
      </c>
      <c r="AI9">
        <v>38116997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ROW(Source!A30)</f>
        <v>30</v>
      </c>
      <c r="B10">
        <v>38116998</v>
      </c>
      <c r="C10">
        <v>38116993</v>
      </c>
      <c r="D10">
        <v>36635876</v>
      </c>
      <c r="E10">
        <v>1</v>
      </c>
      <c r="F10">
        <v>1</v>
      </c>
      <c r="G10">
        <v>27</v>
      </c>
      <c r="H10">
        <v>3</v>
      </c>
      <c r="I10" t="s">
        <v>149</v>
      </c>
      <c r="J10" t="s">
        <v>150</v>
      </c>
      <c r="K10" t="s">
        <v>151</v>
      </c>
      <c r="L10">
        <v>1339</v>
      </c>
      <c r="N10">
        <v>1007</v>
      </c>
      <c r="O10" t="s">
        <v>40</v>
      </c>
      <c r="P10" t="s">
        <v>40</v>
      </c>
      <c r="Q10">
        <v>1</v>
      </c>
      <c r="X10">
        <v>3.4</v>
      </c>
      <c r="Y10">
        <v>590.78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33</v>
      </c>
      <c r="AG10">
        <v>0</v>
      </c>
      <c r="AH10">
        <v>2</v>
      </c>
      <c r="AI10">
        <v>38116998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ROW(Source!A30)</f>
        <v>30</v>
      </c>
      <c r="B11">
        <v>38116999</v>
      </c>
      <c r="C11">
        <v>38116993</v>
      </c>
      <c r="D11">
        <v>36635894</v>
      </c>
      <c r="E11">
        <v>1</v>
      </c>
      <c r="F11">
        <v>1</v>
      </c>
      <c r="G11">
        <v>27</v>
      </c>
      <c r="H11">
        <v>3</v>
      </c>
      <c r="I11" t="s">
        <v>152</v>
      </c>
      <c r="J11" t="s">
        <v>153</v>
      </c>
      <c r="K11" t="s">
        <v>154</v>
      </c>
      <c r="L11">
        <v>1339</v>
      </c>
      <c r="N11">
        <v>1007</v>
      </c>
      <c r="O11" t="s">
        <v>40</v>
      </c>
      <c r="P11" t="s">
        <v>40</v>
      </c>
      <c r="Q11">
        <v>1</v>
      </c>
      <c r="X11">
        <v>3.4</v>
      </c>
      <c r="Y11">
        <v>1436.5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33</v>
      </c>
      <c r="AG11">
        <v>0</v>
      </c>
      <c r="AH11">
        <v>2</v>
      </c>
      <c r="AI11">
        <v>38116999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ROW(Source!A30)</f>
        <v>30</v>
      </c>
      <c r="B12">
        <v>38117000</v>
      </c>
      <c r="C12">
        <v>38116993</v>
      </c>
      <c r="D12">
        <v>36635926</v>
      </c>
      <c r="E12">
        <v>1</v>
      </c>
      <c r="F12">
        <v>1</v>
      </c>
      <c r="G12">
        <v>27</v>
      </c>
      <c r="H12">
        <v>3</v>
      </c>
      <c r="I12" t="s">
        <v>155</v>
      </c>
      <c r="J12" t="s">
        <v>156</v>
      </c>
      <c r="K12" t="s">
        <v>157</v>
      </c>
      <c r="L12">
        <v>1348</v>
      </c>
      <c r="N12">
        <v>1009</v>
      </c>
      <c r="O12" t="s">
        <v>117</v>
      </c>
      <c r="P12" t="s">
        <v>117</v>
      </c>
      <c r="Q12">
        <v>1000</v>
      </c>
      <c r="X12">
        <v>1.46</v>
      </c>
      <c r="Y12">
        <v>9548.1200000000008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33</v>
      </c>
      <c r="AG12">
        <v>0</v>
      </c>
      <c r="AH12">
        <v>2</v>
      </c>
      <c r="AI12">
        <v>38117000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ROW(Source!A30)</f>
        <v>30</v>
      </c>
      <c r="B13">
        <v>38117001</v>
      </c>
      <c r="C13">
        <v>38116993</v>
      </c>
      <c r="D13">
        <v>36635927</v>
      </c>
      <c r="E13">
        <v>1</v>
      </c>
      <c r="F13">
        <v>1</v>
      </c>
      <c r="G13">
        <v>27</v>
      </c>
      <c r="H13">
        <v>3</v>
      </c>
      <c r="I13" t="s">
        <v>158</v>
      </c>
      <c r="J13" t="s">
        <v>159</v>
      </c>
      <c r="K13" t="s">
        <v>160</v>
      </c>
      <c r="L13">
        <v>1327</v>
      </c>
      <c r="N13">
        <v>1005</v>
      </c>
      <c r="O13" t="s">
        <v>161</v>
      </c>
      <c r="P13" t="s">
        <v>161</v>
      </c>
      <c r="Q13">
        <v>1</v>
      </c>
      <c r="X13">
        <v>10</v>
      </c>
      <c r="Y13">
        <v>4659.1099999999997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33</v>
      </c>
      <c r="AG13">
        <v>0</v>
      </c>
      <c r="AH13">
        <v>2</v>
      </c>
      <c r="AI13">
        <v>38117001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ROW(Source!A30)</f>
        <v>30</v>
      </c>
      <c r="B14">
        <v>38117002</v>
      </c>
      <c r="C14">
        <v>38116993</v>
      </c>
      <c r="D14">
        <v>36634824</v>
      </c>
      <c r="E14">
        <v>1</v>
      </c>
      <c r="F14">
        <v>1</v>
      </c>
      <c r="G14">
        <v>27</v>
      </c>
      <c r="H14">
        <v>3</v>
      </c>
      <c r="I14" t="s">
        <v>162</v>
      </c>
      <c r="J14" t="s">
        <v>163</v>
      </c>
      <c r="K14" t="s">
        <v>164</v>
      </c>
      <c r="L14">
        <v>1348</v>
      </c>
      <c r="N14">
        <v>1009</v>
      </c>
      <c r="O14" t="s">
        <v>117</v>
      </c>
      <c r="P14" t="s">
        <v>117</v>
      </c>
      <c r="Q14">
        <v>1000</v>
      </c>
      <c r="X14">
        <v>1.3</v>
      </c>
      <c r="Y14">
        <v>4207.5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33</v>
      </c>
      <c r="AG14">
        <v>0</v>
      </c>
      <c r="AH14">
        <v>2</v>
      </c>
      <c r="AI14">
        <v>38117002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ROW(Source!A30)</f>
        <v>30</v>
      </c>
      <c r="B15">
        <v>38117003</v>
      </c>
      <c r="C15">
        <v>38116993</v>
      </c>
      <c r="D15">
        <v>36636621</v>
      </c>
      <c r="E15">
        <v>1</v>
      </c>
      <c r="F15">
        <v>1</v>
      </c>
      <c r="G15">
        <v>27</v>
      </c>
      <c r="H15">
        <v>3</v>
      </c>
      <c r="I15" t="s">
        <v>38</v>
      </c>
      <c r="J15" t="s">
        <v>41</v>
      </c>
      <c r="K15" t="s">
        <v>39</v>
      </c>
      <c r="L15">
        <v>1339</v>
      </c>
      <c r="N15">
        <v>1007</v>
      </c>
      <c r="O15" t="s">
        <v>40</v>
      </c>
      <c r="P15" t="s">
        <v>40</v>
      </c>
      <c r="Q15">
        <v>1</v>
      </c>
      <c r="X15">
        <v>1</v>
      </c>
      <c r="Y15">
        <v>35.25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33</v>
      </c>
      <c r="AG15">
        <v>0</v>
      </c>
      <c r="AH15">
        <v>2</v>
      </c>
      <c r="AI15">
        <v>38117003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ROW(Source!A30)</f>
        <v>30</v>
      </c>
      <c r="B16">
        <v>38117004</v>
      </c>
      <c r="C16">
        <v>38116993</v>
      </c>
      <c r="D16">
        <v>36637840</v>
      </c>
      <c r="E16">
        <v>1</v>
      </c>
      <c r="F16">
        <v>1</v>
      </c>
      <c r="G16">
        <v>27</v>
      </c>
      <c r="H16">
        <v>3</v>
      </c>
      <c r="I16" t="s">
        <v>165</v>
      </c>
      <c r="J16" t="s">
        <v>166</v>
      </c>
      <c r="K16" t="s">
        <v>167</v>
      </c>
      <c r="L16">
        <v>1348</v>
      </c>
      <c r="N16">
        <v>1009</v>
      </c>
      <c r="O16" t="s">
        <v>117</v>
      </c>
      <c r="P16" t="s">
        <v>117</v>
      </c>
      <c r="Q16">
        <v>1000</v>
      </c>
      <c r="X16">
        <v>0.03</v>
      </c>
      <c r="Y16">
        <v>36434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33</v>
      </c>
      <c r="AG16">
        <v>0</v>
      </c>
      <c r="AH16">
        <v>2</v>
      </c>
      <c r="AI16">
        <v>38117004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ROW(Source!A31)</f>
        <v>31</v>
      </c>
      <c r="B17">
        <v>38116982</v>
      </c>
      <c r="C17">
        <v>38116981</v>
      </c>
      <c r="D17">
        <v>36621550</v>
      </c>
      <c r="E17">
        <v>27</v>
      </c>
      <c r="F17">
        <v>1</v>
      </c>
      <c r="G17">
        <v>27</v>
      </c>
      <c r="H17">
        <v>1</v>
      </c>
      <c r="I17" t="s">
        <v>127</v>
      </c>
      <c r="J17" t="s">
        <v>3</v>
      </c>
      <c r="K17" t="s">
        <v>128</v>
      </c>
      <c r="L17">
        <v>1191</v>
      </c>
      <c r="N17">
        <v>1013</v>
      </c>
      <c r="O17" t="s">
        <v>129</v>
      </c>
      <c r="P17" t="s">
        <v>129</v>
      </c>
      <c r="Q17">
        <v>1</v>
      </c>
      <c r="X17">
        <v>124.37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 t="s">
        <v>3</v>
      </c>
      <c r="AG17">
        <v>124.37</v>
      </c>
      <c r="AH17">
        <v>2</v>
      </c>
      <c r="AI17">
        <v>38116982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ROW(Source!A31)</f>
        <v>31</v>
      </c>
      <c r="B18">
        <v>38116983</v>
      </c>
      <c r="C18">
        <v>38116981</v>
      </c>
      <c r="D18">
        <v>36634527</v>
      </c>
      <c r="E18">
        <v>1</v>
      </c>
      <c r="F18">
        <v>1</v>
      </c>
      <c r="G18">
        <v>27</v>
      </c>
      <c r="H18">
        <v>2</v>
      </c>
      <c r="I18" t="s">
        <v>140</v>
      </c>
      <c r="J18" t="s">
        <v>141</v>
      </c>
      <c r="K18" t="s">
        <v>142</v>
      </c>
      <c r="L18">
        <v>1368</v>
      </c>
      <c r="N18">
        <v>1011</v>
      </c>
      <c r="O18" t="s">
        <v>133</v>
      </c>
      <c r="P18" t="s">
        <v>133</v>
      </c>
      <c r="Q18">
        <v>1</v>
      </c>
      <c r="X18">
        <v>1.1000000000000001</v>
      </c>
      <c r="Y18">
        <v>0</v>
      </c>
      <c r="Z18">
        <v>641.88</v>
      </c>
      <c r="AA18">
        <v>413.66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1.1000000000000001</v>
      </c>
      <c r="AH18">
        <v>2</v>
      </c>
      <c r="AI18">
        <v>38116983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ROW(Source!A31)</f>
        <v>31</v>
      </c>
      <c r="B19">
        <v>38116984</v>
      </c>
      <c r="C19">
        <v>38116981</v>
      </c>
      <c r="D19">
        <v>36634562</v>
      </c>
      <c r="E19">
        <v>1</v>
      </c>
      <c r="F19">
        <v>1</v>
      </c>
      <c r="G19">
        <v>27</v>
      </c>
      <c r="H19">
        <v>2</v>
      </c>
      <c r="I19" t="s">
        <v>143</v>
      </c>
      <c r="J19" t="s">
        <v>144</v>
      </c>
      <c r="K19" t="s">
        <v>145</v>
      </c>
      <c r="L19">
        <v>1368</v>
      </c>
      <c r="N19">
        <v>1011</v>
      </c>
      <c r="O19" t="s">
        <v>133</v>
      </c>
      <c r="P19" t="s">
        <v>133</v>
      </c>
      <c r="Q19">
        <v>1</v>
      </c>
      <c r="X19">
        <v>7.12</v>
      </c>
      <c r="Y19">
        <v>0</v>
      </c>
      <c r="Z19">
        <v>7.97</v>
      </c>
      <c r="AA19">
        <v>1.87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7.12</v>
      </c>
      <c r="AH19">
        <v>2</v>
      </c>
      <c r="AI19">
        <v>38116984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ROW(Source!A31)</f>
        <v>31</v>
      </c>
      <c r="B20">
        <v>38116985</v>
      </c>
      <c r="C20">
        <v>38116981</v>
      </c>
      <c r="D20">
        <v>36635536</v>
      </c>
      <c r="E20">
        <v>1</v>
      </c>
      <c r="F20">
        <v>1</v>
      </c>
      <c r="G20">
        <v>27</v>
      </c>
      <c r="H20">
        <v>3</v>
      </c>
      <c r="I20" t="s">
        <v>146</v>
      </c>
      <c r="J20" t="s">
        <v>147</v>
      </c>
      <c r="K20" t="s">
        <v>148</v>
      </c>
      <c r="L20">
        <v>1348</v>
      </c>
      <c r="N20">
        <v>1009</v>
      </c>
      <c r="O20" t="s">
        <v>117</v>
      </c>
      <c r="P20" t="s">
        <v>117</v>
      </c>
      <c r="Q20">
        <v>1000</v>
      </c>
      <c r="X20">
        <v>0.11</v>
      </c>
      <c r="Y20">
        <v>53313.54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0.11</v>
      </c>
      <c r="AH20">
        <v>2</v>
      </c>
      <c r="AI20">
        <v>38116985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ROW(Source!A31)</f>
        <v>31</v>
      </c>
      <c r="B21">
        <v>38116986</v>
      </c>
      <c r="C21">
        <v>38116981</v>
      </c>
      <c r="D21">
        <v>36635876</v>
      </c>
      <c r="E21">
        <v>1</v>
      </c>
      <c r="F21">
        <v>1</v>
      </c>
      <c r="G21">
        <v>27</v>
      </c>
      <c r="H21">
        <v>3</v>
      </c>
      <c r="I21" t="s">
        <v>149</v>
      </c>
      <c r="J21" t="s">
        <v>150</v>
      </c>
      <c r="K21" t="s">
        <v>151</v>
      </c>
      <c r="L21">
        <v>1339</v>
      </c>
      <c r="N21">
        <v>1007</v>
      </c>
      <c r="O21" t="s">
        <v>40</v>
      </c>
      <c r="P21" t="s">
        <v>40</v>
      </c>
      <c r="Q21">
        <v>1</v>
      </c>
      <c r="X21">
        <v>3.4</v>
      </c>
      <c r="Y21">
        <v>590.78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3.4</v>
      </c>
      <c r="AH21">
        <v>2</v>
      </c>
      <c r="AI21">
        <v>38116986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ROW(Source!A31)</f>
        <v>31</v>
      </c>
      <c r="B22">
        <v>38116987</v>
      </c>
      <c r="C22">
        <v>38116981</v>
      </c>
      <c r="D22">
        <v>36635894</v>
      </c>
      <c r="E22">
        <v>1</v>
      </c>
      <c r="F22">
        <v>1</v>
      </c>
      <c r="G22">
        <v>27</v>
      </c>
      <c r="H22">
        <v>3</v>
      </c>
      <c r="I22" t="s">
        <v>152</v>
      </c>
      <c r="J22" t="s">
        <v>153</v>
      </c>
      <c r="K22" t="s">
        <v>154</v>
      </c>
      <c r="L22">
        <v>1339</v>
      </c>
      <c r="N22">
        <v>1007</v>
      </c>
      <c r="O22" t="s">
        <v>40</v>
      </c>
      <c r="P22" t="s">
        <v>40</v>
      </c>
      <c r="Q22">
        <v>1</v>
      </c>
      <c r="X22">
        <v>3.4</v>
      </c>
      <c r="Y22">
        <v>1436.5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3.4</v>
      </c>
      <c r="AH22">
        <v>2</v>
      </c>
      <c r="AI22">
        <v>38116987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ROW(Source!A31)</f>
        <v>31</v>
      </c>
      <c r="B23">
        <v>38116988</v>
      </c>
      <c r="C23">
        <v>38116981</v>
      </c>
      <c r="D23">
        <v>36635926</v>
      </c>
      <c r="E23">
        <v>1</v>
      </c>
      <c r="F23">
        <v>1</v>
      </c>
      <c r="G23">
        <v>27</v>
      </c>
      <c r="H23">
        <v>3</v>
      </c>
      <c r="I23" t="s">
        <v>155</v>
      </c>
      <c r="J23" t="s">
        <v>156</v>
      </c>
      <c r="K23" t="s">
        <v>157</v>
      </c>
      <c r="L23">
        <v>1348</v>
      </c>
      <c r="N23">
        <v>1009</v>
      </c>
      <c r="O23" t="s">
        <v>117</v>
      </c>
      <c r="P23" t="s">
        <v>117</v>
      </c>
      <c r="Q23">
        <v>1000</v>
      </c>
      <c r="X23">
        <v>1.46</v>
      </c>
      <c r="Y23">
        <v>9548.1200000000008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1.46</v>
      </c>
      <c r="AH23">
        <v>2</v>
      </c>
      <c r="AI23">
        <v>38116988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ROW(Source!A31)</f>
        <v>31</v>
      </c>
      <c r="B24">
        <v>38116989</v>
      </c>
      <c r="C24">
        <v>38116981</v>
      </c>
      <c r="D24">
        <v>36635927</v>
      </c>
      <c r="E24">
        <v>1</v>
      </c>
      <c r="F24">
        <v>1</v>
      </c>
      <c r="G24">
        <v>27</v>
      </c>
      <c r="H24">
        <v>3</v>
      </c>
      <c r="I24" t="s">
        <v>158</v>
      </c>
      <c r="J24" t="s">
        <v>159</v>
      </c>
      <c r="K24" t="s">
        <v>160</v>
      </c>
      <c r="L24">
        <v>1327</v>
      </c>
      <c r="N24">
        <v>1005</v>
      </c>
      <c r="O24" t="s">
        <v>161</v>
      </c>
      <c r="P24" t="s">
        <v>161</v>
      </c>
      <c r="Q24">
        <v>1</v>
      </c>
      <c r="X24">
        <v>10</v>
      </c>
      <c r="Y24">
        <v>4659.1099999999997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10</v>
      </c>
      <c r="AH24">
        <v>2</v>
      </c>
      <c r="AI24">
        <v>38116989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ROW(Source!A31)</f>
        <v>31</v>
      </c>
      <c r="B25">
        <v>38116990</v>
      </c>
      <c r="C25">
        <v>38116981</v>
      </c>
      <c r="D25">
        <v>36634824</v>
      </c>
      <c r="E25">
        <v>1</v>
      </c>
      <c r="F25">
        <v>1</v>
      </c>
      <c r="G25">
        <v>27</v>
      </c>
      <c r="H25">
        <v>3</v>
      </c>
      <c r="I25" t="s">
        <v>162</v>
      </c>
      <c r="J25" t="s">
        <v>163</v>
      </c>
      <c r="K25" t="s">
        <v>164</v>
      </c>
      <c r="L25">
        <v>1348</v>
      </c>
      <c r="N25">
        <v>1009</v>
      </c>
      <c r="O25" t="s">
        <v>117</v>
      </c>
      <c r="P25" t="s">
        <v>117</v>
      </c>
      <c r="Q25">
        <v>1000</v>
      </c>
      <c r="X25">
        <v>1.3</v>
      </c>
      <c r="Y25">
        <v>4207.5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1.3</v>
      </c>
      <c r="AH25">
        <v>2</v>
      </c>
      <c r="AI25">
        <v>38116990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ROW(Source!A31)</f>
        <v>31</v>
      </c>
      <c r="B26">
        <v>38116991</v>
      </c>
      <c r="C26">
        <v>38116981</v>
      </c>
      <c r="D26">
        <v>36636621</v>
      </c>
      <c r="E26">
        <v>1</v>
      </c>
      <c r="F26">
        <v>1</v>
      </c>
      <c r="G26">
        <v>27</v>
      </c>
      <c r="H26">
        <v>3</v>
      </c>
      <c r="I26" t="s">
        <v>38</v>
      </c>
      <c r="J26" t="s">
        <v>41</v>
      </c>
      <c r="K26" t="s">
        <v>39</v>
      </c>
      <c r="L26">
        <v>1339</v>
      </c>
      <c r="N26">
        <v>1007</v>
      </c>
      <c r="O26" t="s">
        <v>40</v>
      </c>
      <c r="P26" t="s">
        <v>40</v>
      </c>
      <c r="Q26">
        <v>1</v>
      </c>
      <c r="X26">
        <v>1</v>
      </c>
      <c r="Y26">
        <v>35.25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1</v>
      </c>
      <c r="AH26">
        <v>2</v>
      </c>
      <c r="AI26">
        <v>38116991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ROW(Source!A31)</f>
        <v>31</v>
      </c>
      <c r="B27">
        <v>38116992</v>
      </c>
      <c r="C27">
        <v>38116981</v>
      </c>
      <c r="D27">
        <v>36637840</v>
      </c>
      <c r="E27">
        <v>1</v>
      </c>
      <c r="F27">
        <v>1</v>
      </c>
      <c r="G27">
        <v>27</v>
      </c>
      <c r="H27">
        <v>3</v>
      </c>
      <c r="I27" t="s">
        <v>165</v>
      </c>
      <c r="J27" t="s">
        <v>166</v>
      </c>
      <c r="K27" t="s">
        <v>167</v>
      </c>
      <c r="L27">
        <v>1348</v>
      </c>
      <c r="N27">
        <v>1009</v>
      </c>
      <c r="O27" t="s">
        <v>117</v>
      </c>
      <c r="P27" t="s">
        <v>117</v>
      </c>
      <c r="Q27">
        <v>1000</v>
      </c>
      <c r="X27">
        <v>0.03</v>
      </c>
      <c r="Y27">
        <v>36434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0.03</v>
      </c>
      <c r="AH27">
        <v>2</v>
      </c>
      <c r="AI27">
        <v>38116992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ROW(Source!A33)</f>
        <v>33</v>
      </c>
      <c r="B28">
        <v>38116940</v>
      </c>
      <c r="C28">
        <v>38116935</v>
      </c>
      <c r="D28">
        <v>36621550</v>
      </c>
      <c r="E28">
        <v>27</v>
      </c>
      <c r="F28">
        <v>1</v>
      </c>
      <c r="G28">
        <v>27</v>
      </c>
      <c r="H28">
        <v>1</v>
      </c>
      <c r="I28" t="s">
        <v>127</v>
      </c>
      <c r="J28" t="s">
        <v>3</v>
      </c>
      <c r="K28" t="s">
        <v>128</v>
      </c>
      <c r="L28">
        <v>1191</v>
      </c>
      <c r="N28">
        <v>1013</v>
      </c>
      <c r="O28" t="s">
        <v>129</v>
      </c>
      <c r="P28" t="s">
        <v>129</v>
      </c>
      <c r="Q28">
        <v>1</v>
      </c>
      <c r="X28">
        <v>155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 t="s">
        <v>3</v>
      </c>
      <c r="AG28">
        <v>155</v>
      </c>
      <c r="AH28">
        <v>2</v>
      </c>
      <c r="AI28">
        <v>38116936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ROW(Source!A33)</f>
        <v>33</v>
      </c>
      <c r="B29">
        <v>38116941</v>
      </c>
      <c r="C29">
        <v>38116935</v>
      </c>
      <c r="D29">
        <v>36634077</v>
      </c>
      <c r="E29">
        <v>1</v>
      </c>
      <c r="F29">
        <v>1</v>
      </c>
      <c r="G29">
        <v>27</v>
      </c>
      <c r="H29">
        <v>2</v>
      </c>
      <c r="I29" t="s">
        <v>168</v>
      </c>
      <c r="J29" t="s">
        <v>169</v>
      </c>
      <c r="K29" t="s">
        <v>170</v>
      </c>
      <c r="L29">
        <v>1368</v>
      </c>
      <c r="N29">
        <v>1011</v>
      </c>
      <c r="O29" t="s">
        <v>133</v>
      </c>
      <c r="P29" t="s">
        <v>133</v>
      </c>
      <c r="Q29">
        <v>1</v>
      </c>
      <c r="X29">
        <v>37.5</v>
      </c>
      <c r="Y29">
        <v>0</v>
      </c>
      <c r="Z29">
        <v>744.2</v>
      </c>
      <c r="AA29">
        <v>423.17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37.5</v>
      </c>
      <c r="AH29">
        <v>2</v>
      </c>
      <c r="AI29">
        <v>38116937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ROW(Source!A33)</f>
        <v>33</v>
      </c>
      <c r="B30">
        <v>38116942</v>
      </c>
      <c r="C30">
        <v>38116935</v>
      </c>
      <c r="D30">
        <v>36634592</v>
      </c>
      <c r="E30">
        <v>1</v>
      </c>
      <c r="F30">
        <v>1</v>
      </c>
      <c r="G30">
        <v>27</v>
      </c>
      <c r="H30">
        <v>2</v>
      </c>
      <c r="I30" t="s">
        <v>171</v>
      </c>
      <c r="J30" t="s">
        <v>172</v>
      </c>
      <c r="K30" t="s">
        <v>173</v>
      </c>
      <c r="L30">
        <v>1368</v>
      </c>
      <c r="N30">
        <v>1011</v>
      </c>
      <c r="O30" t="s">
        <v>133</v>
      </c>
      <c r="P30" t="s">
        <v>133</v>
      </c>
      <c r="Q30">
        <v>1</v>
      </c>
      <c r="X30">
        <v>75</v>
      </c>
      <c r="Y30">
        <v>0</v>
      </c>
      <c r="Z30">
        <v>6.02</v>
      </c>
      <c r="AA30">
        <v>0.02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75</v>
      </c>
      <c r="AH30">
        <v>2</v>
      </c>
      <c r="AI30">
        <v>38116938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ROW(Source!A33)</f>
        <v>33</v>
      </c>
      <c r="B31">
        <v>38116943</v>
      </c>
      <c r="C31">
        <v>38116935</v>
      </c>
      <c r="D31">
        <v>36633947</v>
      </c>
      <c r="E31">
        <v>1</v>
      </c>
      <c r="F31">
        <v>1</v>
      </c>
      <c r="G31">
        <v>27</v>
      </c>
      <c r="H31">
        <v>2</v>
      </c>
      <c r="I31" t="s">
        <v>174</v>
      </c>
      <c r="J31" t="s">
        <v>175</v>
      </c>
      <c r="K31" t="s">
        <v>176</v>
      </c>
      <c r="L31">
        <v>1368</v>
      </c>
      <c r="N31">
        <v>1011</v>
      </c>
      <c r="O31" t="s">
        <v>133</v>
      </c>
      <c r="P31" t="s">
        <v>133</v>
      </c>
      <c r="Q31">
        <v>1</v>
      </c>
      <c r="X31">
        <v>1.55</v>
      </c>
      <c r="Y31">
        <v>0</v>
      </c>
      <c r="Z31">
        <v>1412.71</v>
      </c>
      <c r="AA31">
        <v>641.32000000000005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1.55</v>
      </c>
      <c r="AH31">
        <v>2</v>
      </c>
      <c r="AI31">
        <v>38116939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ROW(Source!A34)</f>
        <v>34</v>
      </c>
      <c r="B32">
        <v>38116949</v>
      </c>
      <c r="C32">
        <v>38116944</v>
      </c>
      <c r="D32">
        <v>36621550</v>
      </c>
      <c r="E32">
        <v>27</v>
      </c>
      <c r="F32">
        <v>1</v>
      </c>
      <c r="G32">
        <v>27</v>
      </c>
      <c r="H32">
        <v>1</v>
      </c>
      <c r="I32" t="s">
        <v>127</v>
      </c>
      <c r="J32" t="s">
        <v>3</v>
      </c>
      <c r="K32" t="s">
        <v>128</v>
      </c>
      <c r="L32">
        <v>1191</v>
      </c>
      <c r="N32">
        <v>1013</v>
      </c>
      <c r="O32" t="s">
        <v>129</v>
      </c>
      <c r="P32" t="s">
        <v>129</v>
      </c>
      <c r="Q32">
        <v>1</v>
      </c>
      <c r="X32">
        <v>10.3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 t="s">
        <v>3</v>
      </c>
      <c r="AG32">
        <v>10.3</v>
      </c>
      <c r="AH32">
        <v>2</v>
      </c>
      <c r="AI32">
        <v>38116945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ROW(Source!A34)</f>
        <v>34</v>
      </c>
      <c r="B33">
        <v>38116950</v>
      </c>
      <c r="C33">
        <v>38116944</v>
      </c>
      <c r="D33">
        <v>36633908</v>
      </c>
      <c r="E33">
        <v>1</v>
      </c>
      <c r="F33">
        <v>1</v>
      </c>
      <c r="G33">
        <v>27</v>
      </c>
      <c r="H33">
        <v>2</v>
      </c>
      <c r="I33" t="s">
        <v>177</v>
      </c>
      <c r="J33" t="s">
        <v>178</v>
      </c>
      <c r="K33" t="s">
        <v>179</v>
      </c>
      <c r="L33">
        <v>1368</v>
      </c>
      <c r="N33">
        <v>1011</v>
      </c>
      <c r="O33" t="s">
        <v>133</v>
      </c>
      <c r="P33" t="s">
        <v>133</v>
      </c>
      <c r="Q33">
        <v>1</v>
      </c>
      <c r="X33">
        <v>0.89</v>
      </c>
      <c r="Y33">
        <v>0</v>
      </c>
      <c r="Z33">
        <v>1261.8699999999999</v>
      </c>
      <c r="AA33">
        <v>530.02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0.89</v>
      </c>
      <c r="AH33">
        <v>2</v>
      </c>
      <c r="AI33">
        <v>38116946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ROW(Source!A34)</f>
        <v>34</v>
      </c>
      <c r="B34">
        <v>38116951</v>
      </c>
      <c r="C34">
        <v>38116944</v>
      </c>
      <c r="D34">
        <v>36634714</v>
      </c>
      <c r="E34">
        <v>1</v>
      </c>
      <c r="F34">
        <v>1</v>
      </c>
      <c r="G34">
        <v>27</v>
      </c>
      <c r="H34">
        <v>3</v>
      </c>
      <c r="I34" t="s">
        <v>180</v>
      </c>
      <c r="J34" t="s">
        <v>181</v>
      </c>
      <c r="K34" t="s">
        <v>182</v>
      </c>
      <c r="L34">
        <v>1348</v>
      </c>
      <c r="N34">
        <v>1009</v>
      </c>
      <c r="O34" t="s">
        <v>117</v>
      </c>
      <c r="P34" t="s">
        <v>117</v>
      </c>
      <c r="Q34">
        <v>1000</v>
      </c>
      <c r="X34">
        <v>0.06</v>
      </c>
      <c r="Y34">
        <v>25888.1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0.06</v>
      </c>
      <c r="AH34">
        <v>2</v>
      </c>
      <c r="AI34">
        <v>38116947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ROW(Source!A34)</f>
        <v>34</v>
      </c>
      <c r="B35">
        <v>38116952</v>
      </c>
      <c r="C35">
        <v>38116944</v>
      </c>
      <c r="D35">
        <v>36637819</v>
      </c>
      <c r="E35">
        <v>1</v>
      </c>
      <c r="F35">
        <v>1</v>
      </c>
      <c r="G35">
        <v>27</v>
      </c>
      <c r="H35">
        <v>3</v>
      </c>
      <c r="I35" t="s">
        <v>183</v>
      </c>
      <c r="J35" t="s">
        <v>184</v>
      </c>
      <c r="K35" t="s">
        <v>185</v>
      </c>
      <c r="L35">
        <v>1348</v>
      </c>
      <c r="N35">
        <v>1009</v>
      </c>
      <c r="O35" t="s">
        <v>117</v>
      </c>
      <c r="P35" t="s">
        <v>117</v>
      </c>
      <c r="Q35">
        <v>1000</v>
      </c>
      <c r="X35">
        <v>7.14</v>
      </c>
      <c r="Y35">
        <v>2652.04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7.14</v>
      </c>
      <c r="AH35">
        <v>2</v>
      </c>
      <c r="AI35">
        <v>38116948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ROW(Source!A35)</f>
        <v>35</v>
      </c>
      <c r="B36">
        <v>38116958</v>
      </c>
      <c r="C36">
        <v>38116953</v>
      </c>
      <c r="D36">
        <v>36621550</v>
      </c>
      <c r="E36">
        <v>27</v>
      </c>
      <c r="F36">
        <v>1</v>
      </c>
      <c r="G36">
        <v>27</v>
      </c>
      <c r="H36">
        <v>1</v>
      </c>
      <c r="I36" t="s">
        <v>127</v>
      </c>
      <c r="J36" t="s">
        <v>3</v>
      </c>
      <c r="K36" t="s">
        <v>128</v>
      </c>
      <c r="L36">
        <v>1191</v>
      </c>
      <c r="N36">
        <v>1013</v>
      </c>
      <c r="O36" t="s">
        <v>129</v>
      </c>
      <c r="P36" t="s">
        <v>129</v>
      </c>
      <c r="Q36">
        <v>1</v>
      </c>
      <c r="X36">
        <v>10.3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3</v>
      </c>
      <c r="AG36">
        <v>10.3</v>
      </c>
      <c r="AH36">
        <v>2</v>
      </c>
      <c r="AI36">
        <v>38116954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ROW(Source!A35)</f>
        <v>35</v>
      </c>
      <c r="B37">
        <v>38116959</v>
      </c>
      <c r="C37">
        <v>38116953</v>
      </c>
      <c r="D37">
        <v>36633908</v>
      </c>
      <c r="E37">
        <v>1</v>
      </c>
      <c r="F37">
        <v>1</v>
      </c>
      <c r="G37">
        <v>27</v>
      </c>
      <c r="H37">
        <v>2</v>
      </c>
      <c r="I37" t="s">
        <v>177</v>
      </c>
      <c r="J37" t="s">
        <v>178</v>
      </c>
      <c r="K37" t="s">
        <v>179</v>
      </c>
      <c r="L37">
        <v>1368</v>
      </c>
      <c r="N37">
        <v>1011</v>
      </c>
      <c r="O37" t="s">
        <v>133</v>
      </c>
      <c r="P37" t="s">
        <v>133</v>
      </c>
      <c r="Q37">
        <v>1</v>
      </c>
      <c r="X37">
        <v>0.89</v>
      </c>
      <c r="Y37">
        <v>0</v>
      </c>
      <c r="Z37">
        <v>1261.8699999999999</v>
      </c>
      <c r="AA37">
        <v>530.02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0.89</v>
      </c>
      <c r="AH37">
        <v>2</v>
      </c>
      <c r="AI37">
        <v>38116955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ROW(Source!A35)</f>
        <v>35</v>
      </c>
      <c r="B38">
        <v>38116960</v>
      </c>
      <c r="C38">
        <v>38116953</v>
      </c>
      <c r="D38">
        <v>36634714</v>
      </c>
      <c r="E38">
        <v>1</v>
      </c>
      <c r="F38">
        <v>1</v>
      </c>
      <c r="G38">
        <v>27</v>
      </c>
      <c r="H38">
        <v>3</v>
      </c>
      <c r="I38" t="s">
        <v>180</v>
      </c>
      <c r="J38" t="s">
        <v>181</v>
      </c>
      <c r="K38" t="s">
        <v>182</v>
      </c>
      <c r="L38">
        <v>1348</v>
      </c>
      <c r="N38">
        <v>1009</v>
      </c>
      <c r="O38" t="s">
        <v>117</v>
      </c>
      <c r="P38" t="s">
        <v>117</v>
      </c>
      <c r="Q38">
        <v>1000</v>
      </c>
      <c r="X38">
        <v>0.06</v>
      </c>
      <c r="Y38">
        <v>25888.1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0.06</v>
      </c>
      <c r="AH38">
        <v>2</v>
      </c>
      <c r="AI38">
        <v>38116956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ROW(Source!A35)</f>
        <v>35</v>
      </c>
      <c r="B39">
        <v>38116961</v>
      </c>
      <c r="C39">
        <v>38116953</v>
      </c>
      <c r="D39">
        <v>36637793</v>
      </c>
      <c r="E39">
        <v>1</v>
      </c>
      <c r="F39">
        <v>1</v>
      </c>
      <c r="G39">
        <v>27</v>
      </c>
      <c r="H39">
        <v>3</v>
      </c>
      <c r="I39" t="s">
        <v>186</v>
      </c>
      <c r="J39" t="s">
        <v>187</v>
      </c>
      <c r="K39" t="s">
        <v>188</v>
      </c>
      <c r="L39">
        <v>1348</v>
      </c>
      <c r="N39">
        <v>1009</v>
      </c>
      <c r="O39" t="s">
        <v>117</v>
      </c>
      <c r="P39" t="s">
        <v>117</v>
      </c>
      <c r="Q39">
        <v>1000</v>
      </c>
      <c r="X39">
        <v>10.7</v>
      </c>
      <c r="Y39">
        <v>2649.07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10.7</v>
      </c>
      <c r="AH39">
        <v>2</v>
      </c>
      <c r="AI39">
        <v>38116957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ROW(Source!A71)</f>
        <v>71</v>
      </c>
      <c r="B40">
        <v>38116911</v>
      </c>
      <c r="C40">
        <v>38116910</v>
      </c>
      <c r="D40">
        <v>36621550</v>
      </c>
      <c r="E40">
        <v>27</v>
      </c>
      <c r="F40">
        <v>1</v>
      </c>
      <c r="G40">
        <v>27</v>
      </c>
      <c r="H40">
        <v>1</v>
      </c>
      <c r="I40" t="s">
        <v>127</v>
      </c>
      <c r="J40" t="s">
        <v>3</v>
      </c>
      <c r="K40" t="s">
        <v>128</v>
      </c>
      <c r="L40">
        <v>1191</v>
      </c>
      <c r="N40">
        <v>1013</v>
      </c>
      <c r="O40" t="s">
        <v>129</v>
      </c>
      <c r="P40" t="s">
        <v>129</v>
      </c>
      <c r="Q40">
        <v>1</v>
      </c>
      <c r="X40">
        <v>155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 t="s">
        <v>3</v>
      </c>
      <c r="AG40">
        <v>155</v>
      </c>
      <c r="AH40">
        <v>2</v>
      </c>
      <c r="AI40">
        <v>38116911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ROW(Source!A71)</f>
        <v>71</v>
      </c>
      <c r="B41">
        <v>38116912</v>
      </c>
      <c r="C41">
        <v>38116910</v>
      </c>
      <c r="D41">
        <v>36634077</v>
      </c>
      <c r="E41">
        <v>1</v>
      </c>
      <c r="F41">
        <v>1</v>
      </c>
      <c r="G41">
        <v>27</v>
      </c>
      <c r="H41">
        <v>2</v>
      </c>
      <c r="I41" t="s">
        <v>168</v>
      </c>
      <c r="J41" t="s">
        <v>169</v>
      </c>
      <c r="K41" t="s">
        <v>170</v>
      </c>
      <c r="L41">
        <v>1368</v>
      </c>
      <c r="N41">
        <v>1011</v>
      </c>
      <c r="O41" t="s">
        <v>133</v>
      </c>
      <c r="P41" t="s">
        <v>133</v>
      </c>
      <c r="Q41">
        <v>1</v>
      </c>
      <c r="X41">
        <v>37.5</v>
      </c>
      <c r="Y41">
        <v>0</v>
      </c>
      <c r="Z41">
        <v>744.2</v>
      </c>
      <c r="AA41">
        <v>423.17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37.5</v>
      </c>
      <c r="AH41">
        <v>2</v>
      </c>
      <c r="AI41">
        <v>38116912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ROW(Source!A71)</f>
        <v>71</v>
      </c>
      <c r="B42">
        <v>38116913</v>
      </c>
      <c r="C42">
        <v>38116910</v>
      </c>
      <c r="D42">
        <v>36634592</v>
      </c>
      <c r="E42">
        <v>1</v>
      </c>
      <c r="F42">
        <v>1</v>
      </c>
      <c r="G42">
        <v>27</v>
      </c>
      <c r="H42">
        <v>2</v>
      </c>
      <c r="I42" t="s">
        <v>171</v>
      </c>
      <c r="J42" t="s">
        <v>172</v>
      </c>
      <c r="K42" t="s">
        <v>173</v>
      </c>
      <c r="L42">
        <v>1368</v>
      </c>
      <c r="N42">
        <v>1011</v>
      </c>
      <c r="O42" t="s">
        <v>133</v>
      </c>
      <c r="P42" t="s">
        <v>133</v>
      </c>
      <c r="Q42">
        <v>1</v>
      </c>
      <c r="X42">
        <v>75</v>
      </c>
      <c r="Y42">
        <v>0</v>
      </c>
      <c r="Z42">
        <v>6.02</v>
      </c>
      <c r="AA42">
        <v>0.02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75</v>
      </c>
      <c r="AH42">
        <v>2</v>
      </c>
      <c r="AI42">
        <v>38116913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ROW(Source!A71)</f>
        <v>71</v>
      </c>
      <c r="B43">
        <v>38116914</v>
      </c>
      <c r="C43">
        <v>38116910</v>
      </c>
      <c r="D43">
        <v>36633947</v>
      </c>
      <c r="E43">
        <v>1</v>
      </c>
      <c r="F43">
        <v>1</v>
      </c>
      <c r="G43">
        <v>27</v>
      </c>
      <c r="H43">
        <v>2</v>
      </c>
      <c r="I43" t="s">
        <v>174</v>
      </c>
      <c r="J43" t="s">
        <v>175</v>
      </c>
      <c r="K43" t="s">
        <v>176</v>
      </c>
      <c r="L43">
        <v>1368</v>
      </c>
      <c r="N43">
        <v>1011</v>
      </c>
      <c r="O43" t="s">
        <v>133</v>
      </c>
      <c r="P43" t="s">
        <v>133</v>
      </c>
      <c r="Q43">
        <v>1</v>
      </c>
      <c r="X43">
        <v>1.55</v>
      </c>
      <c r="Y43">
        <v>0</v>
      </c>
      <c r="Z43">
        <v>1412.71</v>
      </c>
      <c r="AA43">
        <v>641.32000000000005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1.55</v>
      </c>
      <c r="AH43">
        <v>2</v>
      </c>
      <c r="AI43">
        <v>38116914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ROW(Source!A72)</f>
        <v>72</v>
      </c>
      <c r="B44">
        <v>38116926</v>
      </c>
      <c r="C44">
        <v>38116925</v>
      </c>
      <c r="D44">
        <v>36621550</v>
      </c>
      <c r="E44">
        <v>27</v>
      </c>
      <c r="F44">
        <v>1</v>
      </c>
      <c r="G44">
        <v>27</v>
      </c>
      <c r="H44">
        <v>1</v>
      </c>
      <c r="I44" t="s">
        <v>127</v>
      </c>
      <c r="J44" t="s">
        <v>3</v>
      </c>
      <c r="K44" t="s">
        <v>128</v>
      </c>
      <c r="L44">
        <v>1191</v>
      </c>
      <c r="N44">
        <v>1013</v>
      </c>
      <c r="O44" t="s">
        <v>129</v>
      </c>
      <c r="P44" t="s">
        <v>129</v>
      </c>
      <c r="Q44">
        <v>1</v>
      </c>
      <c r="X44">
        <v>10.3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3</v>
      </c>
      <c r="AG44">
        <v>10.3</v>
      </c>
      <c r="AH44">
        <v>2</v>
      </c>
      <c r="AI44">
        <v>38116926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ROW(Source!A72)</f>
        <v>72</v>
      </c>
      <c r="B45">
        <v>38116927</v>
      </c>
      <c r="C45">
        <v>38116925</v>
      </c>
      <c r="D45">
        <v>36633908</v>
      </c>
      <c r="E45">
        <v>1</v>
      </c>
      <c r="F45">
        <v>1</v>
      </c>
      <c r="G45">
        <v>27</v>
      </c>
      <c r="H45">
        <v>2</v>
      </c>
      <c r="I45" t="s">
        <v>177</v>
      </c>
      <c r="J45" t="s">
        <v>178</v>
      </c>
      <c r="K45" t="s">
        <v>179</v>
      </c>
      <c r="L45">
        <v>1368</v>
      </c>
      <c r="N45">
        <v>1011</v>
      </c>
      <c r="O45" t="s">
        <v>133</v>
      </c>
      <c r="P45" t="s">
        <v>133</v>
      </c>
      <c r="Q45">
        <v>1</v>
      </c>
      <c r="X45">
        <v>0.89</v>
      </c>
      <c r="Y45">
        <v>0</v>
      </c>
      <c r="Z45">
        <v>1261.8699999999999</v>
      </c>
      <c r="AA45">
        <v>530.02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0.89</v>
      </c>
      <c r="AH45">
        <v>2</v>
      </c>
      <c r="AI45">
        <v>38116927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ROW(Source!A72)</f>
        <v>72</v>
      </c>
      <c r="B46">
        <v>38116928</v>
      </c>
      <c r="C46">
        <v>38116925</v>
      </c>
      <c r="D46">
        <v>36634714</v>
      </c>
      <c r="E46">
        <v>1</v>
      </c>
      <c r="F46">
        <v>1</v>
      </c>
      <c r="G46">
        <v>27</v>
      </c>
      <c r="H46">
        <v>3</v>
      </c>
      <c r="I46" t="s">
        <v>180</v>
      </c>
      <c r="J46" t="s">
        <v>181</v>
      </c>
      <c r="K46" t="s">
        <v>182</v>
      </c>
      <c r="L46">
        <v>1348</v>
      </c>
      <c r="N46">
        <v>1009</v>
      </c>
      <c r="O46" t="s">
        <v>117</v>
      </c>
      <c r="P46" t="s">
        <v>117</v>
      </c>
      <c r="Q46">
        <v>1000</v>
      </c>
      <c r="X46">
        <v>0.06</v>
      </c>
      <c r="Y46">
        <v>25888.1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0.06</v>
      </c>
      <c r="AH46">
        <v>2</v>
      </c>
      <c r="AI46">
        <v>38116928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ROW(Source!A72)</f>
        <v>72</v>
      </c>
      <c r="B47">
        <v>38116929</v>
      </c>
      <c r="C47">
        <v>38116925</v>
      </c>
      <c r="D47">
        <v>36637819</v>
      </c>
      <c r="E47">
        <v>1</v>
      </c>
      <c r="F47">
        <v>1</v>
      </c>
      <c r="G47">
        <v>27</v>
      </c>
      <c r="H47">
        <v>3</v>
      </c>
      <c r="I47" t="s">
        <v>183</v>
      </c>
      <c r="J47" t="s">
        <v>184</v>
      </c>
      <c r="K47" t="s">
        <v>185</v>
      </c>
      <c r="L47">
        <v>1348</v>
      </c>
      <c r="N47">
        <v>1009</v>
      </c>
      <c r="O47" t="s">
        <v>117</v>
      </c>
      <c r="P47" t="s">
        <v>117</v>
      </c>
      <c r="Q47">
        <v>1000</v>
      </c>
      <c r="X47">
        <v>7.14</v>
      </c>
      <c r="Y47">
        <v>2652.04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7.14</v>
      </c>
      <c r="AH47">
        <v>2</v>
      </c>
      <c r="AI47">
        <v>38116929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ROW(Source!A73)</f>
        <v>73</v>
      </c>
      <c r="B48">
        <v>38116931</v>
      </c>
      <c r="C48">
        <v>38116930</v>
      </c>
      <c r="D48">
        <v>36621550</v>
      </c>
      <c r="E48">
        <v>27</v>
      </c>
      <c r="F48">
        <v>1</v>
      </c>
      <c r="G48">
        <v>27</v>
      </c>
      <c r="H48">
        <v>1</v>
      </c>
      <c r="I48" t="s">
        <v>127</v>
      </c>
      <c r="J48" t="s">
        <v>3</v>
      </c>
      <c r="K48" t="s">
        <v>128</v>
      </c>
      <c r="L48">
        <v>1191</v>
      </c>
      <c r="N48">
        <v>1013</v>
      </c>
      <c r="O48" t="s">
        <v>129</v>
      </c>
      <c r="P48" t="s">
        <v>129</v>
      </c>
      <c r="Q48">
        <v>1</v>
      </c>
      <c r="X48">
        <v>10.3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 t="s">
        <v>3</v>
      </c>
      <c r="AG48">
        <v>10.3</v>
      </c>
      <c r="AH48">
        <v>2</v>
      </c>
      <c r="AI48">
        <v>38116931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ROW(Source!A73)</f>
        <v>73</v>
      </c>
      <c r="B49">
        <v>38116932</v>
      </c>
      <c r="C49">
        <v>38116930</v>
      </c>
      <c r="D49">
        <v>36633908</v>
      </c>
      <c r="E49">
        <v>1</v>
      </c>
      <c r="F49">
        <v>1</v>
      </c>
      <c r="G49">
        <v>27</v>
      </c>
      <c r="H49">
        <v>2</v>
      </c>
      <c r="I49" t="s">
        <v>177</v>
      </c>
      <c r="J49" t="s">
        <v>178</v>
      </c>
      <c r="K49" t="s">
        <v>179</v>
      </c>
      <c r="L49">
        <v>1368</v>
      </c>
      <c r="N49">
        <v>1011</v>
      </c>
      <c r="O49" t="s">
        <v>133</v>
      </c>
      <c r="P49" t="s">
        <v>133</v>
      </c>
      <c r="Q49">
        <v>1</v>
      </c>
      <c r="X49">
        <v>0.89</v>
      </c>
      <c r="Y49">
        <v>0</v>
      </c>
      <c r="Z49">
        <v>1261.8699999999999</v>
      </c>
      <c r="AA49">
        <v>530.02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0.89</v>
      </c>
      <c r="AH49">
        <v>2</v>
      </c>
      <c r="AI49">
        <v>38116932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ROW(Source!A73)</f>
        <v>73</v>
      </c>
      <c r="B50">
        <v>38116933</v>
      </c>
      <c r="C50">
        <v>38116930</v>
      </c>
      <c r="D50">
        <v>36634714</v>
      </c>
      <c r="E50">
        <v>1</v>
      </c>
      <c r="F50">
        <v>1</v>
      </c>
      <c r="G50">
        <v>27</v>
      </c>
      <c r="H50">
        <v>3</v>
      </c>
      <c r="I50" t="s">
        <v>180</v>
      </c>
      <c r="J50" t="s">
        <v>181</v>
      </c>
      <c r="K50" t="s">
        <v>182</v>
      </c>
      <c r="L50">
        <v>1348</v>
      </c>
      <c r="N50">
        <v>1009</v>
      </c>
      <c r="O50" t="s">
        <v>117</v>
      </c>
      <c r="P50" t="s">
        <v>117</v>
      </c>
      <c r="Q50">
        <v>1000</v>
      </c>
      <c r="X50">
        <v>0.06</v>
      </c>
      <c r="Y50">
        <v>25888.1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0.06</v>
      </c>
      <c r="AH50">
        <v>2</v>
      </c>
      <c r="AI50">
        <v>38116933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ROW(Source!A73)</f>
        <v>73</v>
      </c>
      <c r="B51">
        <v>38116934</v>
      </c>
      <c r="C51">
        <v>38116930</v>
      </c>
      <c r="D51">
        <v>36637793</v>
      </c>
      <c r="E51">
        <v>1</v>
      </c>
      <c r="F51">
        <v>1</v>
      </c>
      <c r="G51">
        <v>27</v>
      </c>
      <c r="H51">
        <v>3</v>
      </c>
      <c r="I51" t="s">
        <v>186</v>
      </c>
      <c r="J51" t="s">
        <v>187</v>
      </c>
      <c r="K51" t="s">
        <v>188</v>
      </c>
      <c r="L51">
        <v>1348</v>
      </c>
      <c r="N51">
        <v>1009</v>
      </c>
      <c r="O51" t="s">
        <v>117</v>
      </c>
      <c r="P51" t="s">
        <v>117</v>
      </c>
      <c r="Q51">
        <v>1000</v>
      </c>
      <c r="X51">
        <v>10.7</v>
      </c>
      <c r="Y51">
        <v>2649.07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10.7</v>
      </c>
      <c r="AH51">
        <v>2</v>
      </c>
      <c r="AI51">
        <v>38116934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ROW(Source!A109)</f>
        <v>109</v>
      </c>
      <c r="B52">
        <v>38117081</v>
      </c>
      <c r="C52">
        <v>38117080</v>
      </c>
      <c r="D52">
        <v>36634520</v>
      </c>
      <c r="E52">
        <v>1</v>
      </c>
      <c r="F52">
        <v>1</v>
      </c>
      <c r="G52">
        <v>27</v>
      </c>
      <c r="H52">
        <v>2</v>
      </c>
      <c r="I52" t="s">
        <v>189</v>
      </c>
      <c r="J52" t="s">
        <v>190</v>
      </c>
      <c r="K52" t="s">
        <v>191</v>
      </c>
      <c r="L52">
        <v>1368</v>
      </c>
      <c r="N52">
        <v>1011</v>
      </c>
      <c r="O52" t="s">
        <v>133</v>
      </c>
      <c r="P52" t="s">
        <v>133</v>
      </c>
      <c r="Q52">
        <v>1</v>
      </c>
      <c r="X52">
        <v>3.6999999999999998E-2</v>
      </c>
      <c r="Y52">
        <v>0</v>
      </c>
      <c r="Z52">
        <v>1014.12</v>
      </c>
      <c r="AA52">
        <v>317.13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3.6999999999999998E-2</v>
      </c>
      <c r="AH52">
        <v>2</v>
      </c>
      <c r="AI52">
        <v>38117081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ROW(Source!A110)</f>
        <v>110</v>
      </c>
      <c r="B53">
        <v>38117083</v>
      </c>
      <c r="C53">
        <v>38117082</v>
      </c>
      <c r="D53">
        <v>36634520</v>
      </c>
      <c r="E53">
        <v>1</v>
      </c>
      <c r="F53">
        <v>1</v>
      </c>
      <c r="G53">
        <v>27</v>
      </c>
      <c r="H53">
        <v>2</v>
      </c>
      <c r="I53" t="s">
        <v>189</v>
      </c>
      <c r="J53" t="s">
        <v>190</v>
      </c>
      <c r="K53" t="s">
        <v>191</v>
      </c>
      <c r="L53">
        <v>1368</v>
      </c>
      <c r="N53">
        <v>1011</v>
      </c>
      <c r="O53" t="s">
        <v>133</v>
      </c>
      <c r="P53" t="s">
        <v>133</v>
      </c>
      <c r="Q53">
        <v>1</v>
      </c>
      <c r="X53">
        <v>0.01</v>
      </c>
      <c r="Y53">
        <v>0</v>
      </c>
      <c r="Z53">
        <v>1014.12</v>
      </c>
      <c r="AA53">
        <v>317.13</v>
      </c>
      <c r="AB53">
        <v>0</v>
      </c>
      <c r="AC53">
        <v>0</v>
      </c>
      <c r="AD53">
        <v>1</v>
      </c>
      <c r="AE53">
        <v>0</v>
      </c>
      <c r="AF53" t="s">
        <v>124</v>
      </c>
      <c r="AG53">
        <v>0.51</v>
      </c>
      <c r="AH53">
        <v>2</v>
      </c>
      <c r="AI53">
        <v>38117083</v>
      </c>
      <c r="AJ53">
        <v>53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Смета СН-2012 по гл. 1-5</vt:lpstr>
      <vt:lpstr>Дефектная ведомость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'Ведомость объемов работ'!Область_печати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ДДД</cp:lastModifiedBy>
  <cp:lastPrinted>2021-04-19T14:47:13Z</cp:lastPrinted>
  <dcterms:created xsi:type="dcterms:W3CDTF">2021-04-06T05:28:04Z</dcterms:created>
  <dcterms:modified xsi:type="dcterms:W3CDTF">2021-04-19T14:47:37Z</dcterms:modified>
</cp:coreProperties>
</file>