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bov.IZM\Desktop\Закупки 21\Резиновое покрытие\Смета деф\"/>
    </mc:Choice>
  </mc:AlternateContent>
  <xr:revisionPtr revIDLastSave="0" documentId="13_ncr:1_{2F8BA0C9-FAAD-4941-BB23-4667E2639F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мета СН-2012 по гл. 1-5" sheetId="5" r:id="rId1"/>
    <sheet name="Source" sheetId="1" r:id="rId2"/>
    <sheet name="SourceObSm" sheetId="2" r:id="rId3"/>
    <sheet name="SmtRes" sheetId="3" r:id="rId4"/>
    <sheet name="EtalonRes" sheetId="4" r:id="rId5"/>
  </sheets>
  <externalReferences>
    <externalReference r:id="rId6"/>
    <externalReference r:id="rId7"/>
  </externalReferences>
  <definedNames>
    <definedName name="_xlnm.Print_Titles" localSheetId="0">'Смета СН-2012 по гл. 1-5'!$89:$89</definedName>
    <definedName name="_xlnm.Print_Area" localSheetId="0">'Смета СН-2012 по гл. 1-5'!$A$1:$K$304</definedName>
  </definedNames>
  <calcPr calcId="181029"/>
</workbook>
</file>

<file path=xl/calcChain.xml><?xml version="1.0" encoding="utf-8"?>
<calcChain xmlns="http://schemas.openxmlformats.org/spreadsheetml/2006/main">
  <c r="H298" i="5" l="1"/>
  <c r="H295" i="5"/>
  <c r="A13" i="5"/>
  <c r="L135" i="1" l="1"/>
  <c r="J135" i="1"/>
  <c r="A288" i="5"/>
  <c r="C286" i="5"/>
  <c r="C285" i="5"/>
  <c r="C281" i="5"/>
  <c r="C280" i="5"/>
  <c r="A278" i="5"/>
  <c r="I275" i="5"/>
  <c r="H275" i="5"/>
  <c r="G275" i="5"/>
  <c r="F275" i="5"/>
  <c r="I274" i="5"/>
  <c r="H274" i="5"/>
  <c r="G274" i="5"/>
  <c r="F274" i="5"/>
  <c r="V273" i="5"/>
  <c r="U273" i="5"/>
  <c r="S273" i="5"/>
  <c r="Q273" i="5"/>
  <c r="E273" i="5"/>
  <c r="D273" i="5"/>
  <c r="C273" i="5"/>
  <c r="B273" i="5"/>
  <c r="A273" i="5"/>
  <c r="I271" i="5"/>
  <c r="H271" i="5"/>
  <c r="G271" i="5"/>
  <c r="F271" i="5"/>
  <c r="I270" i="5"/>
  <c r="H270" i="5"/>
  <c r="G270" i="5"/>
  <c r="F270" i="5"/>
  <c r="D269" i="5"/>
  <c r="C269" i="5"/>
  <c r="B269" i="5"/>
  <c r="A269" i="5"/>
  <c r="I267" i="5"/>
  <c r="H267" i="5"/>
  <c r="G267" i="5"/>
  <c r="F267" i="5"/>
  <c r="I266" i="5"/>
  <c r="H266" i="5"/>
  <c r="G266" i="5"/>
  <c r="F266" i="5"/>
  <c r="D265" i="5"/>
  <c r="C265" i="5"/>
  <c r="B265" i="5"/>
  <c r="A265" i="5"/>
  <c r="H263" i="5"/>
  <c r="G263" i="5"/>
  <c r="E263" i="5"/>
  <c r="E262" i="5"/>
  <c r="E261" i="5"/>
  <c r="I260" i="5"/>
  <c r="H260" i="5"/>
  <c r="G260" i="5"/>
  <c r="F260" i="5"/>
  <c r="D259" i="5"/>
  <c r="C259" i="5"/>
  <c r="B259" i="5"/>
  <c r="A259" i="5"/>
  <c r="E257" i="5"/>
  <c r="I256" i="5"/>
  <c r="H256" i="5"/>
  <c r="G256" i="5"/>
  <c r="F256" i="5"/>
  <c r="I255" i="5"/>
  <c r="H255" i="5"/>
  <c r="G255" i="5"/>
  <c r="F255" i="5"/>
  <c r="D254" i="5"/>
  <c r="C254" i="5"/>
  <c r="B254" i="5"/>
  <c r="A254" i="5"/>
  <c r="K252" i="5"/>
  <c r="H252" i="5"/>
  <c r="G252" i="5"/>
  <c r="E252" i="5"/>
  <c r="E251" i="5"/>
  <c r="E250" i="5"/>
  <c r="E249" i="5"/>
  <c r="J248" i="5"/>
  <c r="I248" i="5"/>
  <c r="H248" i="5"/>
  <c r="F248" i="5"/>
  <c r="V248" i="5"/>
  <c r="T248" i="5"/>
  <c r="R248" i="5"/>
  <c r="U248" i="5"/>
  <c r="S248" i="5"/>
  <c r="Q248" i="5"/>
  <c r="E248" i="5"/>
  <c r="D248" i="5"/>
  <c r="C248" i="5"/>
  <c r="B248" i="5"/>
  <c r="A248" i="5"/>
  <c r="J247" i="5"/>
  <c r="I247" i="5"/>
  <c r="H247" i="5"/>
  <c r="F247" i="5"/>
  <c r="V247" i="5"/>
  <c r="T247" i="5"/>
  <c r="R247" i="5"/>
  <c r="U247" i="5"/>
  <c r="S247" i="5"/>
  <c r="Q247" i="5"/>
  <c r="E247" i="5"/>
  <c r="D247" i="5"/>
  <c r="C247" i="5"/>
  <c r="B247" i="5"/>
  <c r="A247" i="5"/>
  <c r="J246" i="5"/>
  <c r="I246" i="5"/>
  <c r="H246" i="5"/>
  <c r="G246" i="5"/>
  <c r="F246" i="5"/>
  <c r="J245" i="5"/>
  <c r="I245" i="5"/>
  <c r="H245" i="5"/>
  <c r="G245" i="5"/>
  <c r="F245" i="5"/>
  <c r="J244" i="5"/>
  <c r="I244" i="5"/>
  <c r="H244" i="5"/>
  <c r="G244" i="5"/>
  <c r="F244" i="5"/>
  <c r="J243" i="5"/>
  <c r="I243" i="5"/>
  <c r="H243" i="5"/>
  <c r="G243" i="5"/>
  <c r="F243" i="5"/>
  <c r="V242" i="5"/>
  <c r="J251" i="5" s="1"/>
  <c r="T242" i="5"/>
  <c r="R242" i="5"/>
  <c r="U242" i="5"/>
  <c r="S242" i="5"/>
  <c r="Q242" i="5"/>
  <c r="E242" i="5"/>
  <c r="D242" i="5"/>
  <c r="C242" i="5"/>
  <c r="B242" i="5"/>
  <c r="A242" i="5"/>
  <c r="K240" i="5"/>
  <c r="H240" i="5"/>
  <c r="G240" i="5"/>
  <c r="E240" i="5"/>
  <c r="E239" i="5"/>
  <c r="E238" i="5"/>
  <c r="E237" i="5"/>
  <c r="J236" i="5"/>
  <c r="I236" i="5"/>
  <c r="H236" i="5"/>
  <c r="F236" i="5"/>
  <c r="V236" i="5"/>
  <c r="T236" i="5"/>
  <c r="R236" i="5"/>
  <c r="U236" i="5"/>
  <c r="S236" i="5"/>
  <c r="Q236" i="5"/>
  <c r="E236" i="5"/>
  <c r="D236" i="5"/>
  <c r="C236" i="5"/>
  <c r="B236" i="5"/>
  <c r="A236" i="5"/>
  <c r="J235" i="5"/>
  <c r="I235" i="5"/>
  <c r="H235" i="5"/>
  <c r="G235" i="5"/>
  <c r="F235" i="5"/>
  <c r="J234" i="5"/>
  <c r="I234" i="5"/>
  <c r="H234" i="5"/>
  <c r="G234" i="5"/>
  <c r="F234" i="5"/>
  <c r="J233" i="5"/>
  <c r="I233" i="5"/>
  <c r="H233" i="5"/>
  <c r="G233" i="5"/>
  <c r="F233" i="5"/>
  <c r="J232" i="5"/>
  <c r="I232" i="5"/>
  <c r="H232" i="5"/>
  <c r="G232" i="5"/>
  <c r="F232" i="5"/>
  <c r="V231" i="5"/>
  <c r="T231" i="5"/>
  <c r="R231" i="5"/>
  <c r="U231" i="5"/>
  <c r="S231" i="5"/>
  <c r="Q231" i="5"/>
  <c r="E231" i="5"/>
  <c r="D231" i="5"/>
  <c r="C231" i="5"/>
  <c r="B231" i="5"/>
  <c r="A231" i="5"/>
  <c r="K229" i="5"/>
  <c r="H229" i="5"/>
  <c r="G229" i="5"/>
  <c r="E229" i="5"/>
  <c r="E228" i="5"/>
  <c r="E227" i="5"/>
  <c r="E226" i="5"/>
  <c r="J225" i="5"/>
  <c r="I225" i="5"/>
  <c r="H225" i="5"/>
  <c r="G225" i="5"/>
  <c r="F225" i="5"/>
  <c r="J224" i="5"/>
  <c r="I224" i="5"/>
  <c r="H224" i="5"/>
  <c r="G224" i="5"/>
  <c r="F224" i="5"/>
  <c r="J223" i="5"/>
  <c r="I223" i="5"/>
  <c r="H223" i="5"/>
  <c r="G223" i="5"/>
  <c r="F223" i="5"/>
  <c r="J222" i="5"/>
  <c r="I222" i="5"/>
  <c r="H222" i="5"/>
  <c r="G222" i="5"/>
  <c r="F222" i="5"/>
  <c r="V221" i="5"/>
  <c r="J228" i="5" s="1"/>
  <c r="T221" i="5"/>
  <c r="J227" i="5" s="1"/>
  <c r="R221" i="5"/>
  <c r="J226" i="5" s="1"/>
  <c r="U221" i="5"/>
  <c r="S221" i="5"/>
  <c r="Q221" i="5"/>
  <c r="E221" i="5"/>
  <c r="D221" i="5"/>
  <c r="C221" i="5"/>
  <c r="B221" i="5"/>
  <c r="A221" i="5"/>
  <c r="K219" i="5"/>
  <c r="H219" i="5"/>
  <c r="G219" i="5"/>
  <c r="E219" i="5"/>
  <c r="E218" i="5"/>
  <c r="E217" i="5"/>
  <c r="E216" i="5"/>
  <c r="J215" i="5"/>
  <c r="I215" i="5"/>
  <c r="H215" i="5"/>
  <c r="G215" i="5"/>
  <c r="F215" i="5"/>
  <c r="J214" i="5"/>
  <c r="I214" i="5"/>
  <c r="H214" i="5"/>
  <c r="G214" i="5"/>
  <c r="F214" i="5"/>
  <c r="J213" i="5"/>
  <c r="I213" i="5"/>
  <c r="H213" i="5"/>
  <c r="G213" i="5"/>
  <c r="F213" i="5"/>
  <c r="V212" i="5"/>
  <c r="J218" i="5" s="1"/>
  <c r="T212" i="5"/>
  <c r="J217" i="5" s="1"/>
  <c r="R212" i="5"/>
  <c r="J216" i="5" s="1"/>
  <c r="U212" i="5"/>
  <c r="S212" i="5"/>
  <c r="Q212" i="5"/>
  <c r="E212" i="5"/>
  <c r="D212" i="5"/>
  <c r="C212" i="5"/>
  <c r="B212" i="5"/>
  <c r="A212" i="5"/>
  <c r="A211" i="5"/>
  <c r="I209" i="5"/>
  <c r="C209" i="5"/>
  <c r="I208" i="5"/>
  <c r="C208" i="5"/>
  <c r="A206" i="5"/>
  <c r="J203" i="5"/>
  <c r="I203" i="5"/>
  <c r="H203" i="5"/>
  <c r="G203" i="5"/>
  <c r="F203" i="5"/>
  <c r="J202" i="5"/>
  <c r="I204" i="5" s="1"/>
  <c r="K204" i="5" s="1"/>
  <c r="I202" i="5"/>
  <c r="H202" i="5"/>
  <c r="G202" i="5"/>
  <c r="F202" i="5"/>
  <c r="V201" i="5"/>
  <c r="T201" i="5"/>
  <c r="R201" i="5"/>
  <c r="U201" i="5"/>
  <c r="S201" i="5"/>
  <c r="Q201" i="5"/>
  <c r="E201" i="5"/>
  <c r="D201" i="5"/>
  <c r="C201" i="5"/>
  <c r="B201" i="5"/>
  <c r="A201" i="5"/>
  <c r="J199" i="5"/>
  <c r="I199" i="5"/>
  <c r="H199" i="5"/>
  <c r="G199" i="5"/>
  <c r="F199" i="5"/>
  <c r="J198" i="5"/>
  <c r="I200" i="5" s="1"/>
  <c r="K200" i="5" s="1"/>
  <c r="I198" i="5"/>
  <c r="H198" i="5"/>
  <c r="G198" i="5"/>
  <c r="F198" i="5"/>
  <c r="V197" i="5"/>
  <c r="T197" i="5"/>
  <c r="R197" i="5"/>
  <c r="U197" i="5"/>
  <c r="S197" i="5"/>
  <c r="Q197" i="5"/>
  <c r="E197" i="5"/>
  <c r="D197" i="5"/>
  <c r="C197" i="5"/>
  <c r="B197" i="5"/>
  <c r="A197" i="5"/>
  <c r="J195" i="5"/>
  <c r="I195" i="5"/>
  <c r="H195" i="5"/>
  <c r="G195" i="5"/>
  <c r="F195" i="5"/>
  <c r="J194" i="5"/>
  <c r="I196" i="5" s="1"/>
  <c r="K196" i="5" s="1"/>
  <c r="I194" i="5"/>
  <c r="H194" i="5"/>
  <c r="G194" i="5"/>
  <c r="F194" i="5"/>
  <c r="V193" i="5"/>
  <c r="T193" i="5"/>
  <c r="R193" i="5"/>
  <c r="U193" i="5"/>
  <c r="S193" i="5"/>
  <c r="Q193" i="5"/>
  <c r="E193" i="5"/>
  <c r="D193" i="5"/>
  <c r="C193" i="5"/>
  <c r="B193" i="5"/>
  <c r="A193" i="5"/>
  <c r="K191" i="5"/>
  <c r="H191" i="5"/>
  <c r="G191" i="5"/>
  <c r="E191" i="5"/>
  <c r="E190" i="5"/>
  <c r="E189" i="5"/>
  <c r="J188" i="5"/>
  <c r="I188" i="5"/>
  <c r="H188" i="5"/>
  <c r="G188" i="5"/>
  <c r="F188" i="5"/>
  <c r="V187" i="5"/>
  <c r="T187" i="5"/>
  <c r="J190" i="5" s="1"/>
  <c r="R187" i="5"/>
  <c r="J189" i="5" s="1"/>
  <c r="U187" i="5"/>
  <c r="S187" i="5"/>
  <c r="Q187" i="5"/>
  <c r="E187" i="5"/>
  <c r="D187" i="5"/>
  <c r="C187" i="5"/>
  <c r="B187" i="5"/>
  <c r="A187" i="5"/>
  <c r="E185" i="5"/>
  <c r="J184" i="5"/>
  <c r="I184" i="5"/>
  <c r="H184" i="5"/>
  <c r="G184" i="5"/>
  <c r="F184" i="5"/>
  <c r="J183" i="5"/>
  <c r="I183" i="5"/>
  <c r="H183" i="5"/>
  <c r="G183" i="5"/>
  <c r="F183" i="5"/>
  <c r="V182" i="5"/>
  <c r="J185" i="5" s="1"/>
  <c r="T182" i="5"/>
  <c r="R182" i="5"/>
  <c r="U182" i="5"/>
  <c r="S182" i="5"/>
  <c r="Q182" i="5"/>
  <c r="E182" i="5"/>
  <c r="D182" i="5"/>
  <c r="C182" i="5"/>
  <c r="B182" i="5"/>
  <c r="A182" i="5"/>
  <c r="K180" i="5"/>
  <c r="H180" i="5"/>
  <c r="G180" i="5"/>
  <c r="E180" i="5"/>
  <c r="E179" i="5"/>
  <c r="E178" i="5"/>
  <c r="E177" i="5"/>
  <c r="J176" i="5"/>
  <c r="I176" i="5"/>
  <c r="H176" i="5"/>
  <c r="F176" i="5"/>
  <c r="V176" i="5"/>
  <c r="T176" i="5"/>
  <c r="R176" i="5"/>
  <c r="U176" i="5"/>
  <c r="S176" i="5"/>
  <c r="Q176" i="5"/>
  <c r="E176" i="5"/>
  <c r="D176" i="5"/>
  <c r="C176" i="5"/>
  <c r="B176" i="5"/>
  <c r="A176" i="5"/>
  <c r="J175" i="5"/>
  <c r="I175" i="5"/>
  <c r="H175" i="5"/>
  <c r="F175" i="5"/>
  <c r="V175" i="5"/>
  <c r="T175" i="5"/>
  <c r="R175" i="5"/>
  <c r="U175" i="5"/>
  <c r="S175" i="5"/>
  <c r="Q175" i="5"/>
  <c r="E175" i="5"/>
  <c r="D175" i="5"/>
  <c r="C175" i="5"/>
  <c r="B175" i="5"/>
  <c r="A175" i="5"/>
  <c r="J174" i="5"/>
  <c r="I174" i="5"/>
  <c r="H174" i="5"/>
  <c r="G174" i="5"/>
  <c r="F174" i="5"/>
  <c r="J173" i="5"/>
  <c r="I173" i="5"/>
  <c r="H173" i="5"/>
  <c r="G173" i="5"/>
  <c r="F173" i="5"/>
  <c r="J172" i="5"/>
  <c r="I172" i="5"/>
  <c r="H172" i="5"/>
  <c r="G172" i="5"/>
  <c r="F172" i="5"/>
  <c r="J171" i="5"/>
  <c r="I171" i="5"/>
  <c r="H171" i="5"/>
  <c r="G171" i="5"/>
  <c r="F171" i="5"/>
  <c r="V170" i="5"/>
  <c r="T170" i="5"/>
  <c r="R170" i="5"/>
  <c r="U170" i="5"/>
  <c r="S170" i="5"/>
  <c r="Q170" i="5"/>
  <c r="E170" i="5"/>
  <c r="D170" i="5"/>
  <c r="C170" i="5"/>
  <c r="B170" i="5"/>
  <c r="A170" i="5"/>
  <c r="K168" i="5"/>
  <c r="H168" i="5"/>
  <c r="G168" i="5"/>
  <c r="E168" i="5"/>
  <c r="E167" i="5"/>
  <c r="E166" i="5"/>
  <c r="E165" i="5"/>
  <c r="J164" i="5"/>
  <c r="I164" i="5"/>
  <c r="H164" i="5"/>
  <c r="F164" i="5"/>
  <c r="V164" i="5"/>
  <c r="T164" i="5"/>
  <c r="R164" i="5"/>
  <c r="U164" i="5"/>
  <c r="S164" i="5"/>
  <c r="Q164" i="5"/>
  <c r="E164" i="5"/>
  <c r="D164" i="5"/>
  <c r="C164" i="5"/>
  <c r="B164" i="5"/>
  <c r="A164" i="5"/>
  <c r="J163" i="5"/>
  <c r="I163" i="5"/>
  <c r="H163" i="5"/>
  <c r="G163" i="5"/>
  <c r="F163" i="5"/>
  <c r="J162" i="5"/>
  <c r="I162" i="5"/>
  <c r="H162" i="5"/>
  <c r="G162" i="5"/>
  <c r="F162" i="5"/>
  <c r="J161" i="5"/>
  <c r="I161" i="5"/>
  <c r="H161" i="5"/>
  <c r="G161" i="5"/>
  <c r="F161" i="5"/>
  <c r="J160" i="5"/>
  <c r="I160" i="5"/>
  <c r="H160" i="5"/>
  <c r="G160" i="5"/>
  <c r="F160" i="5"/>
  <c r="V159" i="5"/>
  <c r="T159" i="5"/>
  <c r="R159" i="5"/>
  <c r="U159" i="5"/>
  <c r="S159" i="5"/>
  <c r="Q159" i="5"/>
  <c r="E159" i="5"/>
  <c r="D159" i="5"/>
  <c r="C159" i="5"/>
  <c r="B159" i="5"/>
  <c r="A159" i="5"/>
  <c r="K157" i="5"/>
  <c r="H157" i="5"/>
  <c r="G157" i="5"/>
  <c r="E157" i="5"/>
  <c r="E156" i="5"/>
  <c r="J155" i="5"/>
  <c r="E155" i="5"/>
  <c r="J154" i="5"/>
  <c r="I154" i="5"/>
  <c r="H154" i="5"/>
  <c r="G154" i="5"/>
  <c r="F154" i="5"/>
  <c r="V153" i="5"/>
  <c r="T153" i="5"/>
  <c r="J156" i="5" s="1"/>
  <c r="R153" i="5"/>
  <c r="U153" i="5"/>
  <c r="S153" i="5"/>
  <c r="Q153" i="5"/>
  <c r="E153" i="5"/>
  <c r="D153" i="5"/>
  <c r="C153" i="5"/>
  <c r="B153" i="5"/>
  <c r="A153" i="5"/>
  <c r="A152" i="5"/>
  <c r="I150" i="5"/>
  <c r="C150" i="5"/>
  <c r="I149" i="5"/>
  <c r="C149" i="5"/>
  <c r="AF147" i="5"/>
  <c r="A147" i="5"/>
  <c r="J144" i="5"/>
  <c r="I144" i="5"/>
  <c r="H144" i="5"/>
  <c r="G144" i="5"/>
  <c r="F144" i="5"/>
  <c r="J143" i="5"/>
  <c r="I145" i="5" s="1"/>
  <c r="I143" i="5"/>
  <c r="H143" i="5"/>
  <c r="G143" i="5"/>
  <c r="F143" i="5"/>
  <c r="V142" i="5"/>
  <c r="T142" i="5"/>
  <c r="R142" i="5"/>
  <c r="U142" i="5"/>
  <c r="S142" i="5"/>
  <c r="Q142" i="5"/>
  <c r="E142" i="5"/>
  <c r="D142" i="5"/>
  <c r="C142" i="5"/>
  <c r="B142" i="5"/>
  <c r="A142" i="5"/>
  <c r="J140" i="5"/>
  <c r="I140" i="5"/>
  <c r="H140" i="5"/>
  <c r="G140" i="5"/>
  <c r="F140" i="5"/>
  <c r="J139" i="5"/>
  <c r="I141" i="5" s="1"/>
  <c r="I139" i="5"/>
  <c r="H139" i="5"/>
  <c r="G139" i="5"/>
  <c r="F139" i="5"/>
  <c r="V138" i="5"/>
  <c r="T138" i="5"/>
  <c r="R138" i="5"/>
  <c r="U138" i="5"/>
  <c r="S138" i="5"/>
  <c r="Q138" i="5"/>
  <c r="E138" i="5"/>
  <c r="D138" i="5"/>
  <c r="C138" i="5"/>
  <c r="B138" i="5"/>
  <c r="A138" i="5"/>
  <c r="J136" i="5"/>
  <c r="I136" i="5"/>
  <c r="H136" i="5"/>
  <c r="G136" i="5"/>
  <c r="F136" i="5"/>
  <c r="J135" i="5"/>
  <c r="I137" i="5" s="1"/>
  <c r="I135" i="5"/>
  <c r="H135" i="5"/>
  <c r="G135" i="5"/>
  <c r="F135" i="5"/>
  <c r="V134" i="5"/>
  <c r="T134" i="5"/>
  <c r="R134" i="5"/>
  <c r="U134" i="5"/>
  <c r="S134" i="5"/>
  <c r="Q134" i="5"/>
  <c r="E134" i="5"/>
  <c r="D134" i="5"/>
  <c r="C134" i="5"/>
  <c r="B134" i="5"/>
  <c r="A134" i="5"/>
  <c r="K132" i="5"/>
  <c r="H132" i="5"/>
  <c r="G132" i="5"/>
  <c r="E132" i="5"/>
  <c r="E131" i="5"/>
  <c r="E130" i="5"/>
  <c r="J129" i="5"/>
  <c r="I129" i="5"/>
  <c r="H129" i="5"/>
  <c r="G129" i="5"/>
  <c r="F129" i="5"/>
  <c r="V128" i="5"/>
  <c r="T128" i="5"/>
  <c r="J131" i="5" s="1"/>
  <c r="R128" i="5"/>
  <c r="J130" i="5" s="1"/>
  <c r="U128" i="5"/>
  <c r="S128" i="5"/>
  <c r="Q128" i="5"/>
  <c r="E128" i="5"/>
  <c r="D128" i="5"/>
  <c r="C128" i="5"/>
  <c r="B128" i="5"/>
  <c r="A128" i="5"/>
  <c r="E126" i="5"/>
  <c r="J125" i="5"/>
  <c r="I125" i="5"/>
  <c r="H125" i="5"/>
  <c r="G125" i="5"/>
  <c r="F125" i="5"/>
  <c r="J124" i="5"/>
  <c r="I124" i="5"/>
  <c r="H124" i="5"/>
  <c r="G124" i="5"/>
  <c r="F124" i="5"/>
  <c r="V123" i="5"/>
  <c r="J126" i="5" s="1"/>
  <c r="T123" i="5"/>
  <c r="R123" i="5"/>
  <c r="U123" i="5"/>
  <c r="S123" i="5"/>
  <c r="Q123" i="5"/>
  <c r="E123" i="5"/>
  <c r="D123" i="5"/>
  <c r="C123" i="5"/>
  <c r="B123" i="5"/>
  <c r="A123" i="5"/>
  <c r="K121" i="5"/>
  <c r="H121" i="5"/>
  <c r="G121" i="5"/>
  <c r="E121" i="5"/>
  <c r="E120" i="5"/>
  <c r="E119" i="5"/>
  <c r="E118" i="5"/>
  <c r="J117" i="5"/>
  <c r="I117" i="5"/>
  <c r="H117" i="5"/>
  <c r="F117" i="5"/>
  <c r="V117" i="5"/>
  <c r="T117" i="5"/>
  <c r="R117" i="5"/>
  <c r="U117" i="5"/>
  <c r="S117" i="5"/>
  <c r="Q117" i="5"/>
  <c r="E117" i="5"/>
  <c r="D117" i="5"/>
  <c r="C117" i="5"/>
  <c r="B117" i="5"/>
  <c r="A117" i="5"/>
  <c r="J116" i="5"/>
  <c r="I116" i="5"/>
  <c r="H116" i="5"/>
  <c r="F116" i="5"/>
  <c r="V116" i="5"/>
  <c r="T116" i="5"/>
  <c r="R116" i="5"/>
  <c r="U116" i="5"/>
  <c r="S116" i="5"/>
  <c r="Q116" i="5"/>
  <c r="E116" i="5"/>
  <c r="D116" i="5"/>
  <c r="C116" i="5"/>
  <c r="B116" i="5"/>
  <c r="A116" i="5"/>
  <c r="J115" i="5"/>
  <c r="I115" i="5"/>
  <c r="H115" i="5"/>
  <c r="G115" i="5"/>
  <c r="F115" i="5"/>
  <c r="J114" i="5"/>
  <c r="I114" i="5"/>
  <c r="H114" i="5"/>
  <c r="G114" i="5"/>
  <c r="F114" i="5"/>
  <c r="J113" i="5"/>
  <c r="I113" i="5"/>
  <c r="H113" i="5"/>
  <c r="G113" i="5"/>
  <c r="F113" i="5"/>
  <c r="J112" i="5"/>
  <c r="I112" i="5"/>
  <c r="H112" i="5"/>
  <c r="G112" i="5"/>
  <c r="F112" i="5"/>
  <c r="V111" i="5"/>
  <c r="T111" i="5"/>
  <c r="R111" i="5"/>
  <c r="U111" i="5"/>
  <c r="S111" i="5"/>
  <c r="Q111" i="5"/>
  <c r="E111" i="5"/>
  <c r="D111" i="5"/>
  <c r="C111" i="5"/>
  <c r="B111" i="5"/>
  <c r="A111" i="5"/>
  <c r="K109" i="5"/>
  <c r="H109" i="5"/>
  <c r="G109" i="5"/>
  <c r="E109" i="5"/>
  <c r="E108" i="5"/>
  <c r="E107" i="5"/>
  <c r="E106" i="5"/>
  <c r="J105" i="5"/>
  <c r="I105" i="5"/>
  <c r="H105" i="5"/>
  <c r="F105" i="5"/>
  <c r="V105" i="5"/>
  <c r="T105" i="5"/>
  <c r="R105" i="5"/>
  <c r="U105" i="5"/>
  <c r="S105" i="5"/>
  <c r="Q105" i="5"/>
  <c r="E105" i="5"/>
  <c r="D105" i="5"/>
  <c r="C105" i="5"/>
  <c r="B105" i="5"/>
  <c r="A105" i="5"/>
  <c r="J104" i="5"/>
  <c r="I104" i="5"/>
  <c r="H104" i="5"/>
  <c r="G104" i="5"/>
  <c r="F104" i="5"/>
  <c r="J103" i="5"/>
  <c r="I103" i="5"/>
  <c r="H103" i="5"/>
  <c r="G103" i="5"/>
  <c r="F103" i="5"/>
  <c r="J102" i="5"/>
  <c r="I102" i="5"/>
  <c r="H102" i="5"/>
  <c r="G102" i="5"/>
  <c r="F102" i="5"/>
  <c r="J101" i="5"/>
  <c r="I101" i="5"/>
  <c r="H101" i="5"/>
  <c r="G101" i="5"/>
  <c r="F101" i="5"/>
  <c r="V100" i="5"/>
  <c r="T100" i="5"/>
  <c r="R100" i="5"/>
  <c r="U100" i="5"/>
  <c r="S100" i="5"/>
  <c r="Q100" i="5"/>
  <c r="E100" i="5"/>
  <c r="D100" i="5"/>
  <c r="C100" i="5"/>
  <c r="B100" i="5"/>
  <c r="A100" i="5"/>
  <c r="K98" i="5"/>
  <c r="H98" i="5"/>
  <c r="G98" i="5"/>
  <c r="E98" i="5"/>
  <c r="E97" i="5"/>
  <c r="E96" i="5"/>
  <c r="J95" i="5"/>
  <c r="I95" i="5"/>
  <c r="H95" i="5"/>
  <c r="G95" i="5"/>
  <c r="F95" i="5"/>
  <c r="V94" i="5"/>
  <c r="T94" i="5"/>
  <c r="J97" i="5" s="1"/>
  <c r="R94" i="5"/>
  <c r="J96" i="5" s="1"/>
  <c r="U94" i="5"/>
  <c r="S94" i="5"/>
  <c r="Q94" i="5"/>
  <c r="E94" i="5"/>
  <c r="D94" i="5"/>
  <c r="C94" i="5"/>
  <c r="B94" i="5"/>
  <c r="A94" i="5"/>
  <c r="A93" i="5"/>
  <c r="A91" i="5"/>
  <c r="A77" i="5"/>
  <c r="A74" i="5"/>
  <c r="A69" i="5"/>
  <c r="G65" i="5"/>
  <c r="B65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1" i="3"/>
  <c r="CY1" i="3"/>
  <c r="CZ1" i="3"/>
  <c r="DA1" i="3"/>
  <c r="DB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A4" i="3"/>
  <c r="DB4" i="3"/>
  <c r="DC4" i="3"/>
  <c r="A5" i="3"/>
  <c r="CY5" i="3"/>
  <c r="CZ5" i="3"/>
  <c r="DB5" i="3" s="1"/>
  <c r="DA5" i="3"/>
  <c r="DC5" i="3"/>
  <c r="A6" i="3"/>
  <c r="CY6" i="3"/>
  <c r="CZ6" i="3"/>
  <c r="DB6" i="3" s="1"/>
  <c r="DA6" i="3"/>
  <c r="DC6" i="3"/>
  <c r="A7" i="3"/>
  <c r="CY7" i="3"/>
  <c r="CZ7" i="3"/>
  <c r="DA7" i="3"/>
  <c r="DB7" i="3"/>
  <c r="DC7" i="3"/>
  <c r="A8" i="3"/>
  <c r="CY8" i="3"/>
  <c r="CZ8" i="3"/>
  <c r="DA8" i="3"/>
  <c r="DB8" i="3"/>
  <c r="DC8" i="3"/>
  <c r="A9" i="3"/>
  <c r="CY9" i="3"/>
  <c r="CZ9" i="3"/>
  <c r="DB9" i="3" s="1"/>
  <c r="DA9" i="3"/>
  <c r="DC9" i="3"/>
  <c r="A10" i="3"/>
  <c r="CY10" i="3"/>
  <c r="CZ10" i="3"/>
  <c r="DB10" i="3" s="1"/>
  <c r="DA10" i="3"/>
  <c r="DC10" i="3"/>
  <c r="A11" i="3"/>
  <c r="CY11" i="3"/>
  <c r="CZ11" i="3"/>
  <c r="DA11" i="3"/>
  <c r="DB11" i="3"/>
  <c r="DC11" i="3"/>
  <c r="A12" i="3"/>
  <c r="CY12" i="3"/>
  <c r="CZ12" i="3"/>
  <c r="DA12" i="3"/>
  <c r="DB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A15" i="3"/>
  <c r="DB15" i="3"/>
  <c r="DC15" i="3"/>
  <c r="A16" i="3"/>
  <c r="CY16" i="3"/>
  <c r="CZ16" i="3"/>
  <c r="DA16" i="3"/>
  <c r="DB16" i="3"/>
  <c r="DC16" i="3"/>
  <c r="A17" i="3"/>
  <c r="CY17" i="3"/>
  <c r="CZ17" i="3"/>
  <c r="DB17" i="3" s="1"/>
  <c r="DA17" i="3"/>
  <c r="DC17" i="3"/>
  <c r="A18" i="3"/>
  <c r="CY18" i="3"/>
  <c r="CZ18" i="3"/>
  <c r="DB18" i="3" s="1"/>
  <c r="DA18" i="3"/>
  <c r="DC18" i="3"/>
  <c r="A19" i="3"/>
  <c r="CY19" i="3"/>
  <c r="CZ19" i="3"/>
  <c r="DA19" i="3"/>
  <c r="DB19" i="3"/>
  <c r="DC19" i="3"/>
  <c r="A20" i="3"/>
  <c r="CY20" i="3"/>
  <c r="CZ20" i="3"/>
  <c r="DA20" i="3"/>
  <c r="DB20" i="3"/>
  <c r="DC20" i="3"/>
  <c r="A21" i="3"/>
  <c r="CY21" i="3"/>
  <c r="CZ21" i="3"/>
  <c r="DB21" i="3" s="1"/>
  <c r="DA21" i="3"/>
  <c r="DC21" i="3"/>
  <c r="A22" i="3"/>
  <c r="CY22" i="3"/>
  <c r="CZ22" i="3"/>
  <c r="DB22" i="3" s="1"/>
  <c r="DA22" i="3"/>
  <c r="DC22" i="3"/>
  <c r="A23" i="3"/>
  <c r="CY23" i="3"/>
  <c r="CZ23" i="3"/>
  <c r="DA23" i="3"/>
  <c r="DB23" i="3"/>
  <c r="DC23" i="3"/>
  <c r="A24" i="3"/>
  <c r="CY24" i="3"/>
  <c r="CZ24" i="3"/>
  <c r="DA24" i="3"/>
  <c r="DB24" i="3"/>
  <c r="DC24" i="3"/>
  <c r="A25" i="3"/>
  <c r="CX25" i="3"/>
  <c r="CY25" i="3"/>
  <c r="CZ25" i="3"/>
  <c r="DB25" i="3" s="1"/>
  <c r="DA25" i="3"/>
  <c r="DC25" i="3"/>
  <c r="A26" i="3"/>
  <c r="CX26" i="3"/>
  <c r="CY26" i="3"/>
  <c r="CZ26" i="3"/>
  <c r="DB26" i="3" s="1"/>
  <c r="DA26" i="3"/>
  <c r="DC26" i="3"/>
  <c r="A27" i="3"/>
  <c r="CX27" i="3"/>
  <c r="CY27" i="3"/>
  <c r="CZ27" i="3"/>
  <c r="DA27" i="3"/>
  <c r="DB27" i="3"/>
  <c r="DC27" i="3"/>
  <c r="A28" i="3"/>
  <c r="CY28" i="3"/>
  <c r="CZ28" i="3"/>
  <c r="DA28" i="3"/>
  <c r="DB28" i="3"/>
  <c r="DC28" i="3"/>
  <c r="A29" i="3"/>
  <c r="CY29" i="3"/>
  <c r="CZ29" i="3"/>
  <c r="DB29" i="3" s="1"/>
  <c r="DA29" i="3"/>
  <c r="DC29" i="3"/>
  <c r="A30" i="3"/>
  <c r="CY30" i="3"/>
  <c r="CZ30" i="3"/>
  <c r="DB30" i="3" s="1"/>
  <c r="DA30" i="3"/>
  <c r="DC30" i="3"/>
  <c r="A31" i="3"/>
  <c r="CY31" i="3"/>
  <c r="CZ31" i="3"/>
  <c r="DA31" i="3"/>
  <c r="DB31" i="3"/>
  <c r="DC31" i="3"/>
  <c r="A32" i="3"/>
  <c r="CY32" i="3"/>
  <c r="CZ32" i="3"/>
  <c r="DA32" i="3"/>
  <c r="DB32" i="3"/>
  <c r="DC32" i="3"/>
  <c r="A33" i="3"/>
  <c r="CY33" i="3"/>
  <c r="CZ33" i="3"/>
  <c r="DB33" i="3" s="1"/>
  <c r="DA33" i="3"/>
  <c r="DC33" i="3"/>
  <c r="A34" i="3"/>
  <c r="CY34" i="3"/>
  <c r="CZ34" i="3"/>
  <c r="DB34" i="3" s="1"/>
  <c r="DA34" i="3"/>
  <c r="DC34" i="3"/>
  <c r="A35" i="3"/>
  <c r="CY35" i="3"/>
  <c r="CZ35" i="3"/>
  <c r="DA35" i="3"/>
  <c r="DB35" i="3"/>
  <c r="DC35" i="3"/>
  <c r="A36" i="3"/>
  <c r="CY36" i="3"/>
  <c r="CZ36" i="3"/>
  <c r="DA36" i="3"/>
  <c r="DB36" i="3"/>
  <c r="DC36" i="3"/>
  <c r="A37" i="3"/>
  <c r="CY37" i="3"/>
  <c r="CZ37" i="3"/>
  <c r="DB37" i="3" s="1"/>
  <c r="DA37" i="3"/>
  <c r="DC37" i="3"/>
  <c r="A38" i="3"/>
  <c r="CY38" i="3"/>
  <c r="CZ38" i="3"/>
  <c r="DB38" i="3" s="1"/>
  <c r="DA38" i="3"/>
  <c r="DC38" i="3"/>
  <c r="A39" i="3"/>
  <c r="CY39" i="3"/>
  <c r="CZ39" i="3"/>
  <c r="DA39" i="3"/>
  <c r="DB39" i="3"/>
  <c r="DC39" i="3"/>
  <c r="A40" i="3"/>
  <c r="CY40" i="3"/>
  <c r="CZ40" i="3"/>
  <c r="DA40" i="3"/>
  <c r="DB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A43" i="3"/>
  <c r="DB43" i="3"/>
  <c r="DC43" i="3"/>
  <c r="A44" i="3"/>
  <c r="CY44" i="3"/>
  <c r="CZ44" i="3"/>
  <c r="DA44" i="3"/>
  <c r="DB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A47" i="3"/>
  <c r="DB47" i="3"/>
  <c r="DC47" i="3"/>
  <c r="A48" i="3"/>
  <c r="CY48" i="3"/>
  <c r="CZ48" i="3"/>
  <c r="DA48" i="3"/>
  <c r="DB48" i="3"/>
  <c r="DC48" i="3"/>
  <c r="A49" i="3"/>
  <c r="CY49" i="3"/>
  <c r="CZ49" i="3"/>
  <c r="DB49" i="3" s="1"/>
  <c r="DA49" i="3"/>
  <c r="DC49" i="3"/>
  <c r="A50" i="3"/>
  <c r="CY50" i="3"/>
  <c r="CZ50" i="3"/>
  <c r="DB50" i="3" s="1"/>
  <c r="DA50" i="3"/>
  <c r="DC50" i="3"/>
  <c r="A51" i="3"/>
  <c r="CX51" i="3"/>
  <c r="CY51" i="3"/>
  <c r="CZ51" i="3"/>
  <c r="DA51" i="3"/>
  <c r="DB51" i="3"/>
  <c r="DC51" i="3"/>
  <c r="A52" i="3"/>
  <c r="CY52" i="3"/>
  <c r="CZ52" i="3"/>
  <c r="DA52" i="3"/>
  <c r="DB52" i="3"/>
  <c r="DC52" i="3"/>
  <c r="A53" i="3"/>
  <c r="CY53" i="3"/>
  <c r="CZ53" i="3"/>
  <c r="DB53" i="3" s="1"/>
  <c r="DA53" i="3"/>
  <c r="DC53" i="3"/>
  <c r="A54" i="3"/>
  <c r="CY54" i="3"/>
  <c r="CZ54" i="3"/>
  <c r="DB54" i="3" s="1"/>
  <c r="DA54" i="3"/>
  <c r="DC54" i="3"/>
  <c r="A55" i="3"/>
  <c r="CY55" i="3"/>
  <c r="CZ55" i="3"/>
  <c r="DA55" i="3"/>
  <c r="DB55" i="3"/>
  <c r="DC55" i="3"/>
  <c r="A56" i="3"/>
  <c r="CY56" i="3"/>
  <c r="CZ56" i="3"/>
  <c r="DA56" i="3"/>
  <c r="DB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A59" i="3"/>
  <c r="DB59" i="3"/>
  <c r="DC59" i="3"/>
  <c r="A60" i="3"/>
  <c r="CY60" i="3"/>
  <c r="CZ60" i="3"/>
  <c r="DA60" i="3"/>
  <c r="DB60" i="3"/>
  <c r="DC60" i="3"/>
  <c r="A61" i="3"/>
  <c r="CY61" i="3"/>
  <c r="CZ61" i="3"/>
  <c r="DB61" i="3" s="1"/>
  <c r="DA61" i="3"/>
  <c r="DC61" i="3"/>
  <c r="A62" i="3"/>
  <c r="CY62" i="3"/>
  <c r="CZ62" i="3"/>
  <c r="DB62" i="3" s="1"/>
  <c r="DA62" i="3"/>
  <c r="DC62" i="3"/>
  <c r="A63" i="3"/>
  <c r="CY63" i="3"/>
  <c r="CZ63" i="3"/>
  <c r="DA63" i="3"/>
  <c r="DB63" i="3"/>
  <c r="DC63" i="3"/>
  <c r="A64" i="3"/>
  <c r="CY64" i="3"/>
  <c r="CZ64" i="3"/>
  <c r="DA64" i="3"/>
  <c r="DB64" i="3"/>
  <c r="DC64" i="3"/>
  <c r="A65" i="3"/>
  <c r="CY65" i="3"/>
  <c r="CZ65" i="3"/>
  <c r="DB65" i="3" s="1"/>
  <c r="DA65" i="3"/>
  <c r="DC65" i="3"/>
  <c r="A66" i="3"/>
  <c r="CY66" i="3"/>
  <c r="CZ66" i="3"/>
  <c r="DB66" i="3" s="1"/>
  <c r="DA66" i="3"/>
  <c r="DC66" i="3"/>
  <c r="A67" i="3"/>
  <c r="CY67" i="3"/>
  <c r="CZ67" i="3"/>
  <c r="DA67" i="3"/>
  <c r="DB67" i="3"/>
  <c r="DC67" i="3"/>
  <c r="A68" i="3"/>
  <c r="CY68" i="3"/>
  <c r="CZ68" i="3"/>
  <c r="DA68" i="3"/>
  <c r="DB68" i="3"/>
  <c r="DC68" i="3"/>
  <c r="A69" i="3"/>
  <c r="CY69" i="3"/>
  <c r="CZ69" i="3"/>
  <c r="DB69" i="3" s="1"/>
  <c r="DA69" i="3"/>
  <c r="DC69" i="3"/>
  <c r="A70" i="3"/>
  <c r="CY70" i="3"/>
  <c r="CZ70" i="3"/>
  <c r="DB70" i="3" s="1"/>
  <c r="DA70" i="3"/>
  <c r="DC70" i="3"/>
  <c r="A71" i="3"/>
  <c r="CY71" i="3"/>
  <c r="CZ71" i="3"/>
  <c r="DA71" i="3"/>
  <c r="DB71" i="3"/>
  <c r="DC71" i="3"/>
  <c r="A72" i="3"/>
  <c r="CY72" i="3"/>
  <c r="CZ72" i="3"/>
  <c r="DA72" i="3"/>
  <c r="DB72" i="3"/>
  <c r="DC72" i="3"/>
  <c r="A73" i="3"/>
  <c r="CY73" i="3"/>
  <c r="CZ73" i="3"/>
  <c r="DB73" i="3" s="1"/>
  <c r="DA73" i="3"/>
  <c r="DC73" i="3"/>
  <c r="A74" i="3"/>
  <c r="CY74" i="3"/>
  <c r="CZ74" i="3"/>
  <c r="DB74" i="3" s="1"/>
  <c r="DA74" i="3"/>
  <c r="DC74" i="3"/>
  <c r="A75" i="3"/>
  <c r="CY75" i="3"/>
  <c r="CZ75" i="3"/>
  <c r="DA75" i="3"/>
  <c r="DB75" i="3"/>
  <c r="DC75" i="3"/>
  <c r="A76" i="3"/>
  <c r="CY76" i="3"/>
  <c r="CZ76" i="3"/>
  <c r="DA76" i="3"/>
  <c r="DB76" i="3"/>
  <c r="DC76" i="3"/>
  <c r="A77" i="3"/>
  <c r="CX77" i="3"/>
  <c r="CY77" i="3"/>
  <c r="CZ77" i="3"/>
  <c r="DB77" i="3" s="1"/>
  <c r="DA77" i="3"/>
  <c r="DC77" i="3"/>
  <c r="A78" i="3"/>
  <c r="CX78" i="3"/>
  <c r="CY78" i="3"/>
  <c r="CZ78" i="3"/>
  <c r="DB78" i="3" s="1"/>
  <c r="DA78" i="3"/>
  <c r="DC78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G26" i="1"/>
  <c r="Z26" i="1"/>
  <c r="AA26" i="1"/>
  <c r="AM26" i="1"/>
  <c r="AN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CX1" i="3" s="1"/>
  <c r="P28" i="1"/>
  <c r="T28" i="1"/>
  <c r="AC28" i="1"/>
  <c r="AD28" i="1"/>
  <c r="AE28" i="1"/>
  <c r="CS28" i="1" s="1"/>
  <c r="R28" i="1" s="1"/>
  <c r="GK28" i="1" s="1"/>
  <c r="AF28" i="1"/>
  <c r="AG28" i="1"/>
  <c r="AH28" i="1"/>
  <c r="CV28" i="1" s="1"/>
  <c r="U28" i="1" s="1"/>
  <c r="AI28" i="1"/>
  <c r="CW28" i="1" s="1"/>
  <c r="V28" i="1" s="1"/>
  <c r="AJ28" i="1"/>
  <c r="CQ28" i="1"/>
  <c r="CR28" i="1"/>
  <c r="Q28" i="1" s="1"/>
  <c r="CT28" i="1"/>
  <c r="S28" i="1" s="1"/>
  <c r="CU28" i="1"/>
  <c r="CX28" i="1"/>
  <c r="W28" i="1" s="1"/>
  <c r="FR28" i="1"/>
  <c r="GL28" i="1"/>
  <c r="GN28" i="1"/>
  <c r="GO28" i="1"/>
  <c r="GV28" i="1"/>
  <c r="HC28" i="1"/>
  <c r="GX28" i="1" s="1"/>
  <c r="C29" i="1"/>
  <c r="D29" i="1"/>
  <c r="I29" i="1"/>
  <c r="CX11" i="3" s="1"/>
  <c r="W29" i="1"/>
  <c r="AC29" i="1"/>
  <c r="AD29" i="1"/>
  <c r="AE29" i="1"/>
  <c r="AF29" i="1"/>
  <c r="CT29" i="1" s="1"/>
  <c r="S29" i="1" s="1"/>
  <c r="AG29" i="1"/>
  <c r="AH29" i="1"/>
  <c r="CV29" i="1" s="1"/>
  <c r="U29" i="1" s="1"/>
  <c r="AI29" i="1"/>
  <c r="AJ29" i="1"/>
  <c r="CX29" i="1" s="1"/>
  <c r="CQ29" i="1"/>
  <c r="P29" i="1" s="1"/>
  <c r="CR29" i="1"/>
  <c r="Q29" i="1" s="1"/>
  <c r="CS29" i="1"/>
  <c r="R29" i="1" s="1"/>
  <c r="CU29" i="1"/>
  <c r="T29" i="1" s="1"/>
  <c r="CW29" i="1"/>
  <c r="V29" i="1" s="1"/>
  <c r="FR29" i="1"/>
  <c r="GL29" i="1"/>
  <c r="GN29" i="1"/>
  <c r="GO29" i="1"/>
  <c r="GV29" i="1"/>
  <c r="HC29" i="1"/>
  <c r="GX29" i="1" s="1"/>
  <c r="I30" i="1"/>
  <c r="P30" i="1"/>
  <c r="R30" i="1"/>
  <c r="GK30" i="1" s="1"/>
  <c r="U30" i="1"/>
  <c r="X30" i="1"/>
  <c r="AC30" i="1"/>
  <c r="AD30" i="1"/>
  <c r="AB30" i="1" s="1"/>
  <c r="AE30" i="1"/>
  <c r="AF30" i="1"/>
  <c r="CT30" i="1" s="1"/>
  <c r="S30" i="1" s="1"/>
  <c r="CY30" i="1" s="1"/>
  <c r="AG30" i="1"/>
  <c r="AH30" i="1"/>
  <c r="CV30" i="1" s="1"/>
  <c r="AI30" i="1"/>
  <c r="AJ30" i="1"/>
  <c r="CX30" i="1" s="1"/>
  <c r="W30" i="1" s="1"/>
  <c r="CQ30" i="1"/>
  <c r="CR30" i="1"/>
  <c r="Q30" i="1" s="1"/>
  <c r="CS30" i="1"/>
  <c r="CU30" i="1"/>
  <c r="T30" i="1" s="1"/>
  <c r="CW30" i="1"/>
  <c r="V30" i="1" s="1"/>
  <c r="CZ30" i="1"/>
  <c r="Y30" i="1" s="1"/>
  <c r="FR30" i="1"/>
  <c r="GL30" i="1"/>
  <c r="GN30" i="1"/>
  <c r="GO30" i="1"/>
  <c r="GV30" i="1"/>
  <c r="GX30" i="1"/>
  <c r="HC30" i="1"/>
  <c r="C31" i="1"/>
  <c r="D31" i="1"/>
  <c r="I31" i="1"/>
  <c r="P31" i="1" s="1"/>
  <c r="V31" i="1"/>
  <c r="AC31" i="1"/>
  <c r="AD31" i="1"/>
  <c r="AB31" i="1" s="1"/>
  <c r="AE31" i="1"/>
  <c r="AF31" i="1"/>
  <c r="CT31" i="1" s="1"/>
  <c r="AG31" i="1"/>
  <c r="AH31" i="1"/>
  <c r="CV31" i="1" s="1"/>
  <c r="AI31" i="1"/>
  <c r="AJ31" i="1"/>
  <c r="CX31" i="1" s="1"/>
  <c r="CQ31" i="1"/>
  <c r="CR31" i="1"/>
  <c r="CS31" i="1"/>
  <c r="R31" i="1" s="1"/>
  <c r="GK31" i="1" s="1"/>
  <c r="CU31" i="1"/>
  <c r="T31" i="1" s="1"/>
  <c r="CW31" i="1"/>
  <c r="FR31" i="1"/>
  <c r="GL31" i="1"/>
  <c r="GN31" i="1"/>
  <c r="GO31" i="1"/>
  <c r="GV31" i="1"/>
  <c r="HC31" i="1"/>
  <c r="AC32" i="1"/>
  <c r="AD32" i="1"/>
  <c r="AB32" i="1" s="1"/>
  <c r="AE32" i="1"/>
  <c r="AF32" i="1"/>
  <c r="CT32" i="1" s="1"/>
  <c r="AG32" i="1"/>
  <c r="AH32" i="1"/>
  <c r="CV32" i="1" s="1"/>
  <c r="AI32" i="1"/>
  <c r="AJ32" i="1"/>
  <c r="CX32" i="1" s="1"/>
  <c r="CQ32" i="1"/>
  <c r="CR32" i="1"/>
  <c r="CS32" i="1"/>
  <c r="CU32" i="1"/>
  <c r="CW32" i="1"/>
  <c r="FR32" i="1"/>
  <c r="GL32" i="1"/>
  <c r="GN32" i="1"/>
  <c r="GO32" i="1"/>
  <c r="GV32" i="1"/>
  <c r="HC32" i="1" s="1"/>
  <c r="I33" i="1"/>
  <c r="T33" i="1" s="1"/>
  <c r="V33" i="1"/>
  <c r="AC33" i="1"/>
  <c r="AD33" i="1"/>
  <c r="AB33" i="1" s="1"/>
  <c r="AE33" i="1"/>
  <c r="AF33" i="1"/>
  <c r="CT33" i="1" s="1"/>
  <c r="AG33" i="1"/>
  <c r="AH33" i="1"/>
  <c r="CV33" i="1" s="1"/>
  <c r="U33" i="1" s="1"/>
  <c r="AI33" i="1"/>
  <c r="AJ33" i="1"/>
  <c r="CX33" i="1" s="1"/>
  <c r="CQ33" i="1"/>
  <c r="P33" i="1" s="1"/>
  <c r="CR33" i="1"/>
  <c r="Q33" i="1" s="1"/>
  <c r="CS33" i="1"/>
  <c r="R33" i="1" s="1"/>
  <c r="GK33" i="1" s="1"/>
  <c r="CU33" i="1"/>
  <c r="CW33" i="1"/>
  <c r="FR33" i="1"/>
  <c r="GL33" i="1"/>
  <c r="GN33" i="1"/>
  <c r="GO33" i="1"/>
  <c r="GV33" i="1"/>
  <c r="GX33" i="1"/>
  <c r="HC33" i="1"/>
  <c r="C34" i="1"/>
  <c r="D34" i="1"/>
  <c r="I34" i="1"/>
  <c r="P34" i="1" s="1"/>
  <c r="AC34" i="1"/>
  <c r="AD34" i="1"/>
  <c r="AB34" i="1" s="1"/>
  <c r="AE34" i="1"/>
  <c r="AF34" i="1"/>
  <c r="CT34" i="1" s="1"/>
  <c r="AG34" i="1"/>
  <c r="AH34" i="1"/>
  <c r="CV34" i="1" s="1"/>
  <c r="AI34" i="1"/>
  <c r="AJ34" i="1"/>
  <c r="CX34" i="1" s="1"/>
  <c r="CQ34" i="1"/>
  <c r="CR34" i="1"/>
  <c r="CS34" i="1"/>
  <c r="CU34" i="1"/>
  <c r="CW34" i="1"/>
  <c r="FR34" i="1"/>
  <c r="GL34" i="1"/>
  <c r="GN34" i="1"/>
  <c r="GO34" i="1"/>
  <c r="GV34" i="1"/>
  <c r="HC34" i="1"/>
  <c r="C35" i="1"/>
  <c r="D35" i="1"/>
  <c r="I35" i="1"/>
  <c r="CX20" i="3" s="1"/>
  <c r="P35" i="1"/>
  <c r="CP35" i="1" s="1"/>
  <c r="O35" i="1" s="1"/>
  <c r="R35" i="1"/>
  <c r="GK35" i="1" s="1"/>
  <c r="AC35" i="1"/>
  <c r="AD35" i="1"/>
  <c r="AE35" i="1"/>
  <c r="AF35" i="1"/>
  <c r="CT35" i="1" s="1"/>
  <c r="S35" i="1" s="1"/>
  <c r="AG35" i="1"/>
  <c r="AH35" i="1"/>
  <c r="CV35" i="1" s="1"/>
  <c r="U35" i="1" s="1"/>
  <c r="AI35" i="1"/>
  <c r="AJ35" i="1"/>
  <c r="CX35" i="1" s="1"/>
  <c r="W35" i="1" s="1"/>
  <c r="CQ35" i="1"/>
  <c r="CR35" i="1"/>
  <c r="Q35" i="1" s="1"/>
  <c r="CS35" i="1"/>
  <c r="CU35" i="1"/>
  <c r="T35" i="1" s="1"/>
  <c r="CW35" i="1"/>
  <c r="V35" i="1" s="1"/>
  <c r="FR35" i="1"/>
  <c r="GL35" i="1"/>
  <c r="GN35" i="1"/>
  <c r="GO35" i="1"/>
  <c r="GV35" i="1"/>
  <c r="HC35" i="1" s="1"/>
  <c r="GX35" i="1" s="1"/>
  <c r="C36" i="1"/>
  <c r="D36" i="1"/>
  <c r="I36" i="1"/>
  <c r="AC36" i="1"/>
  <c r="AE36" i="1"/>
  <c r="AF36" i="1"/>
  <c r="CT36" i="1" s="1"/>
  <c r="AG36" i="1"/>
  <c r="AH36" i="1"/>
  <c r="CV36" i="1" s="1"/>
  <c r="AI36" i="1"/>
  <c r="CW36" i="1" s="1"/>
  <c r="AJ36" i="1"/>
  <c r="CX36" i="1" s="1"/>
  <c r="CQ36" i="1"/>
  <c r="CU36" i="1"/>
  <c r="FR36" i="1"/>
  <c r="GL36" i="1"/>
  <c r="GN36" i="1"/>
  <c r="GO36" i="1"/>
  <c r="GV36" i="1"/>
  <c r="HC36" i="1" s="1"/>
  <c r="C37" i="1"/>
  <c r="D37" i="1"/>
  <c r="I37" i="1"/>
  <c r="W37" i="1"/>
  <c r="AC37" i="1"/>
  <c r="CQ37" i="1" s="1"/>
  <c r="AE37" i="1"/>
  <c r="AF37" i="1"/>
  <c r="CT37" i="1" s="1"/>
  <c r="S37" i="1" s="1"/>
  <c r="CY37" i="1" s="1"/>
  <c r="X37" i="1" s="1"/>
  <c r="AG37" i="1"/>
  <c r="CU37" i="1" s="1"/>
  <c r="AH37" i="1"/>
  <c r="AI37" i="1"/>
  <c r="CW37" i="1" s="1"/>
  <c r="AJ37" i="1"/>
  <c r="CX37" i="1" s="1"/>
  <c r="CS37" i="1"/>
  <c r="CV37" i="1"/>
  <c r="CZ37" i="1"/>
  <c r="Y37" i="1" s="1"/>
  <c r="FR37" i="1"/>
  <c r="GL37" i="1"/>
  <c r="GN37" i="1"/>
  <c r="GO37" i="1"/>
  <c r="GV37" i="1"/>
  <c r="HC37" i="1"/>
  <c r="GX37" i="1" s="1"/>
  <c r="C38" i="1"/>
  <c r="D38" i="1"/>
  <c r="AB38" i="1"/>
  <c r="AC38" i="1"/>
  <c r="CQ38" i="1" s="1"/>
  <c r="P38" i="1" s="1"/>
  <c r="AE38" i="1"/>
  <c r="AD38" i="1" s="1"/>
  <c r="AF38" i="1"/>
  <c r="CT38" i="1" s="1"/>
  <c r="S38" i="1" s="1"/>
  <c r="CY38" i="1" s="1"/>
  <c r="X38" i="1" s="1"/>
  <c r="AG38" i="1"/>
  <c r="CU38" i="1" s="1"/>
  <c r="T38" i="1" s="1"/>
  <c r="AH38" i="1"/>
  <c r="AI38" i="1"/>
  <c r="AJ38" i="1"/>
  <c r="CX38" i="1" s="1"/>
  <c r="W38" i="1" s="1"/>
  <c r="CR38" i="1"/>
  <c r="Q38" i="1" s="1"/>
  <c r="CS38" i="1"/>
  <c r="R38" i="1" s="1"/>
  <c r="CV38" i="1"/>
  <c r="U38" i="1" s="1"/>
  <c r="CW38" i="1"/>
  <c r="V38" i="1" s="1"/>
  <c r="CZ38" i="1"/>
  <c r="Y38" i="1" s="1"/>
  <c r="FR38" i="1"/>
  <c r="GL38" i="1"/>
  <c r="GN38" i="1"/>
  <c r="GO38" i="1"/>
  <c r="GV38" i="1"/>
  <c r="HC38" i="1"/>
  <c r="GX38" i="1" s="1"/>
  <c r="B40" i="1"/>
  <c r="B26" i="1" s="1"/>
  <c r="C40" i="1"/>
  <c r="C26" i="1" s="1"/>
  <c r="D40" i="1"/>
  <c r="D26" i="1" s="1"/>
  <c r="F40" i="1"/>
  <c r="F26" i="1" s="1"/>
  <c r="G40" i="1"/>
  <c r="AO40" i="1"/>
  <c r="BX40" i="1"/>
  <c r="BX26" i="1" s="1"/>
  <c r="CB40" i="1"/>
  <c r="CK40" i="1"/>
  <c r="CL40" i="1"/>
  <c r="CL26" i="1" s="1"/>
  <c r="D71" i="1"/>
  <c r="C73" i="1"/>
  <c r="E73" i="1"/>
  <c r="Z73" i="1"/>
  <c r="AA73" i="1"/>
  <c r="AM73" i="1"/>
  <c r="AN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K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I75" i="1"/>
  <c r="Q75" i="1"/>
  <c r="R75" i="1"/>
  <c r="GK75" i="1" s="1"/>
  <c r="V75" i="1"/>
  <c r="AC75" i="1"/>
  <c r="AD75" i="1"/>
  <c r="AE75" i="1"/>
  <c r="AF75" i="1"/>
  <c r="CT75" i="1" s="1"/>
  <c r="S75" i="1" s="1"/>
  <c r="AG75" i="1"/>
  <c r="AH75" i="1"/>
  <c r="AI75" i="1"/>
  <c r="AJ75" i="1"/>
  <c r="CX75" i="1" s="1"/>
  <c r="W75" i="1" s="1"/>
  <c r="CQ75" i="1"/>
  <c r="P75" i="1" s="1"/>
  <c r="CR75" i="1"/>
  <c r="CS75" i="1"/>
  <c r="CU75" i="1"/>
  <c r="T75" i="1" s="1"/>
  <c r="CV75" i="1"/>
  <c r="U75" i="1" s="1"/>
  <c r="CW75" i="1"/>
  <c r="FR75" i="1"/>
  <c r="GL75" i="1"/>
  <c r="GN75" i="1"/>
  <c r="CB87" i="1" s="1"/>
  <c r="GO75" i="1"/>
  <c r="GV75" i="1"/>
  <c r="HC75" i="1" s="1"/>
  <c r="GX75" i="1"/>
  <c r="C76" i="1"/>
  <c r="D76" i="1"/>
  <c r="I76" i="1"/>
  <c r="Q76" i="1"/>
  <c r="U76" i="1"/>
  <c r="V76" i="1"/>
  <c r="AC76" i="1"/>
  <c r="AD76" i="1"/>
  <c r="AE76" i="1"/>
  <c r="AF76" i="1"/>
  <c r="AG76" i="1"/>
  <c r="CU76" i="1" s="1"/>
  <c r="T76" i="1" s="1"/>
  <c r="AH76" i="1"/>
  <c r="AI76" i="1"/>
  <c r="AJ76" i="1"/>
  <c r="CX76" i="1" s="1"/>
  <c r="W76" i="1" s="1"/>
  <c r="CR76" i="1"/>
  <c r="CS76" i="1"/>
  <c r="R76" i="1" s="1"/>
  <c r="CT76" i="1"/>
  <c r="S76" i="1" s="1"/>
  <c r="CV76" i="1"/>
  <c r="CW76" i="1"/>
  <c r="FR76" i="1"/>
  <c r="GK76" i="1"/>
  <c r="GL76" i="1"/>
  <c r="GN76" i="1"/>
  <c r="GO76" i="1"/>
  <c r="GV76" i="1"/>
  <c r="HC76" i="1"/>
  <c r="GX76" i="1" s="1"/>
  <c r="I77" i="1"/>
  <c r="T77" i="1"/>
  <c r="AC77" i="1"/>
  <c r="AE77" i="1"/>
  <c r="CS77" i="1" s="1"/>
  <c r="R77" i="1" s="1"/>
  <c r="AF77" i="1"/>
  <c r="AG77" i="1"/>
  <c r="AH77" i="1"/>
  <c r="CV77" i="1" s="1"/>
  <c r="U77" i="1" s="1"/>
  <c r="AI77" i="1"/>
  <c r="CW77" i="1" s="1"/>
  <c r="V77" i="1" s="1"/>
  <c r="AJ77" i="1"/>
  <c r="CQ77" i="1"/>
  <c r="P77" i="1" s="1"/>
  <c r="CT77" i="1"/>
  <c r="S77" i="1" s="1"/>
  <c r="CU77" i="1"/>
  <c r="CX77" i="1"/>
  <c r="W77" i="1" s="1"/>
  <c r="FR77" i="1"/>
  <c r="GL77" i="1"/>
  <c r="GN77" i="1"/>
  <c r="GO77" i="1"/>
  <c r="GV77" i="1"/>
  <c r="HC77" i="1" s="1"/>
  <c r="GX77" i="1" s="1"/>
  <c r="C78" i="1"/>
  <c r="D78" i="1"/>
  <c r="I78" i="1"/>
  <c r="T78" i="1"/>
  <c r="X78" i="1"/>
  <c r="AC78" i="1"/>
  <c r="AB78" i="1" s="1"/>
  <c r="AD78" i="1"/>
  <c r="AE78" i="1"/>
  <c r="CS78" i="1" s="1"/>
  <c r="R78" i="1" s="1"/>
  <c r="GK78" i="1" s="1"/>
  <c r="AF78" i="1"/>
  <c r="AG78" i="1"/>
  <c r="AH78" i="1"/>
  <c r="AI78" i="1"/>
  <c r="CW78" i="1" s="1"/>
  <c r="V78" i="1" s="1"/>
  <c r="AJ78" i="1"/>
  <c r="CQ78" i="1"/>
  <c r="P78" i="1" s="1"/>
  <c r="CP78" i="1" s="1"/>
  <c r="O78" i="1" s="1"/>
  <c r="CR78" i="1"/>
  <c r="Q78" i="1" s="1"/>
  <c r="CT78" i="1"/>
  <c r="S78" i="1" s="1"/>
  <c r="CZ78" i="1" s="1"/>
  <c r="Y78" i="1" s="1"/>
  <c r="CU78" i="1"/>
  <c r="CV78" i="1"/>
  <c r="U78" i="1" s="1"/>
  <c r="CX78" i="1"/>
  <c r="W78" i="1" s="1"/>
  <c r="CY78" i="1"/>
  <c r="FR78" i="1"/>
  <c r="GL78" i="1"/>
  <c r="GN78" i="1"/>
  <c r="GO78" i="1"/>
  <c r="GV78" i="1"/>
  <c r="HC78" i="1" s="1"/>
  <c r="GX78" i="1" s="1"/>
  <c r="I79" i="1"/>
  <c r="R79" i="1"/>
  <c r="GK79" i="1" s="1"/>
  <c r="S79" i="1"/>
  <c r="AC79" i="1"/>
  <c r="AE79" i="1"/>
  <c r="AD79" i="1" s="1"/>
  <c r="AF79" i="1"/>
  <c r="AG79" i="1"/>
  <c r="CU79" i="1" s="1"/>
  <c r="T79" i="1" s="1"/>
  <c r="AH79" i="1"/>
  <c r="AI79" i="1"/>
  <c r="AJ79" i="1"/>
  <c r="CX79" i="1" s="1"/>
  <c r="W79" i="1" s="1"/>
  <c r="CR79" i="1"/>
  <c r="Q79" i="1" s="1"/>
  <c r="CS79" i="1"/>
  <c r="CT79" i="1"/>
  <c r="CV79" i="1"/>
  <c r="U79" i="1" s="1"/>
  <c r="CW79" i="1"/>
  <c r="V79" i="1" s="1"/>
  <c r="FR79" i="1"/>
  <c r="GL79" i="1"/>
  <c r="GN79" i="1"/>
  <c r="GO79" i="1"/>
  <c r="CC87" i="1" s="1"/>
  <c r="GV79" i="1"/>
  <c r="GX79" i="1"/>
  <c r="HC79" i="1"/>
  <c r="I80" i="1"/>
  <c r="P80" i="1"/>
  <c r="X80" i="1"/>
  <c r="AC80" i="1"/>
  <c r="AD80" i="1"/>
  <c r="AE80" i="1"/>
  <c r="CS80" i="1" s="1"/>
  <c r="R80" i="1" s="1"/>
  <c r="GK80" i="1" s="1"/>
  <c r="AF80" i="1"/>
  <c r="AG80" i="1"/>
  <c r="AH80" i="1"/>
  <c r="CV80" i="1" s="1"/>
  <c r="U80" i="1" s="1"/>
  <c r="AI80" i="1"/>
  <c r="CW80" i="1" s="1"/>
  <c r="V80" i="1" s="1"/>
  <c r="AJ80" i="1"/>
  <c r="CQ80" i="1"/>
  <c r="CR80" i="1"/>
  <c r="Q80" i="1" s="1"/>
  <c r="CT80" i="1"/>
  <c r="S80" i="1" s="1"/>
  <c r="CU80" i="1"/>
  <c r="T80" i="1" s="1"/>
  <c r="CX80" i="1"/>
  <c r="W80" i="1" s="1"/>
  <c r="CY80" i="1"/>
  <c r="CZ80" i="1"/>
  <c r="Y80" i="1" s="1"/>
  <c r="FR80" i="1"/>
  <c r="GL80" i="1"/>
  <c r="GN80" i="1"/>
  <c r="GO80" i="1"/>
  <c r="GV80" i="1"/>
  <c r="HC80" i="1" s="1"/>
  <c r="GX80" i="1" s="1"/>
  <c r="I81" i="1"/>
  <c r="P81" i="1"/>
  <c r="R81" i="1"/>
  <c r="GK81" i="1" s="1"/>
  <c r="V81" i="1"/>
  <c r="AC81" i="1"/>
  <c r="AD81" i="1"/>
  <c r="AE81" i="1"/>
  <c r="AF81" i="1"/>
  <c r="CT81" i="1" s="1"/>
  <c r="S81" i="1" s="1"/>
  <c r="AG81" i="1"/>
  <c r="AH81" i="1"/>
  <c r="CV81" i="1" s="1"/>
  <c r="U81" i="1" s="1"/>
  <c r="AI81" i="1"/>
  <c r="AJ81" i="1"/>
  <c r="CX81" i="1" s="1"/>
  <c r="W81" i="1" s="1"/>
  <c r="CQ81" i="1"/>
  <c r="CR81" i="1"/>
  <c r="Q81" i="1" s="1"/>
  <c r="CS81" i="1"/>
  <c r="CU81" i="1"/>
  <c r="T81" i="1" s="1"/>
  <c r="CW81" i="1"/>
  <c r="FR81" i="1"/>
  <c r="GL81" i="1"/>
  <c r="GN81" i="1"/>
  <c r="GO81" i="1"/>
  <c r="GV81" i="1"/>
  <c r="HC81" i="1"/>
  <c r="GX81" i="1" s="1"/>
  <c r="I82" i="1"/>
  <c r="P82" i="1"/>
  <c r="Q82" i="1"/>
  <c r="R82" i="1"/>
  <c r="GK82" i="1" s="1"/>
  <c r="X82" i="1"/>
  <c r="AC82" i="1"/>
  <c r="AD82" i="1"/>
  <c r="AE82" i="1"/>
  <c r="AF82" i="1"/>
  <c r="CT82" i="1" s="1"/>
  <c r="S82" i="1" s="1"/>
  <c r="CY82" i="1" s="1"/>
  <c r="AG82" i="1"/>
  <c r="AH82" i="1"/>
  <c r="CV82" i="1" s="1"/>
  <c r="U82" i="1" s="1"/>
  <c r="AI82" i="1"/>
  <c r="AJ82" i="1"/>
  <c r="CX82" i="1" s="1"/>
  <c r="W82" i="1" s="1"/>
  <c r="CQ82" i="1"/>
  <c r="CR82" i="1"/>
  <c r="CS82" i="1"/>
  <c r="CU82" i="1"/>
  <c r="T82" i="1" s="1"/>
  <c r="CW82" i="1"/>
  <c r="V82" i="1" s="1"/>
  <c r="CZ82" i="1"/>
  <c r="Y82" i="1" s="1"/>
  <c r="FR82" i="1"/>
  <c r="GL82" i="1"/>
  <c r="GN82" i="1"/>
  <c r="GO82" i="1"/>
  <c r="GV82" i="1"/>
  <c r="HC82" i="1" s="1"/>
  <c r="GX82" i="1"/>
  <c r="I83" i="1"/>
  <c r="T83" i="1" s="1"/>
  <c r="AC83" i="1"/>
  <c r="AD83" i="1"/>
  <c r="AB83" i="1" s="1"/>
  <c r="AE83" i="1"/>
  <c r="AF83" i="1"/>
  <c r="CT83" i="1" s="1"/>
  <c r="AG83" i="1"/>
  <c r="AH83" i="1"/>
  <c r="CV83" i="1" s="1"/>
  <c r="AI83" i="1"/>
  <c r="AJ83" i="1"/>
  <c r="CQ83" i="1"/>
  <c r="P83" i="1" s="1"/>
  <c r="CR83" i="1"/>
  <c r="CS83" i="1"/>
  <c r="CU83" i="1"/>
  <c r="CW83" i="1"/>
  <c r="V83" i="1" s="1"/>
  <c r="CX83" i="1"/>
  <c r="FR83" i="1"/>
  <c r="GL83" i="1"/>
  <c r="GN83" i="1"/>
  <c r="GO83" i="1"/>
  <c r="GV83" i="1"/>
  <c r="HC83" i="1" s="1"/>
  <c r="I84" i="1"/>
  <c r="S84" i="1" s="1"/>
  <c r="AC84" i="1"/>
  <c r="CQ84" i="1" s="1"/>
  <c r="P84" i="1" s="1"/>
  <c r="CP84" i="1" s="1"/>
  <c r="O84" i="1" s="1"/>
  <c r="AE84" i="1"/>
  <c r="AD84" i="1" s="1"/>
  <c r="AF84" i="1"/>
  <c r="AG84" i="1"/>
  <c r="CU84" i="1" s="1"/>
  <c r="AH84" i="1"/>
  <c r="AI84" i="1"/>
  <c r="AJ84" i="1"/>
  <c r="CX84" i="1" s="1"/>
  <c r="CR84" i="1"/>
  <c r="Q84" i="1" s="1"/>
  <c r="CS84" i="1"/>
  <c r="CT84" i="1"/>
  <c r="CV84" i="1"/>
  <c r="U84" i="1" s="1"/>
  <c r="CW84" i="1"/>
  <c r="V84" i="1" s="1"/>
  <c r="FR84" i="1"/>
  <c r="GL84" i="1"/>
  <c r="GN84" i="1"/>
  <c r="GO84" i="1"/>
  <c r="GV84" i="1"/>
  <c r="HC84" i="1"/>
  <c r="S85" i="1"/>
  <c r="U85" i="1"/>
  <c r="AB85" i="1"/>
  <c r="AC85" i="1"/>
  <c r="CQ85" i="1" s="1"/>
  <c r="P85" i="1" s="1"/>
  <c r="AE85" i="1"/>
  <c r="AD85" i="1" s="1"/>
  <c r="AF85" i="1"/>
  <c r="AG85" i="1"/>
  <c r="CU85" i="1" s="1"/>
  <c r="T85" i="1" s="1"/>
  <c r="AH85" i="1"/>
  <c r="AI85" i="1"/>
  <c r="AJ85" i="1"/>
  <c r="CX85" i="1" s="1"/>
  <c r="W85" i="1" s="1"/>
  <c r="CR85" i="1"/>
  <c r="Q85" i="1" s="1"/>
  <c r="CS85" i="1"/>
  <c r="R85" i="1" s="1"/>
  <c r="CT85" i="1"/>
  <c r="CV85" i="1"/>
  <c r="CW85" i="1"/>
  <c r="V85" i="1" s="1"/>
  <c r="FR85" i="1"/>
  <c r="GL85" i="1"/>
  <c r="GN85" i="1"/>
  <c r="GO85" i="1"/>
  <c r="GV85" i="1"/>
  <c r="HC85" i="1"/>
  <c r="GX85" i="1" s="1"/>
  <c r="B87" i="1"/>
  <c r="B73" i="1" s="1"/>
  <c r="C87" i="1"/>
  <c r="D87" i="1"/>
  <c r="D73" i="1" s="1"/>
  <c r="F87" i="1"/>
  <c r="F73" i="1" s="1"/>
  <c r="G87" i="1"/>
  <c r="G73" i="1" s="1"/>
  <c r="BB87" i="1"/>
  <c r="BB73" i="1" s="1"/>
  <c r="BX87" i="1"/>
  <c r="BX73" i="1" s="1"/>
  <c r="BY87" i="1"/>
  <c r="CK87" i="1"/>
  <c r="CL87" i="1"/>
  <c r="F100" i="1"/>
  <c r="D118" i="1"/>
  <c r="E120" i="1"/>
  <c r="G120" i="1"/>
  <c r="Z120" i="1"/>
  <c r="AA120" i="1"/>
  <c r="AM120" i="1"/>
  <c r="AN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C122" i="1"/>
  <c r="D122" i="1"/>
  <c r="I122" i="1"/>
  <c r="S122" i="1"/>
  <c r="V122" i="1"/>
  <c r="AC122" i="1"/>
  <c r="AD122" i="1"/>
  <c r="AE122" i="1"/>
  <c r="AF122" i="1"/>
  <c r="AG122" i="1"/>
  <c r="AH122" i="1"/>
  <c r="CV122" i="1" s="1"/>
  <c r="U122" i="1" s="1"/>
  <c r="AI122" i="1"/>
  <c r="AJ122" i="1"/>
  <c r="CQ122" i="1"/>
  <c r="P122" i="1" s="1"/>
  <c r="CR122" i="1"/>
  <c r="CS122" i="1"/>
  <c r="CT122" i="1"/>
  <c r="CU122" i="1"/>
  <c r="T122" i="1" s="1"/>
  <c r="CW122" i="1"/>
  <c r="CX122" i="1"/>
  <c r="FR122" i="1"/>
  <c r="GL122" i="1"/>
  <c r="GN122" i="1"/>
  <c r="GO122" i="1"/>
  <c r="GV122" i="1"/>
  <c r="HC122" i="1"/>
  <c r="GX122" i="1" s="1"/>
  <c r="C123" i="1"/>
  <c r="D123" i="1"/>
  <c r="I123" i="1"/>
  <c r="AC123" i="1"/>
  <c r="AD123" i="1"/>
  <c r="AE123" i="1"/>
  <c r="AF123" i="1"/>
  <c r="AG123" i="1"/>
  <c r="AH123" i="1"/>
  <c r="CV123" i="1" s="1"/>
  <c r="U123" i="1" s="1"/>
  <c r="AI123" i="1"/>
  <c r="AJ123" i="1"/>
  <c r="CQ123" i="1"/>
  <c r="P123" i="1" s="1"/>
  <c r="CR123" i="1"/>
  <c r="CS123" i="1"/>
  <c r="CT123" i="1"/>
  <c r="S123" i="1" s="1"/>
  <c r="CZ123" i="1" s="1"/>
  <c r="Y123" i="1" s="1"/>
  <c r="CU123" i="1"/>
  <c r="T123" i="1" s="1"/>
  <c r="CW123" i="1"/>
  <c r="CX123" i="1"/>
  <c r="CY123" i="1"/>
  <c r="X123" i="1" s="1"/>
  <c r="FR123" i="1"/>
  <c r="GL123" i="1"/>
  <c r="GN123" i="1"/>
  <c r="GO123" i="1"/>
  <c r="GV123" i="1"/>
  <c r="HC123" i="1"/>
  <c r="GX123" i="1" s="1"/>
  <c r="C124" i="1"/>
  <c r="D124" i="1"/>
  <c r="I124" i="1"/>
  <c r="S124" i="1"/>
  <c r="T124" i="1"/>
  <c r="AC124" i="1"/>
  <c r="AD124" i="1"/>
  <c r="AE124" i="1"/>
  <c r="AF124" i="1"/>
  <c r="CT124" i="1" s="1"/>
  <c r="AG124" i="1"/>
  <c r="AH124" i="1"/>
  <c r="CV124" i="1" s="1"/>
  <c r="AI124" i="1"/>
  <c r="AJ124" i="1"/>
  <c r="CQ124" i="1"/>
  <c r="P124" i="1" s="1"/>
  <c r="CR124" i="1"/>
  <c r="Q124" i="1" s="1"/>
  <c r="CS124" i="1"/>
  <c r="R124" i="1" s="1"/>
  <c r="CU124" i="1"/>
  <c r="CW124" i="1"/>
  <c r="V124" i="1" s="1"/>
  <c r="CX124" i="1"/>
  <c r="W124" i="1" s="1"/>
  <c r="FR124" i="1"/>
  <c r="GK124" i="1"/>
  <c r="GL124" i="1"/>
  <c r="GN124" i="1"/>
  <c r="GO124" i="1"/>
  <c r="GV124" i="1"/>
  <c r="HC124" i="1"/>
  <c r="GX124" i="1" s="1"/>
  <c r="I125" i="1"/>
  <c r="P125" i="1"/>
  <c r="U125" i="1"/>
  <c r="AC125" i="1"/>
  <c r="AE125" i="1"/>
  <c r="AF125" i="1"/>
  <c r="CT125" i="1" s="1"/>
  <c r="S125" i="1" s="1"/>
  <c r="AG125" i="1"/>
  <c r="AH125" i="1"/>
  <c r="CV125" i="1" s="1"/>
  <c r="AI125" i="1"/>
  <c r="CW125" i="1" s="1"/>
  <c r="V125" i="1" s="1"/>
  <c r="AJ125" i="1"/>
  <c r="CX125" i="1" s="1"/>
  <c r="W125" i="1" s="1"/>
  <c r="CQ125" i="1"/>
  <c r="CU125" i="1"/>
  <c r="T125" i="1" s="1"/>
  <c r="CY125" i="1"/>
  <c r="X125" i="1" s="1"/>
  <c r="CZ125" i="1"/>
  <c r="Y125" i="1" s="1"/>
  <c r="FR125" i="1"/>
  <c r="GL125" i="1"/>
  <c r="GN125" i="1"/>
  <c r="GO125" i="1"/>
  <c r="GV125" i="1"/>
  <c r="HC125" i="1" s="1"/>
  <c r="GX125" i="1" s="1"/>
  <c r="C126" i="1"/>
  <c r="D126" i="1"/>
  <c r="I126" i="1"/>
  <c r="S126" i="1" s="1"/>
  <c r="V126" i="1"/>
  <c r="AC126" i="1"/>
  <c r="CQ126" i="1" s="1"/>
  <c r="AE126" i="1"/>
  <c r="AD126" i="1" s="1"/>
  <c r="AF126" i="1"/>
  <c r="AG126" i="1"/>
  <c r="CU126" i="1" s="1"/>
  <c r="AH126" i="1"/>
  <c r="AI126" i="1"/>
  <c r="AJ126" i="1"/>
  <c r="CR126" i="1"/>
  <c r="CS126" i="1"/>
  <c r="R126" i="1" s="1"/>
  <c r="GK126" i="1" s="1"/>
  <c r="CT126" i="1"/>
  <c r="CV126" i="1"/>
  <c r="CW126" i="1"/>
  <c r="CX126" i="1"/>
  <c r="W126" i="1" s="1"/>
  <c r="FR126" i="1"/>
  <c r="GL126" i="1"/>
  <c r="GN126" i="1"/>
  <c r="GO126" i="1"/>
  <c r="GV126" i="1"/>
  <c r="HC126" i="1"/>
  <c r="GX126" i="1" s="1"/>
  <c r="AC127" i="1"/>
  <c r="AD127" i="1"/>
  <c r="AE127" i="1"/>
  <c r="CS127" i="1" s="1"/>
  <c r="AF127" i="1"/>
  <c r="AG127" i="1"/>
  <c r="AH127" i="1"/>
  <c r="CV127" i="1" s="1"/>
  <c r="AI127" i="1"/>
  <c r="CW127" i="1" s="1"/>
  <c r="AJ127" i="1"/>
  <c r="CQ127" i="1"/>
  <c r="CR127" i="1"/>
  <c r="CT127" i="1"/>
  <c r="CU127" i="1"/>
  <c r="CX127" i="1"/>
  <c r="FR127" i="1"/>
  <c r="GL127" i="1"/>
  <c r="GN127" i="1"/>
  <c r="GO127" i="1"/>
  <c r="GV127" i="1"/>
  <c r="HC127" i="1" s="1"/>
  <c r="AB128" i="1"/>
  <c r="AC128" i="1"/>
  <c r="CQ128" i="1" s="1"/>
  <c r="AE128" i="1"/>
  <c r="AD128" i="1" s="1"/>
  <c r="AF128" i="1"/>
  <c r="AG128" i="1"/>
  <c r="CU128" i="1" s="1"/>
  <c r="AH128" i="1"/>
  <c r="AI128" i="1"/>
  <c r="AJ128" i="1"/>
  <c r="CX128" i="1" s="1"/>
  <c r="CR128" i="1"/>
  <c r="CS128" i="1"/>
  <c r="CT128" i="1"/>
  <c r="CV128" i="1"/>
  <c r="CW128" i="1"/>
  <c r="FR128" i="1"/>
  <c r="GL128" i="1"/>
  <c r="GN128" i="1"/>
  <c r="GO128" i="1"/>
  <c r="GV128" i="1"/>
  <c r="HC128" i="1"/>
  <c r="C129" i="1"/>
  <c r="D129" i="1"/>
  <c r="I129" i="1"/>
  <c r="CX71" i="3" s="1"/>
  <c r="AC129" i="1"/>
  <c r="CQ129" i="1" s="1"/>
  <c r="AE129" i="1"/>
  <c r="AD129" i="1" s="1"/>
  <c r="AF129" i="1"/>
  <c r="AG129" i="1"/>
  <c r="CU129" i="1" s="1"/>
  <c r="AH129" i="1"/>
  <c r="AI129" i="1"/>
  <c r="AJ129" i="1"/>
  <c r="CR129" i="1"/>
  <c r="CS129" i="1"/>
  <c r="CT129" i="1"/>
  <c r="CV129" i="1"/>
  <c r="CW129" i="1"/>
  <c r="CX129" i="1"/>
  <c r="FR129" i="1"/>
  <c r="GL129" i="1"/>
  <c r="GN129" i="1"/>
  <c r="GO129" i="1"/>
  <c r="GV129" i="1"/>
  <c r="HC129" i="1"/>
  <c r="C130" i="1"/>
  <c r="D130" i="1"/>
  <c r="I130" i="1"/>
  <c r="CX72" i="3" s="1"/>
  <c r="AC130" i="1"/>
  <c r="CQ130" i="1" s="1"/>
  <c r="AE130" i="1"/>
  <c r="AD130" i="1" s="1"/>
  <c r="AF130" i="1"/>
  <c r="AG130" i="1"/>
  <c r="CU130" i="1" s="1"/>
  <c r="AH130" i="1"/>
  <c r="AI130" i="1"/>
  <c r="AJ130" i="1"/>
  <c r="CR130" i="1"/>
  <c r="CS130" i="1"/>
  <c r="CT130" i="1"/>
  <c r="CV130" i="1"/>
  <c r="CW130" i="1"/>
  <c r="CX130" i="1"/>
  <c r="FR130" i="1"/>
  <c r="GL130" i="1"/>
  <c r="GN130" i="1"/>
  <c r="GO130" i="1"/>
  <c r="GV130" i="1"/>
  <c r="HC130" i="1"/>
  <c r="C131" i="1"/>
  <c r="D131" i="1"/>
  <c r="I131" i="1"/>
  <c r="Q265" i="5" s="1"/>
  <c r="AC131" i="1"/>
  <c r="CQ131" i="1" s="1"/>
  <c r="AE131" i="1"/>
  <c r="AD131" i="1" s="1"/>
  <c r="AB131" i="1" s="1"/>
  <c r="AF131" i="1"/>
  <c r="AG131" i="1"/>
  <c r="CU131" i="1" s="1"/>
  <c r="AH131" i="1"/>
  <c r="AI131" i="1"/>
  <c r="AJ131" i="1"/>
  <c r="CX131" i="1" s="1"/>
  <c r="CR131" i="1"/>
  <c r="CS131" i="1"/>
  <c r="CT131" i="1"/>
  <c r="CV131" i="1"/>
  <c r="CW131" i="1"/>
  <c r="FR131" i="1"/>
  <c r="GL131" i="1"/>
  <c r="GN131" i="1"/>
  <c r="GO131" i="1"/>
  <c r="GV131" i="1"/>
  <c r="HC131" i="1"/>
  <c r="C132" i="1"/>
  <c r="D132" i="1"/>
  <c r="I132" i="1"/>
  <c r="Q269" i="5" s="1"/>
  <c r="AC132" i="1"/>
  <c r="AB132" i="1" s="1"/>
  <c r="AD132" i="1"/>
  <c r="AE132" i="1"/>
  <c r="AF132" i="1"/>
  <c r="AG132" i="1"/>
  <c r="CU132" i="1" s="1"/>
  <c r="AH132" i="1"/>
  <c r="CV132" i="1" s="1"/>
  <c r="AI132" i="1"/>
  <c r="AJ132" i="1"/>
  <c r="CR132" i="1"/>
  <c r="CS132" i="1"/>
  <c r="CT132" i="1"/>
  <c r="CW132" i="1"/>
  <c r="CX132" i="1"/>
  <c r="FR132" i="1"/>
  <c r="GL132" i="1"/>
  <c r="GN132" i="1"/>
  <c r="GO132" i="1"/>
  <c r="GV132" i="1"/>
  <c r="HC132" i="1" s="1"/>
  <c r="C133" i="1"/>
  <c r="D133" i="1"/>
  <c r="R133" i="1"/>
  <c r="J275" i="5" s="1"/>
  <c r="AC133" i="1"/>
  <c r="AD133" i="1"/>
  <c r="AB133" i="1" s="1"/>
  <c r="AE133" i="1"/>
  <c r="AF133" i="1"/>
  <c r="CT133" i="1" s="1"/>
  <c r="S133" i="1" s="1"/>
  <c r="CZ133" i="1" s="1"/>
  <c r="Y133" i="1" s="1"/>
  <c r="T273" i="5" s="1"/>
  <c r="AG133" i="1"/>
  <c r="AH133" i="1"/>
  <c r="CV133" i="1" s="1"/>
  <c r="U133" i="1" s="1"/>
  <c r="AI133" i="1"/>
  <c r="AJ133" i="1"/>
  <c r="CX133" i="1" s="1"/>
  <c r="W133" i="1" s="1"/>
  <c r="CQ133" i="1"/>
  <c r="P133" i="1" s="1"/>
  <c r="CR133" i="1"/>
  <c r="Q133" i="1" s="1"/>
  <c r="J274" i="5" s="1"/>
  <c r="I276" i="5" s="1"/>
  <c r="CS133" i="1"/>
  <c r="CU133" i="1"/>
  <c r="T133" i="1" s="1"/>
  <c r="CW133" i="1"/>
  <c r="V133" i="1" s="1"/>
  <c r="FR133" i="1"/>
  <c r="GL133" i="1"/>
  <c r="GN133" i="1"/>
  <c r="GO133" i="1"/>
  <c r="GV133" i="1"/>
  <c r="HC133" i="1" s="1"/>
  <c r="GX133" i="1" s="1"/>
  <c r="B135" i="1"/>
  <c r="B120" i="1" s="1"/>
  <c r="C135" i="1"/>
  <c r="C120" i="1" s="1"/>
  <c r="D135" i="1"/>
  <c r="D120" i="1" s="1"/>
  <c r="F135" i="1"/>
  <c r="F120" i="1" s="1"/>
  <c r="G135" i="1"/>
  <c r="BC135" i="1"/>
  <c r="BC120" i="1" s="1"/>
  <c r="BX135" i="1"/>
  <c r="BX120" i="1" s="1"/>
  <c r="CK135" i="1"/>
  <c r="CL135" i="1"/>
  <c r="CL120" i="1" s="1"/>
  <c r="F151" i="1"/>
  <c r="B166" i="1"/>
  <c r="B22" i="1" s="1"/>
  <c r="C166" i="1"/>
  <c r="C22" i="1" s="1"/>
  <c r="D166" i="1"/>
  <c r="D22" i="1" s="1"/>
  <c r="F166" i="1"/>
  <c r="F22" i="1" s="1"/>
  <c r="G166" i="1"/>
  <c r="G22" i="1" s="1"/>
  <c r="B197" i="1"/>
  <c r="B18" i="1" s="1"/>
  <c r="C197" i="1"/>
  <c r="C18" i="1" s="1"/>
  <c r="D197" i="1"/>
  <c r="D18" i="1" s="1"/>
  <c r="F197" i="1"/>
  <c r="F18" i="1" s="1"/>
  <c r="G197" i="1"/>
  <c r="G18" i="1" s="1"/>
  <c r="J108" i="5" l="1"/>
  <c r="I186" i="5"/>
  <c r="J238" i="5"/>
  <c r="J239" i="5"/>
  <c r="J107" i="5"/>
  <c r="J179" i="5"/>
  <c r="J166" i="5"/>
  <c r="J167" i="5"/>
  <c r="J119" i="5"/>
  <c r="J177" i="5"/>
  <c r="J178" i="5"/>
  <c r="J249" i="5"/>
  <c r="J250" i="5"/>
  <c r="J120" i="5"/>
  <c r="J118" i="5"/>
  <c r="I158" i="5"/>
  <c r="K158" i="5" s="1"/>
  <c r="J165" i="5"/>
  <c r="I169" i="5" s="1"/>
  <c r="I230" i="5"/>
  <c r="J237" i="5"/>
  <c r="I241" i="5" s="1"/>
  <c r="K241" i="5" s="1"/>
  <c r="J106" i="5"/>
  <c r="K141" i="5"/>
  <c r="P141" i="5"/>
  <c r="K145" i="5"/>
  <c r="P145" i="5"/>
  <c r="P230" i="5"/>
  <c r="K230" i="5"/>
  <c r="I99" i="5"/>
  <c r="I110" i="5"/>
  <c r="I127" i="5"/>
  <c r="I133" i="5"/>
  <c r="I192" i="5"/>
  <c r="K137" i="5"/>
  <c r="P137" i="5"/>
  <c r="I181" i="5"/>
  <c r="K186" i="5"/>
  <c r="P186" i="5"/>
  <c r="I220" i="5"/>
  <c r="P196" i="5"/>
  <c r="P200" i="5"/>
  <c r="P204" i="5"/>
  <c r="CC135" i="1"/>
  <c r="AT135" i="1" s="1"/>
  <c r="AT120" i="1" s="1"/>
  <c r="V132" i="1"/>
  <c r="S131" i="1"/>
  <c r="R131" i="1"/>
  <c r="J267" i="5" s="1"/>
  <c r="GX130" i="1"/>
  <c r="W131" i="1"/>
  <c r="W130" i="1"/>
  <c r="R130" i="1"/>
  <c r="GK130" i="1" s="1"/>
  <c r="W132" i="1"/>
  <c r="Q132" i="1"/>
  <c r="J270" i="5" s="1"/>
  <c r="I272" i="5" s="1"/>
  <c r="P272" i="5" s="1"/>
  <c r="T132" i="1"/>
  <c r="V130" i="1"/>
  <c r="CY133" i="1"/>
  <c r="X133" i="1" s="1"/>
  <c r="R273" i="5" s="1"/>
  <c r="CB135" i="1"/>
  <c r="CB120" i="1" s="1"/>
  <c r="BY135" i="1"/>
  <c r="BY120" i="1" s="1"/>
  <c r="K276" i="5"/>
  <c r="P276" i="5"/>
  <c r="F153" i="1"/>
  <c r="W129" i="1"/>
  <c r="P129" i="1"/>
  <c r="CP133" i="1"/>
  <c r="O133" i="1" s="1"/>
  <c r="GP133" i="1" s="1"/>
  <c r="S132" i="1"/>
  <c r="CZ132" i="1" s="1"/>
  <c r="Y132" i="1" s="1"/>
  <c r="T269" i="5" s="1"/>
  <c r="V131" i="1"/>
  <c r="GX129" i="1"/>
  <c r="V129" i="1"/>
  <c r="Q129" i="1"/>
  <c r="J255" i="5" s="1"/>
  <c r="T129" i="1"/>
  <c r="S129" i="1"/>
  <c r="CY129" i="1" s="1"/>
  <c r="X129" i="1" s="1"/>
  <c r="U254" i="5"/>
  <c r="Q259" i="5"/>
  <c r="S265" i="5"/>
  <c r="V265" i="5"/>
  <c r="S269" i="5"/>
  <c r="V269" i="5"/>
  <c r="GX132" i="1"/>
  <c r="R132" i="1"/>
  <c r="J271" i="5" s="1"/>
  <c r="U132" i="1"/>
  <c r="U129" i="1"/>
  <c r="R129" i="1"/>
  <c r="E254" i="5"/>
  <c r="S259" i="5"/>
  <c r="V259" i="5"/>
  <c r="U265" i="5"/>
  <c r="U269" i="5"/>
  <c r="Q254" i="5"/>
  <c r="U259" i="5"/>
  <c r="E265" i="5"/>
  <c r="E269" i="5"/>
  <c r="S254" i="5"/>
  <c r="V254" i="5"/>
  <c r="J257" i="5" s="1"/>
  <c r="E259" i="5"/>
  <c r="U127" i="1"/>
  <c r="CB73" i="1"/>
  <c r="AS87" i="1"/>
  <c r="GX128" i="1"/>
  <c r="CY131" i="1"/>
  <c r="X131" i="1" s="1"/>
  <c r="R265" i="5" s="1"/>
  <c r="CZ131" i="1"/>
  <c r="Y131" i="1" s="1"/>
  <c r="T265" i="5" s="1"/>
  <c r="CY126" i="1"/>
  <c r="X126" i="1" s="1"/>
  <c r="CZ126" i="1"/>
  <c r="Y126" i="1" s="1"/>
  <c r="CY84" i="1"/>
  <c r="X84" i="1" s="1"/>
  <c r="GM84" i="1" s="1"/>
  <c r="CZ84" i="1"/>
  <c r="Y84" i="1" s="1"/>
  <c r="W128" i="1"/>
  <c r="S128" i="1"/>
  <c r="AP135" i="1"/>
  <c r="CP122" i="1"/>
  <c r="O122" i="1" s="1"/>
  <c r="GM78" i="1"/>
  <c r="GP78" i="1"/>
  <c r="W127" i="1"/>
  <c r="AD125" i="1"/>
  <c r="AB125" i="1" s="1"/>
  <c r="CR125" i="1"/>
  <c r="Q125" i="1" s="1"/>
  <c r="CC73" i="1"/>
  <c r="AT87" i="1"/>
  <c r="CZ77" i="1"/>
  <c r="Y77" i="1" s="1"/>
  <c r="GK77" i="1"/>
  <c r="CX73" i="3"/>
  <c r="CX74" i="3"/>
  <c r="Q130" i="1"/>
  <c r="P130" i="1"/>
  <c r="S130" i="1"/>
  <c r="J260" i="5" s="1"/>
  <c r="AB129" i="1"/>
  <c r="AB127" i="1"/>
  <c r="Q126" i="1"/>
  <c r="P126" i="1"/>
  <c r="CP126" i="1" s="1"/>
  <c r="O126" i="1" s="1"/>
  <c r="CS125" i="1"/>
  <c r="R125" i="1" s="1"/>
  <c r="GK125" i="1" s="1"/>
  <c r="BZ135" i="1"/>
  <c r="CP124" i="1"/>
  <c r="O124" i="1" s="1"/>
  <c r="CZ124" i="1"/>
  <c r="Y124" i="1" s="1"/>
  <c r="CY124" i="1"/>
  <c r="X124" i="1" s="1"/>
  <c r="AB123" i="1"/>
  <c r="CX49" i="3"/>
  <c r="CX53" i="3"/>
  <c r="CX48" i="3"/>
  <c r="CX52" i="3"/>
  <c r="CX46" i="3"/>
  <c r="CX50" i="3"/>
  <c r="CX47" i="3"/>
  <c r="CZ122" i="1"/>
  <c r="Y122" i="1" s="1"/>
  <c r="CL73" i="1"/>
  <c r="BC87" i="1"/>
  <c r="CY85" i="1"/>
  <c r="X85" i="1" s="1"/>
  <c r="CZ85" i="1"/>
  <c r="Y85" i="1" s="1"/>
  <c r="T84" i="1"/>
  <c r="AG87" i="1" s="1"/>
  <c r="AB84" i="1"/>
  <c r="GX83" i="1"/>
  <c r="S83" i="1"/>
  <c r="W83" i="1"/>
  <c r="AJ87" i="1" s="1"/>
  <c r="CZ81" i="1"/>
  <c r="Y81" i="1" s="1"/>
  <c r="CY81" i="1"/>
  <c r="X81" i="1" s="1"/>
  <c r="AB81" i="1"/>
  <c r="CP81" i="1"/>
  <c r="O81" i="1" s="1"/>
  <c r="CY77" i="1"/>
  <c r="X77" i="1" s="1"/>
  <c r="CR77" i="1"/>
  <c r="Q77" i="1" s="1"/>
  <c r="AD77" i="1"/>
  <c r="CB26" i="1"/>
  <c r="AS40" i="1"/>
  <c r="GX36" i="1"/>
  <c r="BY40" i="1"/>
  <c r="GK29" i="1"/>
  <c r="BZ40" i="1"/>
  <c r="CZ129" i="1"/>
  <c r="Y129" i="1" s="1"/>
  <c r="T254" i="5" s="1"/>
  <c r="T128" i="1"/>
  <c r="CX65" i="3"/>
  <c r="CX69" i="3"/>
  <c r="CX64" i="3"/>
  <c r="CX68" i="3"/>
  <c r="CX66" i="3"/>
  <c r="CX70" i="3"/>
  <c r="CX67" i="3"/>
  <c r="I127" i="1"/>
  <c r="T127" i="1" s="1"/>
  <c r="CY79" i="1"/>
  <c r="X79" i="1" s="1"/>
  <c r="CZ79" i="1"/>
  <c r="Y79" i="1" s="1"/>
  <c r="CP75" i="1"/>
  <c r="O75" i="1" s="1"/>
  <c r="CX21" i="3"/>
  <c r="CX22" i="3"/>
  <c r="P36" i="1"/>
  <c r="T36" i="1"/>
  <c r="CK120" i="1"/>
  <c r="BB135" i="1"/>
  <c r="GX131" i="1"/>
  <c r="Q131" i="1"/>
  <c r="J266" i="5" s="1"/>
  <c r="I268" i="5" s="1"/>
  <c r="P268" i="5" s="1"/>
  <c r="P131" i="1"/>
  <c r="U130" i="1"/>
  <c r="K263" i="5" s="1"/>
  <c r="T130" i="1"/>
  <c r="AB130" i="1"/>
  <c r="I128" i="1"/>
  <c r="U126" i="1"/>
  <c r="T126" i="1"/>
  <c r="AB126" i="1"/>
  <c r="CP125" i="1"/>
  <c r="O125" i="1" s="1"/>
  <c r="AB124" i="1"/>
  <c r="V123" i="1"/>
  <c r="CX45" i="3"/>
  <c r="CX44" i="3"/>
  <c r="W122" i="1"/>
  <c r="R122" i="1"/>
  <c r="BY73" i="1"/>
  <c r="AP87" i="1"/>
  <c r="GX84" i="1"/>
  <c r="R83" i="1"/>
  <c r="AE87" i="1" s="1"/>
  <c r="AB82" i="1"/>
  <c r="CP77" i="1"/>
  <c r="O77" i="1" s="1"/>
  <c r="CJ87" i="1"/>
  <c r="CQ76" i="1"/>
  <c r="P76" i="1" s="1"/>
  <c r="CP76" i="1" s="1"/>
  <c r="O76" i="1" s="1"/>
  <c r="AB76" i="1"/>
  <c r="AO135" i="1"/>
  <c r="CQ132" i="1"/>
  <c r="P132" i="1" s="1"/>
  <c r="U131" i="1"/>
  <c r="T131" i="1"/>
  <c r="Q128" i="1"/>
  <c r="P128" i="1"/>
  <c r="CP128" i="1" s="1"/>
  <c r="O128" i="1" s="1"/>
  <c r="S127" i="1"/>
  <c r="V127" i="1"/>
  <c r="R127" i="1"/>
  <c r="GK127" i="1" s="1"/>
  <c r="CX57" i="3"/>
  <c r="CX61" i="3"/>
  <c r="CX56" i="3"/>
  <c r="CX60" i="3"/>
  <c r="CX54" i="3"/>
  <c r="CX58" i="3"/>
  <c r="CX62" i="3"/>
  <c r="CX55" i="3"/>
  <c r="CX63" i="3"/>
  <c r="CX59" i="3"/>
  <c r="CY122" i="1"/>
  <c r="X122" i="1" s="1"/>
  <c r="AB122" i="1"/>
  <c r="CC120" i="1"/>
  <c r="CP85" i="1"/>
  <c r="O85" i="1" s="1"/>
  <c r="Q83" i="1"/>
  <c r="AD87" i="1" s="1"/>
  <c r="U83" i="1"/>
  <c r="AH87" i="1" s="1"/>
  <c r="CQ79" i="1"/>
  <c r="P79" i="1" s="1"/>
  <c r="CP79" i="1" s="1"/>
  <c r="O79" i="1" s="1"/>
  <c r="AB79" i="1"/>
  <c r="AO26" i="1"/>
  <c r="F44" i="1"/>
  <c r="CX19" i="3"/>
  <c r="GX34" i="1"/>
  <c r="V34" i="1"/>
  <c r="CZ28" i="1"/>
  <c r="Y28" i="1" s="1"/>
  <c r="CY28" i="1"/>
  <c r="X28" i="1" s="1"/>
  <c r="CP28" i="1"/>
  <c r="O28" i="1" s="1"/>
  <c r="CX76" i="3"/>
  <c r="CX75" i="3"/>
  <c r="U124" i="1"/>
  <c r="W123" i="1"/>
  <c r="R123" i="1"/>
  <c r="GK123" i="1" s="1"/>
  <c r="AO87" i="1"/>
  <c r="W84" i="1"/>
  <c r="CP82" i="1"/>
  <c r="O82" i="1" s="1"/>
  <c r="BZ87" i="1"/>
  <c r="AB77" i="1"/>
  <c r="CY76" i="1"/>
  <c r="X76" i="1" s="1"/>
  <c r="CZ76" i="1"/>
  <c r="Y76" i="1" s="1"/>
  <c r="CY75" i="1"/>
  <c r="X75" i="1" s="1"/>
  <c r="CZ75" i="1"/>
  <c r="Y75" i="1" s="1"/>
  <c r="AB75" i="1"/>
  <c r="CC40" i="1"/>
  <c r="CX24" i="3"/>
  <c r="CX23" i="3"/>
  <c r="V36" i="1"/>
  <c r="AD36" i="1"/>
  <c r="AB36" i="1" s="1"/>
  <c r="CR36" i="1"/>
  <c r="Q36" i="1" s="1"/>
  <c r="Q34" i="1"/>
  <c r="U34" i="1"/>
  <c r="Q123" i="1"/>
  <c r="CP123" i="1" s="1"/>
  <c r="O123" i="1" s="1"/>
  <c r="Q122" i="1"/>
  <c r="R84" i="1"/>
  <c r="CP80" i="1"/>
  <c r="O80" i="1" s="1"/>
  <c r="AI87" i="1"/>
  <c r="CP38" i="1"/>
  <c r="O38" i="1" s="1"/>
  <c r="CS36" i="1"/>
  <c r="R36" i="1" s="1"/>
  <c r="AB80" i="1"/>
  <c r="R37" i="1"/>
  <c r="CX29" i="3"/>
  <c r="CX33" i="3"/>
  <c r="CX28" i="3"/>
  <c r="CX32" i="3"/>
  <c r="CX36" i="3"/>
  <c r="CX30" i="3"/>
  <c r="CX34" i="3"/>
  <c r="CX31" i="3"/>
  <c r="CX35" i="3"/>
  <c r="U37" i="1"/>
  <c r="V37" i="1"/>
  <c r="AD37" i="1"/>
  <c r="AB37" i="1" s="1"/>
  <c r="CR37" i="1"/>
  <c r="Q37" i="1" s="1"/>
  <c r="U36" i="1"/>
  <c r="CZ35" i="1"/>
  <c r="Y35" i="1" s="1"/>
  <c r="CY35" i="1"/>
  <c r="X35" i="1" s="1"/>
  <c r="GP35" i="1" s="1"/>
  <c r="AB35" i="1"/>
  <c r="T34" i="1"/>
  <c r="I32" i="1"/>
  <c r="Q31" i="1"/>
  <c r="U31" i="1"/>
  <c r="CX37" i="3"/>
  <c r="CX41" i="3"/>
  <c r="CX40" i="3"/>
  <c r="CX38" i="3"/>
  <c r="CX42" i="3"/>
  <c r="CX39" i="3"/>
  <c r="CX43" i="3"/>
  <c r="CK26" i="1"/>
  <c r="BB40" i="1"/>
  <c r="R34" i="1"/>
  <c r="GK34" i="1" s="1"/>
  <c r="CX13" i="3"/>
  <c r="CX17" i="3"/>
  <c r="CX12" i="3"/>
  <c r="CX16" i="3"/>
  <c r="CX14" i="3"/>
  <c r="CX18" i="3"/>
  <c r="CX15" i="3"/>
  <c r="GX31" i="1"/>
  <c r="CZ29" i="1"/>
  <c r="Y29" i="1" s="1"/>
  <c r="CY29" i="1"/>
  <c r="X29" i="1" s="1"/>
  <c r="AB29" i="1"/>
  <c r="BC40" i="1"/>
  <c r="P37" i="1"/>
  <c r="W33" i="1"/>
  <c r="S33" i="1"/>
  <c r="CP30" i="1"/>
  <c r="O30" i="1" s="1"/>
  <c r="T37" i="1"/>
  <c r="W36" i="1"/>
  <c r="S36" i="1"/>
  <c r="W34" i="1"/>
  <c r="S34" i="1"/>
  <c r="W31" i="1"/>
  <c r="S31" i="1"/>
  <c r="CP29" i="1"/>
  <c r="O29" i="1" s="1"/>
  <c r="AB28" i="1"/>
  <c r="CX7" i="3"/>
  <c r="CX5" i="3"/>
  <c r="CX9" i="3"/>
  <c r="CX4" i="3"/>
  <c r="CX8" i="3"/>
  <c r="CX3" i="3"/>
  <c r="CX2" i="3"/>
  <c r="CX6" i="3"/>
  <c r="CX10" i="3"/>
  <c r="I122" i="5" l="1"/>
  <c r="I253" i="5"/>
  <c r="K169" i="5"/>
  <c r="P169" i="5"/>
  <c r="P158" i="5"/>
  <c r="P241" i="5"/>
  <c r="P220" i="5"/>
  <c r="K220" i="5"/>
  <c r="K192" i="5"/>
  <c r="P192" i="5"/>
  <c r="K110" i="5"/>
  <c r="P110" i="5"/>
  <c r="K127" i="5"/>
  <c r="P127" i="5"/>
  <c r="P122" i="5"/>
  <c r="K122" i="5"/>
  <c r="K253" i="5"/>
  <c r="P253" i="5"/>
  <c r="P181" i="5"/>
  <c r="K181" i="5"/>
  <c r="P133" i="5"/>
  <c r="K133" i="5"/>
  <c r="K99" i="5"/>
  <c r="P99" i="5"/>
  <c r="GM133" i="1"/>
  <c r="CP132" i="1"/>
  <c r="O132" i="1" s="1"/>
  <c r="K272" i="5"/>
  <c r="CY132" i="1"/>
  <c r="X132" i="1" s="1"/>
  <c r="R269" i="5" s="1"/>
  <c r="AS135" i="1"/>
  <c r="F152" i="1" s="1"/>
  <c r="R254" i="5"/>
  <c r="AG135" i="1"/>
  <c r="T135" i="1" s="1"/>
  <c r="J256" i="5"/>
  <c r="GK129" i="1"/>
  <c r="I258" i="5"/>
  <c r="K268" i="5"/>
  <c r="CP129" i="1"/>
  <c r="O129" i="1" s="1"/>
  <c r="GM123" i="1"/>
  <c r="GP123" i="1"/>
  <c r="AE73" i="1"/>
  <c r="R87" i="1"/>
  <c r="CJ40" i="1"/>
  <c r="AH73" i="1"/>
  <c r="U87" i="1"/>
  <c r="AJ73" i="1"/>
  <c r="W87" i="1"/>
  <c r="AG73" i="1"/>
  <c r="T87" i="1"/>
  <c r="Q87" i="1"/>
  <c r="AD73" i="1"/>
  <c r="CZ34" i="1"/>
  <c r="Y34" i="1" s="1"/>
  <c r="CY34" i="1"/>
  <c r="X34" i="1" s="1"/>
  <c r="CZ33" i="1"/>
  <c r="Y33" i="1" s="1"/>
  <c r="CY33" i="1"/>
  <c r="X33" i="1" s="1"/>
  <c r="T32" i="1"/>
  <c r="AG40" i="1" s="1"/>
  <c r="GX32" i="1"/>
  <c r="V32" i="1"/>
  <c r="AI40" i="1" s="1"/>
  <c r="AI73" i="1"/>
  <c r="V87" i="1"/>
  <c r="AL87" i="1"/>
  <c r="GM28" i="1"/>
  <c r="GP28" i="1"/>
  <c r="GP76" i="1"/>
  <c r="GM76" i="1"/>
  <c r="AS26" i="1"/>
  <c r="F57" i="1"/>
  <c r="AS166" i="1"/>
  <c r="BC73" i="1"/>
  <c r="F103" i="1"/>
  <c r="AQ135" i="1"/>
  <c r="BZ120" i="1"/>
  <c r="F144" i="1"/>
  <c r="AP120" i="1"/>
  <c r="CY128" i="1"/>
  <c r="X128" i="1" s="1"/>
  <c r="CZ128" i="1"/>
  <c r="Y128" i="1" s="1"/>
  <c r="GP128" i="1" s="1"/>
  <c r="GP84" i="1"/>
  <c r="GM29" i="1"/>
  <c r="GP29" i="1"/>
  <c r="GM30" i="1"/>
  <c r="GP30" i="1"/>
  <c r="BB26" i="1"/>
  <c r="F53" i="1"/>
  <c r="BB166" i="1"/>
  <c r="U32" i="1"/>
  <c r="GP80" i="1"/>
  <c r="GM80" i="1"/>
  <c r="R32" i="1"/>
  <c r="CC26" i="1"/>
  <c r="AT40" i="1"/>
  <c r="AO73" i="1"/>
  <c r="F91" i="1"/>
  <c r="AO166" i="1"/>
  <c r="AO120" i="1"/>
  <c r="F139" i="1"/>
  <c r="CJ73" i="1"/>
  <c r="BA87" i="1"/>
  <c r="GK122" i="1"/>
  <c r="GM122" i="1" s="1"/>
  <c r="AC87" i="1"/>
  <c r="CP83" i="1"/>
  <c r="O83" i="1" s="1"/>
  <c r="GM81" i="1"/>
  <c r="GP81" i="1"/>
  <c r="AT73" i="1"/>
  <c r="F105" i="1"/>
  <c r="CZ31" i="1"/>
  <c r="Y31" i="1" s="1"/>
  <c r="CY31" i="1"/>
  <c r="X31" i="1" s="1"/>
  <c r="CZ36" i="1"/>
  <c r="Y36" i="1" s="1"/>
  <c r="CY36" i="1"/>
  <c r="X36" i="1" s="1"/>
  <c r="S32" i="1"/>
  <c r="CP37" i="1"/>
  <c r="O37" i="1" s="1"/>
  <c r="AH40" i="1"/>
  <c r="Q32" i="1"/>
  <c r="AD40" i="1" s="1"/>
  <c r="CP33" i="1"/>
  <c r="O33" i="1" s="1"/>
  <c r="AQ87" i="1"/>
  <c r="BZ73" i="1"/>
  <c r="CG87" i="1"/>
  <c r="GM85" i="1"/>
  <c r="GP85" i="1"/>
  <c r="CY127" i="1"/>
  <c r="X127" i="1" s="1"/>
  <c r="CZ127" i="1"/>
  <c r="Y127" i="1" s="1"/>
  <c r="CP31" i="1"/>
  <c r="O31" i="1" s="1"/>
  <c r="GP77" i="1"/>
  <c r="GM77" i="1"/>
  <c r="F96" i="1"/>
  <c r="AP73" i="1"/>
  <c r="AJ135" i="1"/>
  <c r="BB120" i="1"/>
  <c r="F148" i="1"/>
  <c r="CP36" i="1"/>
  <c r="O36" i="1" s="1"/>
  <c r="GP75" i="1"/>
  <c r="GM75" i="1"/>
  <c r="AB87" i="1"/>
  <c r="BZ26" i="1"/>
  <c r="AQ40" i="1"/>
  <c r="CG40" i="1"/>
  <c r="BY26" i="1"/>
  <c r="AP40" i="1"/>
  <c r="CI40" i="1"/>
  <c r="CZ83" i="1"/>
  <c r="Y83" i="1" s="1"/>
  <c r="CY83" i="1"/>
  <c r="X83" i="1" s="1"/>
  <c r="AK87" i="1" s="1"/>
  <c r="AF135" i="1"/>
  <c r="GP126" i="1"/>
  <c r="GM126" i="1"/>
  <c r="CY130" i="1"/>
  <c r="X130" i="1" s="1"/>
  <c r="CZ130" i="1"/>
  <c r="Y130" i="1" s="1"/>
  <c r="T259" i="5" s="1"/>
  <c r="J262" i="5" s="1"/>
  <c r="CP34" i="1"/>
  <c r="O34" i="1" s="1"/>
  <c r="CI135" i="1"/>
  <c r="W32" i="1"/>
  <c r="AJ40" i="1" s="1"/>
  <c r="BC26" i="1"/>
  <c r="F56" i="1"/>
  <c r="BC166" i="1"/>
  <c r="P32" i="1"/>
  <c r="GP38" i="1"/>
  <c r="GM38" i="1"/>
  <c r="AD135" i="1"/>
  <c r="GM82" i="1"/>
  <c r="GP82" i="1"/>
  <c r="GM35" i="1"/>
  <c r="GP79" i="1"/>
  <c r="GM79" i="1"/>
  <c r="GX127" i="1"/>
  <c r="CJ135" i="1" s="1"/>
  <c r="CI87" i="1"/>
  <c r="GP125" i="1"/>
  <c r="GM125" i="1"/>
  <c r="V128" i="1"/>
  <c r="AI135" i="1" s="1"/>
  <c r="R128" i="1"/>
  <c r="GK128" i="1" s="1"/>
  <c r="GM128" i="1" s="1"/>
  <c r="CP131" i="1"/>
  <c r="O131" i="1" s="1"/>
  <c r="U128" i="1"/>
  <c r="AH135" i="1" s="1"/>
  <c r="AL135" i="1"/>
  <c r="GM124" i="1"/>
  <c r="GP124" i="1"/>
  <c r="CP130" i="1"/>
  <c r="O130" i="1" s="1"/>
  <c r="CG135" i="1"/>
  <c r="AF87" i="1"/>
  <c r="P127" i="1"/>
  <c r="Q127" i="1"/>
  <c r="AS73" i="1"/>
  <c r="F104" i="1"/>
  <c r="I206" i="5" l="1"/>
  <c r="I147" i="5"/>
  <c r="GM132" i="1"/>
  <c r="GP132" i="1"/>
  <c r="AG120" i="1"/>
  <c r="AS120" i="1"/>
  <c r="GP129" i="1"/>
  <c r="GM129" i="1"/>
  <c r="P258" i="5"/>
  <c r="K258" i="5"/>
  <c r="AK135" i="1"/>
  <c r="AK120" i="1" s="1"/>
  <c r="R259" i="5"/>
  <c r="J261" i="5" s="1"/>
  <c r="I264" i="5" s="1"/>
  <c r="AK40" i="1"/>
  <c r="V135" i="1"/>
  <c r="AI120" i="1"/>
  <c r="AH120" i="1"/>
  <c r="U135" i="1"/>
  <c r="AK73" i="1"/>
  <c r="X87" i="1"/>
  <c r="AD120" i="1"/>
  <c r="Q135" i="1"/>
  <c r="GM34" i="1"/>
  <c r="GP34" i="1"/>
  <c r="AH26" i="1"/>
  <c r="U40" i="1"/>
  <c r="CJ26" i="1"/>
  <c r="BA40" i="1"/>
  <c r="AL120" i="1"/>
  <c r="Y135" i="1"/>
  <c r="AF120" i="1"/>
  <c r="S135" i="1"/>
  <c r="AP26" i="1"/>
  <c r="F49" i="1"/>
  <c r="AP166" i="1"/>
  <c r="GM31" i="1"/>
  <c r="GP31" i="1"/>
  <c r="AQ73" i="1"/>
  <c r="F97" i="1"/>
  <c r="BB22" i="1"/>
  <c r="F179" i="1"/>
  <c r="BB197" i="1"/>
  <c r="AF73" i="1"/>
  <c r="S87" i="1"/>
  <c r="CI73" i="1"/>
  <c r="AZ87" i="1"/>
  <c r="BC22" i="1"/>
  <c r="BC197" i="1"/>
  <c r="F182" i="1"/>
  <c r="AZ135" i="1"/>
  <c r="CI120" i="1"/>
  <c r="AZ40" i="1"/>
  <c r="CI26" i="1"/>
  <c r="AQ26" i="1"/>
  <c r="F50" i="1"/>
  <c r="AQ166" i="1"/>
  <c r="AJ120" i="1"/>
  <c r="W135" i="1"/>
  <c r="AE135" i="1"/>
  <c r="AI26" i="1"/>
  <c r="V40" i="1"/>
  <c r="F99" i="1"/>
  <c r="Q73" i="1"/>
  <c r="F101" i="1"/>
  <c r="R73" i="1"/>
  <c r="CG120" i="1"/>
  <c r="AX135" i="1"/>
  <c r="CJ120" i="1"/>
  <c r="BA135" i="1"/>
  <c r="GP36" i="1"/>
  <c r="GM36" i="1"/>
  <c r="GM37" i="1"/>
  <c r="GP37" i="1"/>
  <c r="GK32" i="1"/>
  <c r="AE40" i="1"/>
  <c r="AS22" i="1"/>
  <c r="AS197" i="1"/>
  <c r="F183" i="1"/>
  <c r="E16" i="2" s="1"/>
  <c r="AL73" i="1"/>
  <c r="Y87" i="1"/>
  <c r="T73" i="1"/>
  <c r="F108" i="1"/>
  <c r="U73" i="1"/>
  <c r="F109" i="1"/>
  <c r="GP130" i="1"/>
  <c r="GM130" i="1"/>
  <c r="GP122" i="1"/>
  <c r="AB73" i="1"/>
  <c r="O87" i="1"/>
  <c r="GM33" i="1"/>
  <c r="GP33" i="1"/>
  <c r="CZ32" i="1"/>
  <c r="Y32" i="1" s="1"/>
  <c r="AL40" i="1" s="1"/>
  <c r="CY32" i="1"/>
  <c r="X32" i="1" s="1"/>
  <c r="AF40" i="1"/>
  <c r="GP83" i="1"/>
  <c r="CD87" i="1" s="1"/>
  <c r="GM83" i="1"/>
  <c r="CA87" i="1" s="1"/>
  <c r="BA73" i="1"/>
  <c r="F107" i="1"/>
  <c r="AQ120" i="1"/>
  <c r="F145" i="1"/>
  <c r="V73" i="1"/>
  <c r="F110" i="1"/>
  <c r="AG26" i="1"/>
  <c r="T40" i="1"/>
  <c r="T120" i="1"/>
  <c r="F156" i="1"/>
  <c r="CP127" i="1"/>
  <c r="O127" i="1" s="1"/>
  <c r="AC135" i="1"/>
  <c r="GM131" i="1"/>
  <c r="GP131" i="1"/>
  <c r="CP32" i="1"/>
  <c r="O32" i="1" s="1"/>
  <c r="AC40" i="1"/>
  <c r="AJ26" i="1"/>
  <c r="W40" i="1"/>
  <c r="CG26" i="1"/>
  <c r="AX40" i="1"/>
  <c r="CG73" i="1"/>
  <c r="AX87" i="1"/>
  <c r="Q40" i="1"/>
  <c r="AD26" i="1"/>
  <c r="AC73" i="1"/>
  <c r="CE87" i="1"/>
  <c r="CF87" i="1"/>
  <c r="P87" i="1"/>
  <c r="CH87" i="1"/>
  <c r="AO22" i="1"/>
  <c r="AO197" i="1"/>
  <c r="F170" i="1"/>
  <c r="AT26" i="1"/>
  <c r="F58" i="1"/>
  <c r="AT166" i="1"/>
  <c r="W73" i="1"/>
  <c r="F111" i="1"/>
  <c r="X135" i="1" l="1"/>
  <c r="P264" i="5"/>
  <c r="I278" i="5" s="1"/>
  <c r="K264" i="5"/>
  <c r="I283" i="5"/>
  <c r="CD73" i="1"/>
  <c r="AU87" i="1"/>
  <c r="CA73" i="1"/>
  <c r="AR87" i="1"/>
  <c r="CE73" i="1"/>
  <c r="AV87" i="1"/>
  <c r="F94" i="1"/>
  <c r="AX73" i="1"/>
  <c r="GM32" i="1"/>
  <c r="CA40" i="1" s="1"/>
  <c r="GP32" i="1"/>
  <c r="CD40" i="1" s="1"/>
  <c r="GM127" i="1"/>
  <c r="CA135" i="1" s="1"/>
  <c r="GP127" i="1"/>
  <c r="AB135" i="1"/>
  <c r="AL26" i="1"/>
  <c r="Y40" i="1"/>
  <c r="F113" i="1"/>
  <c r="Y73" i="1"/>
  <c r="AQ22" i="1"/>
  <c r="F176" i="1"/>
  <c r="AQ197" i="1"/>
  <c r="AZ26" i="1"/>
  <c r="F51" i="1"/>
  <c r="AZ166" i="1"/>
  <c r="BC18" i="1"/>
  <c r="F213" i="1"/>
  <c r="S73" i="1"/>
  <c r="F102" i="1"/>
  <c r="F150" i="1"/>
  <c r="S120" i="1"/>
  <c r="BA26" i="1"/>
  <c r="F60" i="1"/>
  <c r="BA166" i="1"/>
  <c r="Q120" i="1"/>
  <c r="F147" i="1"/>
  <c r="X120" i="1"/>
  <c r="F160" i="1"/>
  <c r="AY87" i="1"/>
  <c r="CH73" i="1"/>
  <c r="W26" i="1"/>
  <c r="F64" i="1"/>
  <c r="W166" i="1"/>
  <c r="CD135" i="1"/>
  <c r="AE26" i="1"/>
  <c r="R40" i="1"/>
  <c r="AX120" i="1"/>
  <c r="F142" i="1"/>
  <c r="R135" i="1"/>
  <c r="AE120" i="1"/>
  <c r="AP22" i="1"/>
  <c r="AP197" i="1"/>
  <c r="F175" i="1"/>
  <c r="G16" i="2" s="1"/>
  <c r="G18" i="2" s="1"/>
  <c r="V120" i="1"/>
  <c r="F158" i="1"/>
  <c r="P73" i="1"/>
  <c r="F90" i="1"/>
  <c r="AF26" i="1"/>
  <c r="S40" i="1"/>
  <c r="E18" i="2"/>
  <c r="W120" i="1"/>
  <c r="F159" i="1"/>
  <c r="AZ120" i="1"/>
  <c r="F146" i="1"/>
  <c r="AZ73" i="1"/>
  <c r="F98" i="1"/>
  <c r="BB18" i="1"/>
  <c r="F210" i="1"/>
  <c r="Y120" i="1"/>
  <c r="F161" i="1"/>
  <c r="X73" i="1"/>
  <c r="F112" i="1"/>
  <c r="U120" i="1"/>
  <c r="F157" i="1"/>
  <c r="AK26" i="1"/>
  <c r="X40" i="1"/>
  <c r="AT22" i="1"/>
  <c r="F184" i="1"/>
  <c r="F16" i="2" s="1"/>
  <c r="F18" i="2" s="1"/>
  <c r="AT197" i="1"/>
  <c r="AO18" i="1"/>
  <c r="F201" i="1"/>
  <c r="CF73" i="1"/>
  <c r="AW87" i="1"/>
  <c r="Q26" i="1"/>
  <c r="Q166" i="1"/>
  <c r="F52" i="1"/>
  <c r="AX26" i="1"/>
  <c r="F47" i="1"/>
  <c r="AX166" i="1"/>
  <c r="AC26" i="1"/>
  <c r="CH40" i="1"/>
  <c r="CE40" i="1"/>
  <c r="CF40" i="1"/>
  <c r="P40" i="1"/>
  <c r="AC120" i="1"/>
  <c r="CH135" i="1"/>
  <c r="P135" i="1"/>
  <c r="CE135" i="1"/>
  <c r="CF135" i="1"/>
  <c r="T26" i="1"/>
  <c r="F61" i="1"/>
  <c r="T166" i="1"/>
  <c r="AB40" i="1"/>
  <c r="O73" i="1"/>
  <c r="F89" i="1"/>
  <c r="AS18" i="1"/>
  <c r="F214" i="1"/>
  <c r="I80" i="5" s="1"/>
  <c r="F155" i="1"/>
  <c r="BA120" i="1"/>
  <c r="V26" i="1"/>
  <c r="F63" i="1"/>
  <c r="V166" i="1"/>
  <c r="U26" i="1"/>
  <c r="F62" i="1"/>
  <c r="U166" i="1"/>
  <c r="I288" i="5" l="1"/>
  <c r="CA26" i="1"/>
  <c r="AR40" i="1"/>
  <c r="V22" i="1"/>
  <c r="V197" i="1"/>
  <c r="F189" i="1"/>
  <c r="CH120" i="1"/>
  <c r="AY135" i="1"/>
  <c r="CE26" i="1"/>
  <c r="AV40" i="1"/>
  <c r="X26" i="1"/>
  <c r="F65" i="1"/>
  <c r="X166" i="1"/>
  <c r="R120" i="1"/>
  <c r="F149" i="1"/>
  <c r="AZ22" i="1"/>
  <c r="AZ197" i="1"/>
  <c r="F177" i="1"/>
  <c r="Y26" i="1"/>
  <c r="F66" i="1"/>
  <c r="Y166" i="1"/>
  <c r="CA120" i="1"/>
  <c r="AR135" i="1"/>
  <c r="AR73" i="1"/>
  <c r="F114" i="1"/>
  <c r="U22" i="1"/>
  <c r="F188" i="1"/>
  <c r="U197" i="1"/>
  <c r="AB26" i="1"/>
  <c r="O40" i="1"/>
  <c r="CF120" i="1"/>
  <c r="AW135" i="1"/>
  <c r="CH26" i="1"/>
  <c r="AY40" i="1"/>
  <c r="AW73" i="1"/>
  <c r="F93" i="1"/>
  <c r="AT18" i="1"/>
  <c r="F215" i="1"/>
  <c r="I81" i="5" s="1"/>
  <c r="AP18" i="1"/>
  <c r="F206" i="1"/>
  <c r="I82" i="5" s="1"/>
  <c r="CD120" i="1"/>
  <c r="AU135" i="1"/>
  <c r="CD26" i="1"/>
  <c r="AU40" i="1"/>
  <c r="AV73" i="1"/>
  <c r="F92" i="1"/>
  <c r="T22" i="1"/>
  <c r="T197" i="1"/>
  <c r="F187" i="1"/>
  <c r="CE120" i="1"/>
  <c r="AV135" i="1"/>
  <c r="P26" i="1"/>
  <c r="F43" i="1"/>
  <c r="P166" i="1"/>
  <c r="S26" i="1"/>
  <c r="F55" i="1"/>
  <c r="S166" i="1"/>
  <c r="W22" i="1"/>
  <c r="F190" i="1"/>
  <c r="W197" i="1"/>
  <c r="AY73" i="1"/>
  <c r="F95" i="1"/>
  <c r="AB120" i="1"/>
  <c r="O135" i="1"/>
  <c r="AU73" i="1"/>
  <c r="F106" i="1"/>
  <c r="P120" i="1"/>
  <c r="F138" i="1"/>
  <c r="CF26" i="1"/>
  <c r="AW40" i="1"/>
  <c r="AX22" i="1"/>
  <c r="F173" i="1"/>
  <c r="AX197" i="1"/>
  <c r="Q22" i="1"/>
  <c r="F178" i="1"/>
  <c r="Q197" i="1"/>
  <c r="F54" i="1"/>
  <c r="R26" i="1"/>
  <c r="R166" i="1"/>
  <c r="BA22" i="1"/>
  <c r="BA197" i="1"/>
  <c r="F186" i="1"/>
  <c r="AQ18" i="1"/>
  <c r="F207" i="1"/>
  <c r="Q18" i="1" l="1"/>
  <c r="F209" i="1"/>
  <c r="O120" i="1"/>
  <c r="F137" i="1"/>
  <c r="W18" i="1"/>
  <c r="F221" i="1"/>
  <c r="T18" i="1"/>
  <c r="F218" i="1"/>
  <c r="AU26" i="1"/>
  <c r="AU166" i="1"/>
  <c r="F59" i="1"/>
  <c r="F115" i="1"/>
  <c r="F116" i="1" s="1"/>
  <c r="Y22" i="1"/>
  <c r="F192" i="1"/>
  <c r="Y197" i="1"/>
  <c r="AZ18" i="1"/>
  <c r="F208" i="1"/>
  <c r="X22" i="1"/>
  <c r="X197" i="1"/>
  <c r="F191" i="1"/>
  <c r="V18" i="1"/>
  <c r="F220" i="1"/>
  <c r="R22" i="1"/>
  <c r="F180" i="1"/>
  <c r="R197" i="1"/>
  <c r="AV120" i="1"/>
  <c r="F140" i="1"/>
  <c r="AW120" i="1"/>
  <c r="F141" i="1"/>
  <c r="U18" i="1"/>
  <c r="F219" i="1"/>
  <c r="F143" i="1"/>
  <c r="AY120" i="1"/>
  <c r="AW26" i="1"/>
  <c r="F46" i="1"/>
  <c r="AW166" i="1"/>
  <c r="P22" i="1"/>
  <c r="P197" i="1"/>
  <c r="F169" i="1"/>
  <c r="AU120" i="1"/>
  <c r="F154" i="1"/>
  <c r="AR120" i="1"/>
  <c r="F162" i="1"/>
  <c r="AR26" i="1"/>
  <c r="F67" i="1"/>
  <c r="AR166" i="1"/>
  <c r="BA18" i="1"/>
  <c r="F217" i="1"/>
  <c r="AX18" i="1"/>
  <c r="F204" i="1"/>
  <c r="S22" i="1"/>
  <c r="F181" i="1"/>
  <c r="J16" i="2" s="1"/>
  <c r="J18" i="2" s="1"/>
  <c r="S197" i="1"/>
  <c r="AY26" i="1"/>
  <c r="F48" i="1"/>
  <c r="AY166" i="1"/>
  <c r="O26" i="1"/>
  <c r="F42" i="1"/>
  <c r="O166" i="1"/>
  <c r="AV26" i="1"/>
  <c r="F45" i="1"/>
  <c r="AV166" i="1"/>
  <c r="AV22" i="1" l="1"/>
  <c r="AV197" i="1"/>
  <c r="F171" i="1"/>
  <c r="P18" i="1"/>
  <c r="F200" i="1"/>
  <c r="S18" i="1"/>
  <c r="F212" i="1"/>
  <c r="F69" i="1"/>
  <c r="F68" i="1"/>
  <c r="R18" i="1"/>
  <c r="F211" i="1"/>
  <c r="AU22" i="1"/>
  <c r="AU197" i="1"/>
  <c r="F185" i="1"/>
  <c r="H16" i="2" s="1"/>
  <c r="O22" i="1"/>
  <c r="F168" i="1"/>
  <c r="O197" i="1"/>
  <c r="F163" i="1"/>
  <c r="X18" i="1"/>
  <c r="F222" i="1"/>
  <c r="Y18" i="1"/>
  <c r="F223" i="1"/>
  <c r="AR22" i="1"/>
  <c r="F193" i="1"/>
  <c r="AR197" i="1"/>
  <c r="AY22" i="1"/>
  <c r="F174" i="1"/>
  <c r="AY197" i="1"/>
  <c r="AW22" i="1"/>
  <c r="F172" i="1"/>
  <c r="AW197" i="1"/>
  <c r="I84" i="5" l="1"/>
  <c r="F164" i="1"/>
  <c r="I281" i="5" s="1"/>
  <c r="I280" i="5"/>
  <c r="AR18" i="1"/>
  <c r="F224" i="1"/>
  <c r="I79" i="5" s="1"/>
  <c r="H18" i="2"/>
  <c r="I16" i="2"/>
  <c r="I18" i="2" s="1"/>
  <c r="AV18" i="1"/>
  <c r="F202" i="1"/>
  <c r="AW18" i="1"/>
  <c r="F203" i="1"/>
  <c r="AY18" i="1"/>
  <c r="F205" i="1"/>
  <c r="F194" i="1"/>
  <c r="I285" i="5" s="1"/>
  <c r="F195" i="1"/>
  <c r="I286" i="5" s="1"/>
  <c r="O18" i="1"/>
  <c r="F199" i="1"/>
  <c r="AU18" i="1"/>
  <c r="F216" i="1"/>
  <c r="I83" i="5" s="1"/>
</calcChain>
</file>

<file path=xl/sharedStrings.xml><?xml version="1.0" encoding="utf-8"?>
<sst xmlns="http://schemas.openxmlformats.org/spreadsheetml/2006/main" count="3007" uniqueCount="275">
  <si>
    <t>Smeta.RU  (495) 974-1589</t>
  </si>
  <si>
    <t>_PS_</t>
  </si>
  <si>
    <t>Smeta.RU</t>
  </si>
  <si>
    <t/>
  </si>
  <si>
    <t>Новый объект_(Копия)</t>
  </si>
  <si>
    <t>3 площадки Общая смета испр.</t>
  </si>
  <si>
    <t>Сметные нормы списания</t>
  </si>
  <si>
    <t>Коды ОКП для СН-2012 - 2021 г.</t>
  </si>
  <si>
    <t>СН-2012 - 2021 г_глава_1-5,7 (1)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</si>
  <si>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</si>
  <si>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</si>
  <si>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</si>
  <si>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</si>
  <si>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</si>
  <si>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Детская площадка на сквере вдоль шоссе Энтузиастов (353,1 м2)</t>
  </si>
  <si>
    <t>1</t>
  </si>
  <si>
    <t>5.3-3104-1-1/1</t>
  </si>
  <si>
    <t>Разборка полиуретанового покрытия игровых площадок, спортивных дорожек и площадок - на асфальтобетонном основании толщиной 2см (крошка-2,595т*2слоя=5,19т + связующие-0,853т+0,742т=1,595. Всего: 6,785т)</t>
  </si>
  <si>
    <t>100 м2</t>
  </si>
  <si>
    <t>СН-2012-2021.5. База. Сб.3-3104-1-1/1</t>
  </si>
  <si>
    <t>СН-2012</t>
  </si>
  <si>
    <t>Подрядные работы, гл. 1-5,7</t>
  </si>
  <si>
    <t>работа</t>
  </si>
  <si>
    <t>2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</si>
  <si>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</si>
  <si>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</si>
  <si>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База. Сб.3-3103-11-1/1</t>
  </si>
  <si>
    <t>2,1</t>
  </si>
  <si>
    <t>21.1-6-101</t>
  </si>
  <si>
    <t>Пигменты сухие для красок, кислотный желтый</t>
  </si>
  <si>
    <t>т</t>
  </si>
  <si>
    <t>СН-2012-2021.21. База. Р.1, о.6, поз.101</t>
  </si>
  <si>
    <t>3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</si>
  <si>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</si>
  <si>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 (цвет зеленый)</t>
  </si>
  <si>
    <t>СН-2012-2021.5. База. Сб.3-3103-11-2/1</t>
  </si>
  <si>
    <t>)*5</t>
  </si>
  <si>
    <t>3,1</t>
  </si>
  <si>
    <t>21.1-25-769</t>
  </si>
  <si>
    <t>Крошка резиновая гранулированная, фракция 2-3 мм</t>
  </si>
  <si>
    <t>кг</t>
  </si>
  <si>
    <t>СН-2012-2021.21. База. Р.1, о.25, поз.769</t>
  </si>
  <si>
    <t>3,2</t>
  </si>
  <si>
    <t>21.1-25-770</t>
  </si>
  <si>
    <t>Крошка каучуковая гранулированная, окрашенная в массе, фракция 2-3 мм, цвет черный</t>
  </si>
  <si>
    <t>СН-2012-2021.21. Доп.2. Р.1, о.25, поз.770</t>
  </si>
  <si>
    <t>4</t>
  </si>
  <si>
    <t>1.49-9101-7-1/1</t>
  </si>
  <si>
    <t>Механизированная погрузка строительного мусора в автомобили-самосвалы</t>
  </si>
  <si>
    <t>СН-2012-2021.1. База. Сб.49-9101-7-1/1</t>
  </si>
  <si>
    <t>5</t>
  </si>
  <si>
    <t>1.50-3305-4-1/1</t>
  </si>
  <si>
    <t>Погрузка и выгрузка вручную строительного мусора на транспортные средства</t>
  </si>
  <si>
    <t>СН-2012-2021.1. База. Сб.50-3305-4-1/1</t>
  </si>
  <si>
    <t>6</t>
  </si>
  <si>
    <t>1.49-9201-1-1/1</t>
  </si>
  <si>
    <t>Перевозка строительного мусора автосамосвалами грузоподъемностью до 10 т на расстояние 1 км - при погрузке вручную</t>
  </si>
  <si>
    <t>СН-2012-2021.1. База. Сб.49-9201-1-1/1</t>
  </si>
  <si>
    <t>Подрядные работы, гл. 1 перевозка мусора</t>
  </si>
  <si>
    <t>7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</si>
  <si>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</si>
  <si>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</si>
  <si>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</si>
  <si>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8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</si>
  <si>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</si>
  <si>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</si>
  <si>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СН-2012-2021.1. База. Сб.49-9201-1-3/1</t>
  </si>
  <si>
    <t>)*49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</si>
  <si>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</si>
  <si>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</si>
  <si>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</si>
  <si>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</si>
  <si>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</si>
  <si>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</si>
  <si>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</si>
  <si>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</si>
  <si>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</si>
  <si>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</si>
  <si>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</si>
  <si>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</si>
  <si>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</si>
  <si>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</si>
  <si>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</si>
  <si>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</si>
  <si>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</si>
  <si>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</si>
  <si>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</si>
  <si>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</si>
  <si>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</si>
  <si>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</si>
  <si>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</si>
  <si>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</si>
  <si>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</si>
  <si>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</si>
  <si>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</si>
  <si>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</si>
  <si>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</si>
  <si>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</si>
  <si>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</si>
  <si>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</si>
  <si>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</si>
  <si>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</si>
  <si>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</si>
  <si>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</si>
  <si>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</si>
  <si>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</si>
  <si>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</si>
  <si>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</si>
  <si>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</si>
  <si>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</si>
  <si>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</si>
  <si>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</si>
  <si>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</si>
  <si>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</si>
  <si>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</si>
  <si>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</si>
  <si>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</si>
  <si>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</si>
  <si>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</si>
  <si>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</si>
  <si>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НДС</t>
  </si>
  <si>
    <t>НДС 20%</t>
  </si>
  <si>
    <t>Вс по см</t>
  </si>
  <si>
    <t>Всего по смете</t>
  </si>
  <si>
    <t>Детская площадка в северной части парка (500,9 м2)</t>
  </si>
  <si>
    <t>9</t>
  </si>
  <si>
    <t>Разборка полиуретанового покрытия игровых площадок, спортивных дорожек и площадок - на асфальтобетонном основании толщиной 2см (крошка-3,682т*2слоя=7,364т + связующие-1,21т+1,05т=2,26. Всего: 9,624т)</t>
  </si>
  <si>
    <t>10</t>
  </si>
  <si>
    <t>10,1</t>
  </si>
  <si>
    <t>11</t>
  </si>
  <si>
    <t>11,1</t>
  </si>
  <si>
    <t>11,2</t>
  </si>
  <si>
    <t>12</t>
  </si>
  <si>
    <t>13</t>
  </si>
  <si>
    <t>14</t>
  </si>
  <si>
    <t>15</t>
  </si>
  <si>
    <t>16</t>
  </si>
  <si>
    <t>Детская площадка "Сиреневый сад" (683,1 м2)</t>
  </si>
  <si>
    <t>17</t>
  </si>
  <si>
    <t>5.3-3104-1-2/1</t>
  </si>
  <si>
    <t>Разборка полиуретанового покрытия игровых площадок, спортивных дорожек и площадок - на бетонном основании толщ. 4 см (крошка-5,021т*1слоя=10,042т + связующие-1,65т+1,34т=2,99т. Итого: 13,032т*2слоя=26,064т)</t>
  </si>
  <si>
    <t>СН-2012-2021.5. База. Сб.3-3104-1-2/1</t>
  </si>
  <si>
    <t>18</t>
  </si>
  <si>
    <t>2.1-3101-3-1/1</t>
  </si>
  <si>
    <t>Ямочный ремонт тротуаров из литого асфальта с основанием</t>
  </si>
  <si>
    <t>СН-2012-2021.2. Доп.2. Сб.1-3101-3-1/1</t>
  </si>
  <si>
    <t>19</t>
  </si>
  <si>
    <t>СН-2012-2021.5. Доп.2. Сб.3-3103-11-1/1</t>
  </si>
  <si>
    <t>19,1</t>
  </si>
  <si>
    <t>СН-2012-2021.21. Доп.2. Р.1, о.6, поз.101</t>
  </si>
  <si>
    <t>20</t>
  </si>
  <si>
    <t>Устройство наливного полиуретанового покрытия спортивных площадок и беговых дорожек, добавляется на 2 мм толщины покрытия (цвет "Фуксия" или аналог сиреневый)</t>
  </si>
  <si>
    <t>20,1</t>
  </si>
  <si>
    <t>20,2</t>
  </si>
  <si>
    <t>21</t>
  </si>
  <si>
    <t>22</t>
  </si>
  <si>
    <t>23</t>
  </si>
  <si>
    <t>24</t>
  </si>
  <si>
    <t>25</t>
  </si>
  <si>
    <t>Перевозка строительного мусора автосамосвалами грузоподъемностью до 10 т - добавляется на каждый последующий 1 км до 100 км (26,064т+13,64т=39,71т)</t>
  </si>
  <si>
    <t>Уровень цен на 01.10.2020 г</t>
  </si>
  <si>
    <t>_OBSM_</t>
  </si>
  <si>
    <t>9999990008</t>
  </si>
  <si>
    <t>Трудозатраты рабочих</t>
  </si>
  <si>
    <t>чел.-ч.</t>
  </si>
  <si>
    <t>22.1-17-168</t>
  </si>
  <si>
    <t>СН-2012-2021.22. База. п.1-17-168 (266501)</t>
  </si>
  <si>
    <t>Укладчики полимерных покрытий на игровых и спортивных площадках, производительность 10-50 м2/ч</t>
  </si>
  <si>
    <t>маш.-ч</t>
  </si>
  <si>
    <t>22.1-30-102</t>
  </si>
  <si>
    <t>СН-2012-2021.22. База. п.1-30-102 (303704)</t>
  </si>
  <si>
    <t>Дрели электрические, двухскоростные, мощностью 600 Вт</t>
  </si>
  <si>
    <t>22.1-4-8</t>
  </si>
  <si>
    <t>СН-2012-2021.22. База. п.1-4-8 (040201)</t>
  </si>
  <si>
    <t>Погрузчики на автомобильном ходу, грузоподъемность до 1 т</t>
  </si>
  <si>
    <t>22.1-6-68</t>
  </si>
  <si>
    <t>СН-2012-2021.22. База. п.1-6-68 (067203)</t>
  </si>
  <si>
    <t>Растворосмесители стационарные, емкость до 250 л</t>
  </si>
  <si>
    <t>21.1-25-255</t>
  </si>
  <si>
    <t>СН-2012-2021.21. База. Р.1, о.25, поз.255</t>
  </si>
  <si>
    <t>Пленка полиэтиленовая, толщина 0,12 - 0,15 мм</t>
  </si>
  <si>
    <t>м2</t>
  </si>
  <si>
    <t>21.1-25-343</t>
  </si>
  <si>
    <t>СН-2012-2021.21. База. Р.1, о.25, поз.343</t>
  </si>
  <si>
    <t>Скипидар живичный</t>
  </si>
  <si>
    <t>21.1-25-776</t>
  </si>
  <si>
    <t>СН-2012-2021.21. База.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</si>
  <si>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</si>
  <si>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</si>
  <si>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</si>
  <si>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</si>
  <si>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22.1-18-12</t>
  </si>
  <si>
    <t>СН-2012-2021.22. База. п.1-18-12 (184001)</t>
  </si>
  <si>
    <t>Автомобили-самосвалы, грузоподъемность до 7 т</t>
  </si>
  <si>
    <t>22.1-18-13</t>
  </si>
  <si>
    <t>СН-2012-2021.22. База. п.1-18-13 (184002)</t>
  </si>
  <si>
    <t>Автомобили-самосвалы, грузоподъемность до 10 т</t>
  </si>
  <si>
    <t>22.1-17-201</t>
  </si>
  <si>
    <t>СН-2012-2021.22. База. п.1-17-201 (271201)</t>
  </si>
  <si>
    <t>Пылесосы (воздуходувки) садовые, объем подачи воздуха до 800 м3/ч</t>
  </si>
  <si>
    <t>22.1-10-4</t>
  </si>
  <si>
    <t>СН-2012-2021.22. Доп.2. п.1-10-4 (101001)</t>
  </si>
  <si>
    <t>Компрессоры с дизельным двигателем прицепные до 2,5 м3/мин</t>
  </si>
  <si>
    <t>22.1-30-1</t>
  </si>
  <si>
    <t>СН-2012-2021.22. Доп.2. п.1-30-1 (301201)</t>
  </si>
  <si>
    <t>Трамбовки пневматические</t>
  </si>
  <si>
    <t>22.1-30-54</t>
  </si>
  <si>
    <t>СН-2012-2021.22. Доп.2. п.1-30-54 (308901)</t>
  </si>
  <si>
    <t>Молотки отбойные</t>
  </si>
  <si>
    <t>21.1-12-11</t>
  </si>
  <si>
    <t>СН-2012-2021.21. Доп.2. Р.1, о.12, поз.11</t>
  </si>
  <si>
    <t>Песок для строительных работ, рядовой</t>
  </si>
  <si>
    <t>м3</t>
  </si>
  <si>
    <t>21.1-12-36</t>
  </si>
  <si>
    <t>СН-2012-2021.21. Доп.2. Р.1, о.12, поз.36</t>
  </si>
  <si>
    <t>Щебень из естественного камня для строительных работ, марка 1200-800, фракция 20-40 мм</t>
  </si>
  <si>
    <t>21.3-3-3</t>
  </si>
  <si>
    <t>СН-2012-2021.21. Доп.2. Р.3, о.3, поз.3</t>
  </si>
  <si>
    <t>Асфальт литой для покрытий, марка ЛIV</t>
  </si>
  <si>
    <t>9999990001</t>
  </si>
  <si>
    <t>Масса мусора</t>
  </si>
  <si>
    <t>СН-2012-2021.22. Доп.2. п.1-17-168 (266501)</t>
  </si>
  <si>
    <t>СН-2012-2021.22. Доп.2. п.1-30-102 (303704)</t>
  </si>
  <si>
    <t>СН-2012-2021.22. Доп.2. п.1-4-8 (040201)</t>
  </si>
  <si>
    <t>СН-2012-2021.22. Доп.2. п.1-6-68 (067203)</t>
  </si>
  <si>
    <t>СН-2012-2021.21. Доп.2. Р.1, о.25, поз.255</t>
  </si>
  <si>
    <t>СН-2012-2021.21. Доп.2. Р.1, о.25, поз.343</t>
  </si>
  <si>
    <t>СН-2012-2021.21. Доп.2. Р.1, о.25, поз.769</t>
  </si>
  <si>
    <t>СН-2012-2021.21. Доп.2. Р.1, о.25, поз.776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</si>
  <si>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</si>
  <si>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</si>
  <si>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</si>
  <si>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</si>
  <si>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</si>
  <si>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</si>
  <si>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</si>
  <si>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</si>
  <si>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</si>
  <si>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</si>
  <si>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</si>
  <si>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</si>
  <si>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</si>
  <si>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</si>
  <si>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</si>
  <si>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</si>
  <si>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</si>
  <si>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</si>
  <si>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</si>
  <si>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</si>
  <si>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</si>
  <si>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</si>
  <si>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</si>
  <si>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</si>
  <si>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</si>
  <si>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</si>
  <si>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</si>
  <si>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</si>
  <si>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НР от ЗП</t>
  </si>
  <si>
    <t>%</t>
  </si>
  <si>
    <t>СП от ЗП</t>
  </si>
  <si>
    <t>ЗТР</t>
  </si>
  <si>
    <t>чел-ч</t>
  </si>
  <si>
    <t>ЭМ</t>
  </si>
  <si>
    <t>в т.ч. ЗПМ</t>
  </si>
  <si>
    <t>МР</t>
  </si>
  <si>
    <t>НР и СП от ЗПМ</t>
  </si>
  <si>
    <t>к нр )*5</t>
  </si>
  <si>
    <t xml:space="preserve">Составил   </t>
  </si>
  <si>
    <t xml:space="preserve">Проверил   </t>
  </si>
  <si>
    <t>Директор</t>
  </si>
  <si>
    <t>ГАУК г. Москвы "Измайловский ПКиО"</t>
  </si>
  <si>
    <t>_____________________ А.А. Оглоблин</t>
  </si>
  <si>
    <t>Выполнение работ по ремонту резинового покрытия детских площадок на территориях</t>
  </si>
  <si>
    <t>Количество возвратных материалов, затраты на их транспортирование, условия передачи и взаиморасчетов за возвратные материалы определяются заказчиком и подрядчиком при заключении Договора (ОП СН-2012 п.17)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</si>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</sst>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4"/>
      <name val="Arial"/>
      <family val="2"/>
      <charset val="204"/>
    </font>
    <font>
      <i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164" fontId="9" fillId="0" borderId="0" xfId="0" applyNumberFormat="1" applyFont="1"/>
    <xf numFmtId="1" fontId="9" fillId="0" borderId="0" xfId="0" applyNumberFormat="1" applyFont="1"/>
    <xf numFmtId="0" fontId="1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/>
    <xf numFmtId="0" fontId="13" fillId="0" borderId="0" xfId="0" applyFont="1" applyAlignment="1">
      <alignment horizontal="center" wrapText="1"/>
    </xf>
    <xf numFmtId="4" fontId="2" fillId="0" borderId="0" xfId="0" applyNumberFormat="1" applyFont="1"/>
    <xf numFmtId="4" fontId="0" fillId="0" borderId="0" xfId="0" applyNumberFormat="1"/>
    <xf numFmtId="0" fontId="16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 wrapText="1"/>
    </xf>
    <xf numFmtId="166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5" xfId="0" applyFont="1" applyBorder="1"/>
    <xf numFmtId="166" fontId="11" fillId="0" borderId="5" xfId="0" applyNumberFormat="1" applyFont="1" applyBorder="1" applyAlignment="1">
      <alignment horizontal="right"/>
    </xf>
    <xf numFmtId="166" fontId="12" fillId="0" borderId="0" xfId="0" applyNumberFormat="1" applyFont="1"/>
    <xf numFmtId="166" fontId="17" fillId="0" borderId="0" xfId="0" applyNumberFormat="1" applyFont="1" applyAlignment="1">
      <alignment horizontal="right"/>
    </xf>
    <xf numFmtId="0" fontId="12" fillId="0" borderId="0" xfId="0" quotePrefix="1" applyFont="1" applyAlignment="1">
      <alignment horizontal="right" wrapText="1"/>
    </xf>
    <xf numFmtId="0" fontId="11" fillId="0" borderId="0" xfId="0" applyFont="1"/>
    <xf numFmtId="0" fontId="11" fillId="0" borderId="0" xfId="0" applyFont="1" applyAlignment="1">
      <alignment horizontal="left" wrapText="1"/>
    </xf>
    <xf numFmtId="2" fontId="12" fillId="0" borderId="0" xfId="0" applyNumberFormat="1" applyFont="1" applyAlignment="1">
      <alignment horizontal="right"/>
    </xf>
    <xf numFmtId="0" fontId="13" fillId="0" borderId="0" xfId="0" applyFont="1"/>
    <xf numFmtId="4" fontId="16" fillId="0" borderId="0" xfId="0" applyNumberFormat="1" applyFont="1"/>
    <xf numFmtId="0" fontId="16" fillId="0" borderId="0" xfId="0" applyFont="1" applyAlignment="1">
      <alignment wrapText="1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4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left" wrapText="1"/>
    </xf>
    <xf numFmtId="4" fontId="13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wrapText="1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 wrapText="1"/>
    </xf>
    <xf numFmtId="166" fontId="9" fillId="0" borderId="0" xfId="0" applyNumberFormat="1" applyFont="1" applyAlignment="1">
      <alignment horizontal="right"/>
    </xf>
    <xf numFmtId="166" fontId="11" fillId="0" borderId="5" xfId="0" applyNumberFormat="1" applyFont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6;&#1090;&#1077;&#1088;&#1103;&#1096;&#1082;&#1080;/&#1052;&#1086;&#1080;%20&#1076;&#1086;&#1082;&#1091;&#1084;&#1077;&#1085;&#1090;&#1099;/2021&#1075;/&#1055;&#1040;&#1056;&#1050;/&#1055;&#1083;&#1086;&#1097;&#1072;&#1076;&#1082;&#1080;%20&#1088;&#1077;&#1079;.&#1087;&#1086;&#1082;&#1088;/3%20&#1087;&#1083;&#1086;&#1097;&#1072;&#1076;&#1082;&#1080;/&#1057;&#1084;&#1077;&#1090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6;&#1090;&#1077;&#1088;&#1103;&#1096;&#1082;&#1080;/&#1052;&#1086;&#1080;%20&#1076;&#1086;&#1082;&#1091;&#1084;&#1077;&#1085;&#1090;&#1099;/2021&#1075;/&#1055;&#1040;&#1056;&#1050;/&#1055;&#1083;&#1086;&#1097;&#1072;&#1076;&#1082;&#1080;%20&#1088;&#1077;&#1079;.&#1087;&#1086;&#1082;&#1088;/&#1057;&#1052;&#1045;&#1058;&#1040;%20%20&#1048;&#1057;&#1055;&#1056;/1%20&#1057;&#1084;&#1077;&#1090;&#1072;%20&#1080;&#1089;&#1087;&#1088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СН-2012 по гл. 1-5"/>
      <sheetName val="Source"/>
      <sheetName val="SourceObSm"/>
      <sheetName val="SmtRes"/>
      <sheetName val="EtalonR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СН-2012 по гл. 1-5"/>
      <sheetName val="Source"/>
      <sheetName val="SourceObSm"/>
      <sheetName val="SmtRes"/>
      <sheetName val="EtalonRes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053F-0C02-4D1C-ADC5-347F9D87DFDE}">
  <sheetPr>
    <pageSetUpPr fitToPage="1"/>
  </sheetPr>
  <dimension ref="A1:AF304"/>
  <sheetViews>
    <sheetView tabSelected="1" zoomScale="90" zoomScaleNormal="90" workbookViewId="0">
      <selection sqref="A1:XFD5"/>
    </sheetView>
  </sheetViews>
  <sheetFormatPr defaultRowHeight="12.75" x14ac:dyDescent="0.2"/>
  <cols>
    <col min="1" max="1" width="7.7109375" customWidth="1"/>
    <col min="2" max="2" width="18.28515625" customWidth="1"/>
    <col min="3" max="3" width="52.7109375" customWidth="1"/>
    <col min="4" max="4" width="11.7109375" customWidth="1"/>
    <col min="5" max="5" width="14" customWidth="1"/>
    <col min="6" max="6" width="14.28515625" customWidth="1"/>
    <col min="7" max="7" width="12.7109375" customWidth="1"/>
    <col min="8" max="8" width="19.7109375" customWidth="1"/>
    <col min="9" max="9" width="12.7109375" customWidth="1"/>
    <col min="10" max="10" width="16.140625" customWidth="1"/>
    <col min="11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s="21" customFormat="1" x14ac:dyDescent="0.2">
      <c r="A1" s="8"/>
    </row>
    <row r="2" spans="1:11" s="21" customFormat="1" ht="14.25" x14ac:dyDescent="0.2">
      <c r="A2" s="20"/>
      <c r="B2" s="20"/>
      <c r="C2" s="20"/>
      <c r="D2" s="20"/>
      <c r="E2" s="20"/>
      <c r="F2" s="20"/>
      <c r="G2" s="20"/>
      <c r="H2" s="20"/>
      <c r="I2" s="20"/>
      <c r="J2" s="55"/>
      <c r="K2" s="55"/>
    </row>
    <row r="3" spans="1:11" s="21" customFormat="1" ht="16.5" x14ac:dyDescent="0.25">
      <c r="A3" s="11"/>
      <c r="B3" s="56"/>
      <c r="C3" s="56"/>
      <c r="D3" s="56"/>
      <c r="E3" s="56"/>
      <c r="F3" s="10"/>
      <c r="G3" s="57" t="s">
        <v>230</v>
      </c>
      <c r="H3" s="57"/>
      <c r="I3" s="57"/>
      <c r="J3" s="57"/>
      <c r="K3" s="57"/>
    </row>
    <row r="4" spans="1:11" s="21" customFormat="1" ht="14.25" x14ac:dyDescent="0.2">
      <c r="A4" s="10"/>
      <c r="B4" s="54"/>
      <c r="C4" s="54"/>
      <c r="D4" s="54"/>
      <c r="E4" s="54"/>
      <c r="F4" s="10"/>
      <c r="G4" s="55" t="s">
        <v>269</v>
      </c>
      <c r="H4" s="55"/>
      <c r="I4" s="55"/>
      <c r="J4" s="55"/>
      <c r="K4" s="55"/>
    </row>
    <row r="5" spans="1:11" s="21" customFormat="1" ht="14.25" x14ac:dyDescent="0.2">
      <c r="A5" s="10"/>
      <c r="B5" s="10"/>
      <c r="C5" s="19"/>
      <c r="D5" s="19"/>
      <c r="E5" s="19"/>
      <c r="F5" s="10"/>
      <c r="G5" s="55" t="s">
        <v>270</v>
      </c>
      <c r="H5" s="55"/>
      <c r="I5" s="55"/>
      <c r="J5" s="55"/>
      <c r="K5" s="55"/>
    </row>
    <row r="6" spans="1:11" s="21" customFormat="1" ht="30" customHeight="1" x14ac:dyDescent="0.2">
      <c r="A6" s="19"/>
      <c r="B6" s="54"/>
      <c r="C6" s="54"/>
      <c r="D6" s="54"/>
      <c r="E6" s="54"/>
      <c r="F6" s="10"/>
      <c r="G6" s="55" t="s">
        <v>271</v>
      </c>
      <c r="H6" s="55"/>
      <c r="I6" s="55"/>
      <c r="J6" s="55"/>
      <c r="K6" s="55"/>
    </row>
    <row r="7" spans="1:11" s="21" customFormat="1" ht="14.25" x14ac:dyDescent="0.2">
      <c r="A7" s="13"/>
      <c r="B7" s="49"/>
      <c r="C7" s="49"/>
      <c r="D7" s="49"/>
      <c r="E7" s="49"/>
      <c r="F7" s="10"/>
      <c r="G7" s="50" t="s">
        <v>232</v>
      </c>
      <c r="H7" s="50"/>
      <c r="I7" s="50"/>
      <c r="J7" s="50"/>
      <c r="K7" s="50"/>
    </row>
    <row r="8" spans="1:11" s="21" customFormat="1" x14ac:dyDescent="0.2"/>
    <row r="9" spans="1:11" s="21" customFormat="1" x14ac:dyDescent="0.2"/>
    <row r="10" spans="1:11" s="21" customFormat="1" x14ac:dyDescent="0.2"/>
    <row r="11" spans="1:11" s="21" customFormat="1" x14ac:dyDescent="0.2"/>
    <row r="12" spans="1:11" s="21" customFormat="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s="21" customFormat="1" ht="15.75" x14ac:dyDescent="0.25">
      <c r="A13" s="51" t="str">
        <f>CONCATENATE( "ЛОКАЛЬНАЯ СМЕТА № 1 ",IF([1]Source!F13&lt;&gt;"Новый объект", [1]Source!F13, ""))</f>
        <v xml:space="preserve">ЛОКАЛЬНАЯ СМЕТА № 1 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s="21" customFormat="1" hidden="1" x14ac:dyDescent="0.2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</row>
    <row r="15" spans="1:11" s="21" customFormat="1" ht="14.2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s="21" customFormat="1" ht="18" hidden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s="21" customFormat="1" ht="14.25" hidden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s="21" customFormat="1" ht="18" x14ac:dyDescent="0.25">
      <c r="A18" s="47" t="s">
        <v>272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s="21" customFormat="1" ht="18" x14ac:dyDescent="0.25">
      <c r="A19" s="47" t="s">
        <v>270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s="21" customFormat="1" ht="18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s="21" customFormat="1" ht="1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s="21" customFormat="1" hidden="1" x14ac:dyDescent="0.2">
      <c r="A22" s="8"/>
    </row>
    <row r="23" spans="1:11" s="21" customFormat="1" hidden="1" x14ac:dyDescent="0.2">
      <c r="A23" s="8"/>
    </row>
    <row r="24" spans="1:11" s="21" customFormat="1" hidden="1" x14ac:dyDescent="0.2">
      <c r="A24" s="8"/>
    </row>
    <row r="25" spans="1:11" s="21" customFormat="1" hidden="1" x14ac:dyDescent="0.2">
      <c r="A25" s="8"/>
    </row>
    <row r="26" spans="1:11" s="21" customFormat="1" hidden="1" x14ac:dyDescent="0.2">
      <c r="A26" s="8"/>
    </row>
    <row r="27" spans="1:11" s="21" customFormat="1" hidden="1" x14ac:dyDescent="0.2">
      <c r="A27" s="8"/>
    </row>
    <row r="28" spans="1:11" s="21" customFormat="1" hidden="1" x14ac:dyDescent="0.2">
      <c r="A28" s="8"/>
    </row>
    <row r="29" spans="1:11" s="21" customFormat="1" hidden="1" x14ac:dyDescent="0.2">
      <c r="A29" s="8"/>
    </row>
    <row r="30" spans="1:11" s="21" customFormat="1" hidden="1" x14ac:dyDescent="0.2">
      <c r="A30" s="8"/>
    </row>
    <row r="31" spans="1:11" s="21" customFormat="1" hidden="1" x14ac:dyDescent="0.2">
      <c r="A31" s="8"/>
    </row>
    <row r="32" spans="1:11" s="21" customFormat="1" hidden="1" x14ac:dyDescent="0.2">
      <c r="A32" s="8"/>
    </row>
    <row r="33" spans="1:1" s="21" customFormat="1" hidden="1" x14ac:dyDescent="0.2">
      <c r="A33" s="8"/>
    </row>
    <row r="34" spans="1:1" s="21" customFormat="1" hidden="1" x14ac:dyDescent="0.2">
      <c r="A34" s="8"/>
    </row>
    <row r="35" spans="1:1" s="21" customFormat="1" hidden="1" x14ac:dyDescent="0.2">
      <c r="A35" s="8"/>
    </row>
    <row r="36" spans="1:1" s="21" customFormat="1" hidden="1" x14ac:dyDescent="0.2">
      <c r="A36" s="8"/>
    </row>
    <row r="37" spans="1:1" s="21" customFormat="1" hidden="1" x14ac:dyDescent="0.2">
      <c r="A37" s="8"/>
    </row>
    <row r="38" spans="1:1" s="21" customFormat="1" hidden="1" x14ac:dyDescent="0.2">
      <c r="A38" s="8"/>
    </row>
    <row r="39" spans="1:1" s="21" customFormat="1" hidden="1" x14ac:dyDescent="0.2">
      <c r="A39" s="8"/>
    </row>
    <row r="40" spans="1:1" s="21" customFormat="1" hidden="1" x14ac:dyDescent="0.2">
      <c r="A40" s="8"/>
    </row>
    <row r="41" spans="1:1" s="21" customFormat="1" hidden="1" x14ac:dyDescent="0.2">
      <c r="A41" s="8"/>
    </row>
    <row r="42" spans="1:1" s="21" customFormat="1" hidden="1" x14ac:dyDescent="0.2">
      <c r="A42" s="8"/>
    </row>
    <row r="43" spans="1:1" s="21" customFormat="1" hidden="1" x14ac:dyDescent="0.2">
      <c r="A43" s="8"/>
    </row>
    <row r="44" spans="1:1" s="21" customFormat="1" hidden="1" x14ac:dyDescent="0.2">
      <c r="A44" s="8"/>
    </row>
    <row r="45" spans="1:1" s="21" customFormat="1" hidden="1" x14ac:dyDescent="0.2">
      <c r="A45" s="8"/>
    </row>
    <row r="46" spans="1:1" s="21" customFormat="1" hidden="1" x14ac:dyDescent="0.2">
      <c r="A46" s="8"/>
    </row>
    <row r="47" spans="1:1" s="21" customFormat="1" hidden="1" x14ac:dyDescent="0.2">
      <c r="A47" s="8"/>
    </row>
    <row r="48" spans="1:1" s="21" customFormat="1" hidden="1" x14ac:dyDescent="0.2">
      <c r="A48" s="8"/>
    </row>
    <row r="49" spans="1:11" s="21" customFormat="1" hidden="1" x14ac:dyDescent="0.2">
      <c r="A49" s="8"/>
    </row>
    <row r="50" spans="1:11" s="21" customFormat="1" hidden="1" x14ac:dyDescent="0.2">
      <c r="A50" s="8"/>
    </row>
    <row r="51" spans="1:11" s="21" customFormat="1" hidden="1" x14ac:dyDescent="0.2">
      <c r="A51" s="8"/>
    </row>
    <row r="52" spans="1:11" s="21" customFormat="1" hidden="1" x14ac:dyDescent="0.2">
      <c r="A52" s="8"/>
    </row>
    <row r="53" spans="1:11" s="21" customFormat="1" hidden="1" x14ac:dyDescent="0.2">
      <c r="A53" s="8"/>
    </row>
    <row r="54" spans="1:11" s="21" customFormat="1" hidden="1" x14ac:dyDescent="0.2">
      <c r="A54" s="8"/>
    </row>
    <row r="55" spans="1:11" s="21" customFormat="1" hidden="1" x14ac:dyDescent="0.2">
      <c r="A55" s="8"/>
    </row>
    <row r="56" spans="1:11" s="21" customFormat="1" hidden="1" x14ac:dyDescent="0.2">
      <c r="A56" s="8"/>
    </row>
    <row r="57" spans="1:11" s="21" customFormat="1" hidden="1" x14ac:dyDescent="0.2">
      <c r="A57" s="8"/>
    </row>
    <row r="58" spans="1:11" s="21" customFormat="1" hidden="1" x14ac:dyDescent="0.2">
      <c r="A58" s="8"/>
    </row>
    <row r="59" spans="1:11" s="21" customFormat="1" hidden="1" x14ac:dyDescent="0.2">
      <c r="A59" s="8"/>
    </row>
    <row r="60" spans="1:11" s="21" customFormat="1" hidden="1" x14ac:dyDescent="0.2">
      <c r="A60" s="8"/>
    </row>
    <row r="61" spans="1:11" ht="14.25" hidden="1" x14ac:dyDescent="0.2">
      <c r="A61" s="9"/>
      <c r="B61" s="9"/>
      <c r="C61" s="9"/>
      <c r="D61" s="9"/>
      <c r="E61" s="9"/>
      <c r="F61" s="9"/>
      <c r="G61" s="9"/>
      <c r="H61" s="9"/>
      <c r="I61" s="9"/>
      <c r="J61" s="55" t="s">
        <v>231</v>
      </c>
      <c r="K61" s="55"/>
    </row>
    <row r="62" spans="1:11" ht="16.5" hidden="1" x14ac:dyDescent="0.25">
      <c r="A62" s="11"/>
      <c r="B62" s="56" t="s">
        <v>229</v>
      </c>
      <c r="C62" s="56"/>
      <c r="D62" s="56"/>
      <c r="E62" s="56"/>
      <c r="F62" s="10"/>
      <c r="G62" s="56" t="s">
        <v>230</v>
      </c>
      <c r="H62" s="56"/>
      <c r="I62" s="56"/>
      <c r="J62" s="56"/>
      <c r="K62" s="56"/>
    </row>
    <row r="63" spans="1:11" ht="14.25" hidden="1" x14ac:dyDescent="0.2">
      <c r="A63" s="10"/>
      <c r="B63" s="54"/>
      <c r="C63" s="54"/>
      <c r="D63" s="54"/>
      <c r="E63" s="54"/>
      <c r="F63" s="10"/>
      <c r="G63" s="54"/>
      <c r="H63" s="54"/>
      <c r="I63" s="54"/>
      <c r="J63" s="54"/>
      <c r="K63" s="54"/>
    </row>
    <row r="64" spans="1:11" ht="14.25" hidden="1" x14ac:dyDescent="0.2">
      <c r="A64" s="10"/>
      <c r="B64" s="10"/>
      <c r="C64" s="12"/>
      <c r="D64" s="12"/>
      <c r="E64" s="12"/>
      <c r="F64" s="10"/>
      <c r="G64" s="12"/>
      <c r="H64" s="12"/>
      <c r="I64" s="12"/>
      <c r="J64" s="12"/>
      <c r="K64" s="12"/>
    </row>
    <row r="65" spans="1:11" ht="14.25" hidden="1" x14ac:dyDescent="0.2">
      <c r="A65" s="12"/>
      <c r="B65" s="54" t="str">
        <f>CONCATENATE("______________________ ", IF(Source!AL12&lt;&gt;"", Source!AL12, ""))</f>
        <v xml:space="preserve">______________________ </v>
      </c>
      <c r="C65" s="54"/>
      <c r="D65" s="54"/>
      <c r="E65" s="54"/>
      <c r="F65" s="10"/>
      <c r="G65" s="54" t="str">
        <f>CONCATENATE("______________________ ", IF(Source!AH12&lt;&gt;"", Source!AH12, ""))</f>
        <v xml:space="preserve">______________________ </v>
      </c>
      <c r="H65" s="54"/>
      <c r="I65" s="54"/>
      <c r="J65" s="54"/>
      <c r="K65" s="54"/>
    </row>
    <row r="66" spans="1:11" ht="14.25" hidden="1" x14ac:dyDescent="0.2">
      <c r="A66" s="13"/>
      <c r="B66" s="49" t="s">
        <v>232</v>
      </c>
      <c r="C66" s="49"/>
      <c r="D66" s="49"/>
      <c r="E66" s="49"/>
      <c r="F66" s="10"/>
      <c r="G66" s="49" t="s">
        <v>232</v>
      </c>
      <c r="H66" s="49"/>
      <c r="I66" s="49"/>
      <c r="J66" s="49"/>
      <c r="K66" s="49"/>
    </row>
    <row r="67" spans="1:11" hidden="1" x14ac:dyDescent="0.2"/>
    <row r="68" spans="1:11" ht="14.25" hidden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5.75" hidden="1" x14ac:dyDescent="0.25">
      <c r="A69" s="73" t="str">
        <f>CONCATENATE( "ЛОКАЛЬНАЯ СМЕТА № ",IF(Source!F12&lt;&gt;"Новый объект", Source!F12, ""))</f>
        <v>ЛОКАЛЬНАЯ СМЕТА № Новый объект_(Копия)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</row>
    <row r="70" spans="1:11" hidden="1" x14ac:dyDescent="0.2">
      <c r="A70" s="53" t="s">
        <v>233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ht="14.25" hidden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8" hidden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11" ht="14.25" hidden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8" hidden="1" x14ac:dyDescent="0.25">
      <c r="A74" s="75" t="str">
        <f>IF(Source!G12&lt;&gt;"Новый объект", Source!G12, "")</f>
        <v>3 площадки Общая смета испр.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</row>
    <row r="75" spans="1:11" hidden="1" x14ac:dyDescent="0.2">
      <c r="A75" s="53" t="s">
        <v>234</v>
      </c>
      <c r="B75" s="76"/>
      <c r="C75" s="76"/>
      <c r="D75" s="76"/>
      <c r="E75" s="76"/>
      <c r="F75" s="76"/>
      <c r="G75" s="76"/>
      <c r="H75" s="76"/>
      <c r="I75" s="76"/>
      <c r="J75" s="76"/>
      <c r="K75" s="76"/>
    </row>
    <row r="76" spans="1:11" ht="14.25" hidden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4.25" hidden="1" x14ac:dyDescent="0.2">
      <c r="A77" s="49" t="str">
        <f>CONCATENATE( "Основание: чертежи № ", Source!J12)</f>
        <v xml:space="preserve">Основание: чертежи № 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4.25" hidden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4.25" x14ac:dyDescent="0.2">
      <c r="A79" s="10"/>
      <c r="B79" s="10"/>
      <c r="C79" s="10"/>
      <c r="D79" s="10"/>
      <c r="E79" s="10"/>
      <c r="F79" s="54" t="s">
        <v>235</v>
      </c>
      <c r="G79" s="54"/>
      <c r="H79" s="54"/>
      <c r="I79" s="68">
        <f>(Source!F224/1000)</f>
        <v>3799.68145</v>
      </c>
      <c r="J79" s="55"/>
      <c r="K79" s="10" t="s">
        <v>236</v>
      </c>
    </row>
    <row r="80" spans="1:11" ht="14.25" hidden="1" x14ac:dyDescent="0.2">
      <c r="A80" s="10"/>
      <c r="B80" s="10"/>
      <c r="C80" s="10"/>
      <c r="D80" s="10"/>
      <c r="E80" s="10"/>
      <c r="F80" s="54" t="s">
        <v>237</v>
      </c>
      <c r="G80" s="54"/>
      <c r="H80" s="54"/>
      <c r="I80" s="68">
        <f>(Source!F214)/1000</f>
        <v>0</v>
      </c>
      <c r="J80" s="55"/>
      <c r="K80" s="10" t="s">
        <v>236</v>
      </c>
    </row>
    <row r="81" spans="1:22" ht="14.25" hidden="1" x14ac:dyDescent="0.2">
      <c r="A81" s="10"/>
      <c r="B81" s="10"/>
      <c r="C81" s="10"/>
      <c r="D81" s="10"/>
      <c r="E81" s="10"/>
      <c r="F81" s="54" t="s">
        <v>238</v>
      </c>
      <c r="G81" s="54"/>
      <c r="H81" s="54"/>
      <c r="I81" s="68">
        <f>(Source!F215)/1000</f>
        <v>0</v>
      </c>
      <c r="J81" s="55"/>
      <c r="K81" s="10" t="s">
        <v>236</v>
      </c>
    </row>
    <row r="82" spans="1:22" ht="14.25" hidden="1" x14ac:dyDescent="0.2">
      <c r="A82" s="10"/>
      <c r="B82" s="10"/>
      <c r="C82" s="10"/>
      <c r="D82" s="10"/>
      <c r="E82" s="10"/>
      <c r="F82" s="54" t="s">
        <v>239</v>
      </c>
      <c r="G82" s="54"/>
      <c r="H82" s="54"/>
      <c r="I82" s="68">
        <f>(Source!F206)/1000</f>
        <v>0</v>
      </c>
      <c r="J82" s="55"/>
      <c r="K82" s="10" t="s">
        <v>236</v>
      </c>
    </row>
    <row r="83" spans="1:22" ht="14.25" hidden="1" x14ac:dyDescent="0.2">
      <c r="A83" s="10"/>
      <c r="B83" s="10"/>
      <c r="C83" s="10"/>
      <c r="D83" s="10"/>
      <c r="E83" s="10"/>
      <c r="F83" s="54" t="s">
        <v>240</v>
      </c>
      <c r="G83" s="54"/>
      <c r="H83" s="54"/>
      <c r="I83" s="68">
        <f>(Source!F216+Source!F217)/1000</f>
        <v>3799.68145</v>
      </c>
      <c r="J83" s="55"/>
      <c r="K83" s="10" t="s">
        <v>236</v>
      </c>
    </row>
    <row r="84" spans="1:22" ht="14.25" hidden="1" x14ac:dyDescent="0.2">
      <c r="A84" s="10"/>
      <c r="B84" s="10"/>
      <c r="C84" s="10"/>
      <c r="D84" s="10"/>
      <c r="E84" s="10"/>
      <c r="F84" s="54" t="s">
        <v>241</v>
      </c>
      <c r="G84" s="54"/>
      <c r="H84" s="54"/>
      <c r="I84" s="68">
        <f>(Source!F212+ Source!F211)/1000</f>
        <v>245.42568</v>
      </c>
      <c r="J84" s="55"/>
      <c r="K84" s="10" t="s">
        <v>236</v>
      </c>
    </row>
    <row r="85" spans="1:22" ht="14.25" x14ac:dyDescent="0.2">
      <c r="A85" s="10" t="s">
        <v>255</v>
      </c>
      <c r="B85" s="10"/>
      <c r="C85" s="10"/>
      <c r="D85" s="14"/>
      <c r="E85" s="15"/>
      <c r="F85" s="10"/>
      <c r="G85" s="10"/>
      <c r="H85" s="10"/>
      <c r="I85" s="10"/>
      <c r="J85" s="10"/>
      <c r="K85" s="10"/>
    </row>
    <row r="86" spans="1:22" ht="14.25" x14ac:dyDescent="0.2">
      <c r="A86" s="71" t="s">
        <v>242</v>
      </c>
      <c r="B86" s="71" t="s">
        <v>243</v>
      </c>
      <c r="C86" s="71" t="s">
        <v>244</v>
      </c>
      <c r="D86" s="71" t="s">
        <v>245</v>
      </c>
      <c r="E86" s="71" t="s">
        <v>246</v>
      </c>
      <c r="F86" s="71" t="s">
        <v>247</v>
      </c>
      <c r="G86" s="71" t="s">
        <v>248</v>
      </c>
      <c r="H86" s="71" t="s">
        <v>249</v>
      </c>
      <c r="I86" s="71" t="s">
        <v>250</v>
      </c>
      <c r="J86" s="71" t="s">
        <v>251</v>
      </c>
      <c r="K86" s="16" t="s">
        <v>252</v>
      </c>
    </row>
    <row r="87" spans="1:22" ht="28.5" x14ac:dyDescent="0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17" t="s">
        <v>253</v>
      </c>
    </row>
    <row r="88" spans="1:22" ht="28.5" x14ac:dyDescent="0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17" t="s">
        <v>254</v>
      </c>
    </row>
    <row r="89" spans="1:22" ht="14.25" x14ac:dyDescent="0.2">
      <c r="A89" s="17">
        <v>1</v>
      </c>
      <c r="B89" s="17">
        <v>2</v>
      </c>
      <c r="C89" s="17">
        <v>3</v>
      </c>
      <c r="D89" s="17">
        <v>4</v>
      </c>
      <c r="E89" s="17">
        <v>5</v>
      </c>
      <c r="F89" s="17">
        <v>6</v>
      </c>
      <c r="G89" s="17">
        <v>7</v>
      </c>
      <c r="H89" s="17">
        <v>8</v>
      </c>
      <c r="I89" s="17">
        <v>9</v>
      </c>
      <c r="J89" s="17">
        <v>10</v>
      </c>
      <c r="K89" s="17">
        <v>11</v>
      </c>
    </row>
    <row r="90" spans="1:22" hidden="1" x14ac:dyDescent="0.2"/>
    <row r="91" spans="1:22" ht="16.5" hidden="1" x14ac:dyDescent="0.25">
      <c r="A91" s="70" t="str">
        <f>CONCATENATE("Локальная смета: ",IF(Source!G20&lt;&gt;"Новая локальная смета", Source!G20, ""))</f>
        <v xml:space="preserve">Локальная смета: 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</row>
    <row r="92" spans="1:22" hidden="1" x14ac:dyDescent="0.2"/>
    <row r="93" spans="1:22" ht="16.5" x14ac:dyDescent="0.25">
      <c r="A93" s="70" t="str">
        <f>CONCATENATE("Раздел: ",IF(Source!G24&lt;&gt;"Новый раздел", Source!G24, ""))</f>
        <v>Раздел: Детская площадка на сквере вдоль шоссе Энтузиастов (353,1 м2)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</row>
    <row r="94" spans="1:22" s="33" customFormat="1" ht="75" x14ac:dyDescent="0.2">
      <c r="A94" s="26" t="str">
        <f>Source!E28</f>
        <v>1</v>
      </c>
      <c r="B94" s="27" t="str">
        <f>Source!F28</f>
        <v>5.3-3104-1-1/1</v>
      </c>
      <c r="C94" s="27" t="str">
        <f>Source!G28</f>
        <v>Разборка полиуретанового покрытия игровых площадок, спортивных дорожек и площадок - на асфальтобетонном основании толщиной 2см (крошка-2,595т*2слоя=5,19т + связующие-0,853т+0,742т=1,595. Всего: 6,785т)</v>
      </c>
      <c r="D94" s="28" t="str">
        <f>Source!H28</f>
        <v>100 м2</v>
      </c>
      <c r="E94" s="29">
        <f>Source!I28</f>
        <v>3.5310000000000001</v>
      </c>
      <c r="F94" s="30"/>
      <c r="G94" s="31"/>
      <c r="H94" s="29"/>
      <c r="I94" s="29"/>
      <c r="J94" s="32"/>
      <c r="K94" s="32"/>
      <c r="Q94" s="33">
        <f>ROUND((Source!BZ28/100)*ROUND((Source!AF28*Source!AV28)*Source!I28, 2), 2)</f>
        <v>1500.18</v>
      </c>
      <c r="R94" s="33">
        <f>Source!X28</f>
        <v>1500.18</v>
      </c>
      <c r="S94" s="33">
        <f>ROUND((Source!CA28/100)*ROUND((Source!AF28*Source!AV28)*Source!I28, 2), 2)</f>
        <v>214.31</v>
      </c>
      <c r="T94" s="33">
        <f>Source!Y28</f>
        <v>214.31</v>
      </c>
      <c r="U94" s="33">
        <f>ROUND((175/100)*ROUND((Source!AE28*Source!AV28)*Source!I28, 2), 2)</f>
        <v>0</v>
      </c>
      <c r="V94" s="33">
        <f>ROUND((108/100)*ROUND(Source!CS28*Source!I28, 2), 2)</f>
        <v>0</v>
      </c>
    </row>
    <row r="95" spans="1:22" s="33" customFormat="1" ht="15" x14ac:dyDescent="0.2">
      <c r="A95" s="26"/>
      <c r="B95" s="27"/>
      <c r="C95" s="27" t="s">
        <v>256</v>
      </c>
      <c r="D95" s="28"/>
      <c r="E95" s="29"/>
      <c r="F95" s="30">
        <f>Source!AO28</f>
        <v>606.94000000000005</v>
      </c>
      <c r="G95" s="31" t="str">
        <f>Source!DG28</f>
        <v/>
      </c>
      <c r="H95" s="29">
        <f>Source!AV28</f>
        <v>1</v>
      </c>
      <c r="I95" s="29">
        <f>IF(Source!BA28&lt;&gt; 0, Source!BA28, 1)</f>
        <v>1</v>
      </c>
      <c r="J95" s="32">
        <f>Source!S28</f>
        <v>2143.11</v>
      </c>
      <c r="K95" s="32"/>
    </row>
    <row r="96" spans="1:22" s="33" customFormat="1" ht="15" x14ac:dyDescent="0.2">
      <c r="A96" s="26"/>
      <c r="B96" s="27"/>
      <c r="C96" s="27" t="s">
        <v>257</v>
      </c>
      <c r="D96" s="28" t="s">
        <v>258</v>
      </c>
      <c r="E96" s="29">
        <f>Source!AT28</f>
        <v>70</v>
      </c>
      <c r="F96" s="30"/>
      <c r="G96" s="31"/>
      <c r="H96" s="29"/>
      <c r="I96" s="29"/>
      <c r="J96" s="32">
        <f>SUM(R94:R95)</f>
        <v>1500.18</v>
      </c>
      <c r="K96" s="32"/>
    </row>
    <row r="97" spans="1:22" s="33" customFormat="1" ht="15" x14ac:dyDescent="0.2">
      <c r="A97" s="26"/>
      <c r="B97" s="27"/>
      <c r="C97" s="27" t="s">
        <v>259</v>
      </c>
      <c r="D97" s="28" t="s">
        <v>258</v>
      </c>
      <c r="E97" s="29">
        <f>Source!AU28</f>
        <v>10</v>
      </c>
      <c r="F97" s="30"/>
      <c r="G97" s="31"/>
      <c r="H97" s="29"/>
      <c r="I97" s="29"/>
      <c r="J97" s="32">
        <f>SUM(T94:T96)</f>
        <v>214.31</v>
      </c>
      <c r="K97" s="32"/>
    </row>
    <row r="98" spans="1:22" s="33" customFormat="1" ht="15" x14ac:dyDescent="0.2">
      <c r="A98" s="26"/>
      <c r="B98" s="27"/>
      <c r="C98" s="27" t="s">
        <v>260</v>
      </c>
      <c r="D98" s="28" t="s">
        <v>261</v>
      </c>
      <c r="E98" s="29">
        <f>Source!AQ28</f>
        <v>3.3</v>
      </c>
      <c r="F98" s="30"/>
      <c r="G98" s="31" t="str">
        <f>Source!DI28</f>
        <v/>
      </c>
      <c r="H98" s="29">
        <f>Source!AV28</f>
        <v>1</v>
      </c>
      <c r="I98" s="29"/>
      <c r="J98" s="32"/>
      <c r="K98" s="32">
        <f>Source!U28</f>
        <v>11.6523</v>
      </c>
    </row>
    <row r="99" spans="1:22" s="33" customFormat="1" ht="15.75" x14ac:dyDescent="0.25">
      <c r="A99" s="34"/>
      <c r="B99" s="34"/>
      <c r="C99" s="34"/>
      <c r="D99" s="34"/>
      <c r="E99" s="34"/>
      <c r="F99" s="34"/>
      <c r="G99" s="34"/>
      <c r="H99" s="34"/>
      <c r="I99" s="69">
        <f>J95+J96+J97</f>
        <v>3857.6</v>
      </c>
      <c r="J99" s="69"/>
      <c r="K99" s="35">
        <f>IF(Source!I28&lt;&gt;0, ROUND(I99/Source!I28, 2), 0)</f>
        <v>1092.5</v>
      </c>
      <c r="P99" s="36">
        <f>I99</f>
        <v>3857.6</v>
      </c>
    </row>
    <row r="100" spans="1:22" s="33" customFormat="1" ht="45" x14ac:dyDescent="0.2">
      <c r="A100" s="26" t="str">
        <f>Source!E29</f>
        <v>2</v>
      </c>
      <c r="B100" s="27" t="str">
        <f>Source!F29</f>
        <v>5.3-3103-11-1/1</v>
      </c>
      <c r="C100" s="27" t="str">
        <f>Source!G29</f>
        <v>Устройство наливного полиуретанового покрытия спортивных площадок и беговых дорожек толщиной 10 мм</v>
      </c>
      <c r="D100" s="28" t="str">
        <f>Source!H29</f>
        <v>100 м2</v>
      </c>
      <c r="E100" s="29">
        <f>Source!I29</f>
        <v>3.5310000000000001</v>
      </c>
      <c r="F100" s="30"/>
      <c r="G100" s="31"/>
      <c r="H100" s="29"/>
      <c r="I100" s="29"/>
      <c r="J100" s="32"/>
      <c r="K100" s="32"/>
      <c r="Q100" s="33">
        <f>ROUND((Source!BZ29/100)*ROUND((Source!AF29*Source!AV29)*Source!I29, 2), 2)</f>
        <v>10076.209999999999</v>
      </c>
      <c r="R100" s="33">
        <f>Source!X29</f>
        <v>10076.209999999999</v>
      </c>
      <c r="S100" s="33">
        <f>ROUND((Source!CA29/100)*ROUND((Source!AF29*Source!AV29)*Source!I29, 2), 2)</f>
        <v>1439.46</v>
      </c>
      <c r="T100" s="33">
        <f>Source!Y29</f>
        <v>1439.46</v>
      </c>
      <c r="U100" s="33">
        <f>ROUND((175/100)*ROUND((Source!AE29*Source!AV29)*Source!I29, 2), 2)</f>
        <v>12750.64</v>
      </c>
      <c r="V100" s="33">
        <f>ROUND((108/100)*ROUND(Source!CS29*Source!I29, 2), 2)</f>
        <v>7868.97</v>
      </c>
    </row>
    <row r="101" spans="1:22" s="33" customFormat="1" x14ac:dyDescent="0.2">
      <c r="A101" s="26"/>
      <c r="B101" s="27"/>
      <c r="C101" s="27" t="s">
        <v>256</v>
      </c>
      <c r="D101" s="28"/>
      <c r="E101" s="29"/>
      <c r="F101" s="30">
        <f>Source!AO29</f>
        <v>4076.63</v>
      </c>
      <c r="G101" s="31" t="str">
        <f>Source!DG29</f>
        <v/>
      </c>
      <c r="H101" s="29">
        <f>Source!AV29</f>
        <v>1</v>
      </c>
      <c r="I101" s="29">
        <f>IF(Source!BA29&lt;&gt; 0, Source!BA29, 1)</f>
        <v>1</v>
      </c>
      <c r="J101" s="32">
        <f>Source!S29</f>
        <v>14394.58</v>
      </c>
      <c r="K101" s="32"/>
    </row>
    <row r="102" spans="1:22" s="33" customFormat="1" ht="15" x14ac:dyDescent="0.2">
      <c r="A102" s="26"/>
      <c r="B102" s="27"/>
      <c r="C102" s="27" t="s">
        <v>262</v>
      </c>
      <c r="D102" s="28"/>
      <c r="E102" s="29"/>
      <c r="F102" s="30">
        <f>Source!AM29</f>
        <v>2617.25</v>
      </c>
      <c r="G102" s="31" t="str">
        <f>Source!DE29</f>
        <v/>
      </c>
      <c r="H102" s="29">
        <f>Source!AV29</f>
        <v>1</v>
      </c>
      <c r="I102" s="29">
        <f>IF(Source!BB29&lt;&gt; 0, Source!BB29, 1)</f>
        <v>1</v>
      </c>
      <c r="J102" s="32">
        <f>Source!Q29</f>
        <v>9241.51</v>
      </c>
      <c r="K102" s="32"/>
    </row>
    <row r="103" spans="1:22" s="33" customFormat="1" ht="15" x14ac:dyDescent="0.2">
      <c r="A103" s="26"/>
      <c r="B103" s="27"/>
      <c r="C103" s="27" t="s">
        <v>263</v>
      </c>
      <c r="D103" s="28"/>
      <c r="E103" s="29"/>
      <c r="F103" s="30">
        <f>Source!AN29</f>
        <v>2063.46</v>
      </c>
      <c r="G103" s="31" t="str">
        <f>Source!DF29</f>
        <v/>
      </c>
      <c r="H103" s="29">
        <f>Source!AV29</f>
        <v>1</v>
      </c>
      <c r="I103" s="29">
        <f>IF(Source!BS29&lt;&gt; 0, Source!BS29, 1)</f>
        <v>1</v>
      </c>
      <c r="J103" s="37">
        <f>Source!R29</f>
        <v>7286.08</v>
      </c>
      <c r="K103" s="32"/>
    </row>
    <row r="104" spans="1:22" s="33" customFormat="1" ht="15" x14ac:dyDescent="0.2">
      <c r="A104" s="26"/>
      <c r="B104" s="27"/>
      <c r="C104" s="27" t="s">
        <v>264</v>
      </c>
      <c r="D104" s="28"/>
      <c r="E104" s="29"/>
      <c r="F104" s="30">
        <f>Source!AL29</f>
        <v>102359.62</v>
      </c>
      <c r="G104" s="31" t="str">
        <f>Source!DD29</f>
        <v/>
      </c>
      <c r="H104" s="29">
        <f>Source!AW29</f>
        <v>1</v>
      </c>
      <c r="I104" s="29">
        <f>IF(Source!BC29&lt;&gt; 0, Source!BC29, 1)</f>
        <v>1</v>
      </c>
      <c r="J104" s="32">
        <f>Source!P29</f>
        <v>361431.82</v>
      </c>
      <c r="K104" s="32"/>
    </row>
    <row r="105" spans="1:22" s="33" customFormat="1" ht="15" x14ac:dyDescent="0.2">
      <c r="A105" s="26" t="str">
        <f>Source!E30</f>
        <v>2,1</v>
      </c>
      <c r="B105" s="27" t="str">
        <f>Source!F30</f>
        <v>21.1-6-101</v>
      </c>
      <c r="C105" s="27" t="str">
        <f>Source!G30</f>
        <v>Пигменты сухие для красок, кислотный желтый</v>
      </c>
      <c r="D105" s="28" t="str">
        <f>Source!H30</f>
        <v>т</v>
      </c>
      <c r="E105" s="29">
        <f>Source!I30</f>
        <v>-0.18537799999999999</v>
      </c>
      <c r="F105" s="30">
        <f>Source!AK30</f>
        <v>748299.67</v>
      </c>
      <c r="G105" s="38" t="s">
        <v>3</v>
      </c>
      <c r="H105" s="29">
        <f>Source!AW30</f>
        <v>1</v>
      </c>
      <c r="I105" s="29">
        <f>IF(Source!BC30&lt;&gt; 0, Source!BC30, 1)</f>
        <v>1</v>
      </c>
      <c r="J105" s="32">
        <f>Source!O30</f>
        <v>-138718.29999999999</v>
      </c>
      <c r="K105" s="32"/>
      <c r="Q105" s="33">
        <f>ROUND((Source!BZ30/100)*ROUND((Source!AF30*Source!AV30)*Source!I30, 2), 2)</f>
        <v>0</v>
      </c>
      <c r="R105" s="33">
        <f>Source!X30</f>
        <v>0</v>
      </c>
      <c r="S105" s="33">
        <f>ROUND((Source!CA30/100)*ROUND((Source!AF30*Source!AV30)*Source!I30, 2), 2)</f>
        <v>0</v>
      </c>
      <c r="T105" s="33">
        <f>Source!Y30</f>
        <v>0</v>
      </c>
      <c r="U105" s="33">
        <f>ROUND((175/100)*ROUND((Source!AE30*Source!AV30)*Source!I30, 2), 2)</f>
        <v>0</v>
      </c>
      <c r="V105" s="33">
        <f>ROUND((108/100)*ROUND(Source!CS30*Source!I30, 2), 2)</f>
        <v>0</v>
      </c>
    </row>
    <row r="106" spans="1:22" s="33" customFormat="1" ht="15" x14ac:dyDescent="0.2">
      <c r="A106" s="26"/>
      <c r="B106" s="27"/>
      <c r="C106" s="27" t="s">
        <v>257</v>
      </c>
      <c r="D106" s="28" t="s">
        <v>258</v>
      </c>
      <c r="E106" s="29">
        <f>Source!AT29</f>
        <v>70</v>
      </c>
      <c r="F106" s="30"/>
      <c r="G106" s="31"/>
      <c r="H106" s="29"/>
      <c r="I106" s="29"/>
      <c r="J106" s="32">
        <f>SUM(R100:R105)</f>
        <v>10076.209999999999</v>
      </c>
      <c r="K106" s="32"/>
    </row>
    <row r="107" spans="1:22" s="33" customFormat="1" ht="15" x14ac:dyDescent="0.2">
      <c r="A107" s="26"/>
      <c r="B107" s="27"/>
      <c r="C107" s="27" t="s">
        <v>259</v>
      </c>
      <c r="D107" s="28" t="s">
        <v>258</v>
      </c>
      <c r="E107" s="29">
        <f>Source!AU29</f>
        <v>10</v>
      </c>
      <c r="F107" s="30"/>
      <c r="G107" s="31"/>
      <c r="H107" s="29"/>
      <c r="I107" s="29"/>
      <c r="J107" s="32">
        <f>SUM(T100:T106)</f>
        <v>1439.46</v>
      </c>
      <c r="K107" s="32"/>
    </row>
    <row r="108" spans="1:22" s="33" customFormat="1" ht="15" x14ac:dyDescent="0.2">
      <c r="A108" s="26"/>
      <c r="B108" s="27"/>
      <c r="C108" s="27" t="s">
        <v>265</v>
      </c>
      <c r="D108" s="28" t="s">
        <v>258</v>
      </c>
      <c r="E108" s="29">
        <f>108</f>
        <v>108</v>
      </c>
      <c r="F108" s="30"/>
      <c r="G108" s="31"/>
      <c r="H108" s="29"/>
      <c r="I108" s="29"/>
      <c r="J108" s="32">
        <f>SUM(V100:V107)</f>
        <v>7868.97</v>
      </c>
      <c r="K108" s="32"/>
    </row>
    <row r="109" spans="1:22" s="33" customFormat="1" ht="15" x14ac:dyDescent="0.2">
      <c r="A109" s="26"/>
      <c r="B109" s="27"/>
      <c r="C109" s="27" t="s">
        <v>260</v>
      </c>
      <c r="D109" s="28" t="s">
        <v>261</v>
      </c>
      <c r="E109" s="29">
        <f>Source!AQ29</f>
        <v>18.440000000000001</v>
      </c>
      <c r="F109" s="30"/>
      <c r="G109" s="31" t="str">
        <f>Source!DI29</f>
        <v/>
      </c>
      <c r="H109" s="29">
        <f>Source!AV29</f>
        <v>1</v>
      </c>
      <c r="I109" s="29"/>
      <c r="J109" s="32"/>
      <c r="K109" s="32">
        <f>Source!U29</f>
        <v>65.111640000000008</v>
      </c>
    </row>
    <row r="110" spans="1:22" s="33" customFormat="1" ht="15.75" x14ac:dyDescent="0.25">
      <c r="A110" s="34"/>
      <c r="B110" s="34"/>
      <c r="C110" s="34"/>
      <c r="D110" s="34"/>
      <c r="E110" s="34"/>
      <c r="F110" s="34"/>
      <c r="G110" s="34"/>
      <c r="H110" s="34"/>
      <c r="I110" s="69">
        <f>J101+J102+J104+J106+J107+J108+SUM(J105:J105)</f>
        <v>265734.25000000006</v>
      </c>
      <c r="J110" s="69"/>
      <c r="K110" s="35">
        <f>IF(Source!I29&lt;&gt;0, ROUND(I110/Source!I29, 2), 0)</f>
        <v>75257.5</v>
      </c>
      <c r="P110" s="36">
        <f>I110</f>
        <v>265734.25000000006</v>
      </c>
    </row>
    <row r="111" spans="1:22" s="33" customFormat="1" ht="60" x14ac:dyDescent="0.2">
      <c r="A111" s="26" t="str">
        <f>Source!E31</f>
        <v>3</v>
      </c>
      <c r="B111" s="27" t="str">
        <f>Source!F31</f>
        <v>5.3-3103-11-2/1</v>
      </c>
      <c r="C111" s="27" t="str">
        <f>Source!G31</f>
        <v>Устройство наливного полиуретанового покрытия спортивных площадок и беговых дорожек, добавляется на 2 мм толщины покрытия (цвет зеленый)</v>
      </c>
      <c r="D111" s="28" t="str">
        <f>Source!H31</f>
        <v>100 м2</v>
      </c>
      <c r="E111" s="29">
        <f>Source!I31</f>
        <v>3.5310000000000001</v>
      </c>
      <c r="F111" s="30"/>
      <c r="G111" s="31"/>
      <c r="H111" s="29"/>
      <c r="I111" s="29"/>
      <c r="J111" s="32"/>
      <c r="K111" s="32"/>
      <c r="Q111" s="33">
        <f>ROUND((Source!BZ31/100)*ROUND((Source!AF31*Source!AV31)*Source!I31, 2), 2)</f>
        <v>7447.73</v>
      </c>
      <c r="R111" s="33">
        <f>Source!X31</f>
        <v>7447.73</v>
      </c>
      <c r="S111" s="33">
        <f>ROUND((Source!CA31/100)*ROUND((Source!AF31*Source!AV31)*Source!I31, 2), 2)</f>
        <v>1063.96</v>
      </c>
      <c r="T111" s="33">
        <f>Source!Y31</f>
        <v>1063.96</v>
      </c>
      <c r="U111" s="33">
        <f>ROUND((175/100)*ROUND((Source!AE31*Source!AV31)*Source!I31, 2), 2)</f>
        <v>12037.8</v>
      </c>
      <c r="V111" s="33">
        <f>ROUND((108/100)*ROUND(Source!CS31*Source!I31, 2), 2)</f>
        <v>7429.04</v>
      </c>
    </row>
    <row r="112" spans="1:22" s="33" customFormat="1" ht="15" x14ac:dyDescent="0.2">
      <c r="A112" s="26"/>
      <c r="B112" s="27"/>
      <c r="C112" s="27" t="s">
        <v>256</v>
      </c>
      <c r="D112" s="28"/>
      <c r="E112" s="29"/>
      <c r="F112" s="30">
        <f>Source!AO31</f>
        <v>602.64</v>
      </c>
      <c r="G112" s="31" t="str">
        <f>Source!DG31</f>
        <v>)*5</v>
      </c>
      <c r="H112" s="29">
        <f>Source!AV31</f>
        <v>1</v>
      </c>
      <c r="I112" s="29">
        <f>IF(Source!BA31&lt;&gt; 0, Source!BA31, 1)</f>
        <v>1</v>
      </c>
      <c r="J112" s="32">
        <f>Source!S31</f>
        <v>10639.61</v>
      </c>
      <c r="K112" s="32"/>
    </row>
    <row r="113" spans="1:22" s="33" customFormat="1" ht="15" x14ac:dyDescent="0.2">
      <c r="A113" s="26"/>
      <c r="B113" s="27"/>
      <c r="C113" s="27" t="s">
        <v>262</v>
      </c>
      <c r="D113" s="28"/>
      <c r="E113" s="29"/>
      <c r="F113" s="30">
        <f>Source!AM31</f>
        <v>492.86</v>
      </c>
      <c r="G113" s="31" t="str">
        <f>Source!DE31</f>
        <v>)*5</v>
      </c>
      <c r="H113" s="29">
        <f>Source!AV31</f>
        <v>1</v>
      </c>
      <c r="I113" s="29">
        <f>IF(Source!BB31&lt;&gt; 0, Source!BB31, 1)</f>
        <v>1</v>
      </c>
      <c r="J113" s="32">
        <f>Source!Q31</f>
        <v>8701.44</v>
      </c>
      <c r="K113" s="32"/>
    </row>
    <row r="114" spans="1:22" s="33" customFormat="1" ht="15" x14ac:dyDescent="0.2">
      <c r="A114" s="26"/>
      <c r="B114" s="27"/>
      <c r="C114" s="27" t="s">
        <v>263</v>
      </c>
      <c r="D114" s="28"/>
      <c r="E114" s="29"/>
      <c r="F114" s="30">
        <f>Source!AN31</f>
        <v>389.62</v>
      </c>
      <c r="G114" s="31" t="str">
        <f>Source!DF31</f>
        <v>)*5</v>
      </c>
      <c r="H114" s="29">
        <f>Source!AV31</f>
        <v>1</v>
      </c>
      <c r="I114" s="29">
        <f>IF(Source!BS31&lt;&gt; 0, Source!BS31, 1)</f>
        <v>1</v>
      </c>
      <c r="J114" s="37">
        <f>Source!R31</f>
        <v>6878.74</v>
      </c>
      <c r="K114" s="32"/>
    </row>
    <row r="115" spans="1:22" s="33" customFormat="1" ht="15" x14ac:dyDescent="0.2">
      <c r="A115" s="26"/>
      <c r="B115" s="27"/>
      <c r="C115" s="27" t="s">
        <v>264</v>
      </c>
      <c r="D115" s="28"/>
      <c r="E115" s="29"/>
      <c r="F115" s="30">
        <f>Source!AL31</f>
        <v>18967.62</v>
      </c>
      <c r="G115" s="31" t="str">
        <f>Source!DD31</f>
        <v>)*5</v>
      </c>
      <c r="H115" s="29">
        <f>Source!AW31</f>
        <v>1</v>
      </c>
      <c r="I115" s="29">
        <f>IF(Source!BC31&lt;&gt; 0, Source!BC31, 1)</f>
        <v>1</v>
      </c>
      <c r="J115" s="32">
        <f>Source!P31</f>
        <v>334873.33</v>
      </c>
      <c r="K115" s="32"/>
    </row>
    <row r="116" spans="1:22" s="33" customFormat="1" ht="30" x14ac:dyDescent="0.2">
      <c r="A116" s="26" t="str">
        <f>Source!E32</f>
        <v>3,1</v>
      </c>
      <c r="B116" s="27" t="str">
        <f>Source!F32</f>
        <v>21.1-25-769</v>
      </c>
      <c r="C116" s="27" t="str">
        <f>Source!G32</f>
        <v>Крошка резиновая гранулированная, фракция 2-3 мм</v>
      </c>
      <c r="D116" s="28" t="str">
        <f>Source!H32</f>
        <v>кг</v>
      </c>
      <c r="E116" s="29">
        <f>Source!I32</f>
        <v>-2595.2850000000003</v>
      </c>
      <c r="F116" s="30">
        <f>Source!AK32</f>
        <v>17.77</v>
      </c>
      <c r="G116" s="38" t="s">
        <v>266</v>
      </c>
      <c r="H116" s="29">
        <f>Source!AW32</f>
        <v>1</v>
      </c>
      <c r="I116" s="29">
        <f>IF(Source!BC32&lt;&gt; 0, Source!BC32, 1)</f>
        <v>1</v>
      </c>
      <c r="J116" s="32">
        <f>Source!O32</f>
        <v>-46118.21</v>
      </c>
      <c r="K116" s="32"/>
      <c r="Q116" s="33">
        <f>ROUND((Source!BZ32/100)*ROUND((Source!AF32*Source!AV32)*Source!I32, 2), 2)</f>
        <v>0</v>
      </c>
      <c r="R116" s="33">
        <f>Source!X32</f>
        <v>0</v>
      </c>
      <c r="S116" s="33">
        <f>ROUND((Source!CA32/100)*ROUND((Source!AF32*Source!AV32)*Source!I32, 2), 2)</f>
        <v>0</v>
      </c>
      <c r="T116" s="33">
        <f>Source!Y32</f>
        <v>0</v>
      </c>
      <c r="U116" s="33">
        <f>ROUND((175/100)*ROUND((Source!AE32*Source!AV32)*Source!I32, 2), 2)</f>
        <v>0</v>
      </c>
      <c r="V116" s="33">
        <f>ROUND((108/100)*ROUND(Source!CS32*Source!I32, 2), 2)</f>
        <v>0</v>
      </c>
    </row>
    <row r="117" spans="1:22" s="33" customFormat="1" ht="45" x14ac:dyDescent="0.2">
      <c r="A117" s="26" t="str">
        <f>Source!E33</f>
        <v>3,2</v>
      </c>
      <c r="B117" s="27" t="str">
        <f>Source!F33</f>
        <v>21.1-25-770</v>
      </c>
      <c r="C117" s="27" t="str">
        <f>Source!G33</f>
        <v>Крошка каучуковая гранулированная, окрашенная в массе, фракция 2-3 мм, цвет черный</v>
      </c>
      <c r="D117" s="28" t="str">
        <f>Source!H33</f>
        <v>кг</v>
      </c>
      <c r="E117" s="29">
        <f>Source!I33</f>
        <v>2595.2849999999999</v>
      </c>
      <c r="F117" s="30">
        <f>Source!AK33</f>
        <v>94.72</v>
      </c>
      <c r="G117" s="38" t="s">
        <v>3</v>
      </c>
      <c r="H117" s="29">
        <f>Source!AW33</f>
        <v>1</v>
      </c>
      <c r="I117" s="29">
        <f>IF(Source!BC33&lt;&gt; 0, Source!BC33, 1)</f>
        <v>1</v>
      </c>
      <c r="J117" s="32">
        <f>Source!O33</f>
        <v>245825.4</v>
      </c>
      <c r="K117" s="32"/>
      <c r="Q117" s="33">
        <f>ROUND((Source!BZ33/100)*ROUND((Source!AF33*Source!AV33)*Source!I33, 2), 2)</f>
        <v>0</v>
      </c>
      <c r="R117" s="33">
        <f>Source!X33</f>
        <v>0</v>
      </c>
      <c r="S117" s="33">
        <f>ROUND((Source!CA33/100)*ROUND((Source!AF33*Source!AV33)*Source!I33, 2), 2)</f>
        <v>0</v>
      </c>
      <c r="T117" s="33">
        <f>Source!Y33</f>
        <v>0</v>
      </c>
      <c r="U117" s="33">
        <f>ROUND((175/100)*ROUND((Source!AE33*Source!AV33)*Source!I33, 2), 2)</f>
        <v>0</v>
      </c>
      <c r="V117" s="33">
        <f>ROUND((108/100)*ROUND(Source!CS33*Source!I33, 2), 2)</f>
        <v>0</v>
      </c>
    </row>
    <row r="118" spans="1:22" s="33" customFormat="1" ht="15" x14ac:dyDescent="0.2">
      <c r="A118" s="26"/>
      <c r="B118" s="27"/>
      <c r="C118" s="27" t="s">
        <v>257</v>
      </c>
      <c r="D118" s="28" t="s">
        <v>258</v>
      </c>
      <c r="E118" s="29">
        <f>Source!AT31</f>
        <v>70</v>
      </c>
      <c r="F118" s="30"/>
      <c r="G118" s="31"/>
      <c r="H118" s="29"/>
      <c r="I118" s="29"/>
      <c r="J118" s="32">
        <f>SUM(R111:R117)</f>
        <v>7447.73</v>
      </c>
      <c r="K118" s="32"/>
    </row>
    <row r="119" spans="1:22" s="33" customFormat="1" ht="15" x14ac:dyDescent="0.2">
      <c r="A119" s="26"/>
      <c r="B119" s="27"/>
      <c r="C119" s="27" t="s">
        <v>259</v>
      </c>
      <c r="D119" s="28" t="s">
        <v>258</v>
      </c>
      <c r="E119" s="29">
        <f>Source!AU31</f>
        <v>10</v>
      </c>
      <c r="F119" s="30"/>
      <c r="G119" s="31"/>
      <c r="H119" s="29"/>
      <c r="I119" s="29"/>
      <c r="J119" s="32">
        <f>SUM(T111:T118)</f>
        <v>1063.96</v>
      </c>
      <c r="K119" s="32"/>
    </row>
    <row r="120" spans="1:22" s="33" customFormat="1" ht="15" x14ac:dyDescent="0.2">
      <c r="A120" s="26"/>
      <c r="B120" s="27"/>
      <c r="C120" s="27" t="s">
        <v>265</v>
      </c>
      <c r="D120" s="28" t="s">
        <v>258</v>
      </c>
      <c r="E120" s="29">
        <f>108</f>
        <v>108</v>
      </c>
      <c r="F120" s="30"/>
      <c r="G120" s="31"/>
      <c r="H120" s="29"/>
      <c r="I120" s="29"/>
      <c r="J120" s="32">
        <f>SUM(V111:V119)</f>
        <v>7429.04</v>
      </c>
      <c r="K120" s="32"/>
    </row>
    <row r="121" spans="1:22" s="33" customFormat="1" ht="15" x14ac:dyDescent="0.2">
      <c r="A121" s="26"/>
      <c r="B121" s="27"/>
      <c r="C121" s="27" t="s">
        <v>260</v>
      </c>
      <c r="D121" s="28" t="s">
        <v>261</v>
      </c>
      <c r="E121" s="29">
        <f>Source!AQ31</f>
        <v>2.65</v>
      </c>
      <c r="F121" s="30"/>
      <c r="G121" s="31" t="str">
        <f>Source!DI31</f>
        <v>)*5</v>
      </c>
      <c r="H121" s="29">
        <f>Source!AV31</f>
        <v>1</v>
      </c>
      <c r="I121" s="29"/>
      <c r="J121" s="32"/>
      <c r="K121" s="32">
        <f>Source!U31</f>
        <v>46.78575</v>
      </c>
    </row>
    <row r="122" spans="1:22" s="33" customFormat="1" ht="15.75" x14ac:dyDescent="0.25">
      <c r="A122" s="34"/>
      <c r="B122" s="34"/>
      <c r="C122" s="34"/>
      <c r="D122" s="34"/>
      <c r="E122" s="34"/>
      <c r="F122" s="34"/>
      <c r="G122" s="34"/>
      <c r="H122" s="34"/>
      <c r="I122" s="69">
        <f>J112+J113+J115+J118+J119+J120+SUM(J116:J117)</f>
        <v>569862.30000000005</v>
      </c>
      <c r="J122" s="69"/>
      <c r="K122" s="35">
        <f>IF(Source!I31&lt;&gt;0, ROUND(I122/Source!I31, 2), 0)</f>
        <v>161388.35999999999</v>
      </c>
      <c r="P122" s="36">
        <f>I122</f>
        <v>569862.30000000005</v>
      </c>
    </row>
    <row r="123" spans="1:22" s="33" customFormat="1" ht="30" x14ac:dyDescent="0.2">
      <c r="A123" s="26" t="str">
        <f>Source!E34</f>
        <v>4</v>
      </c>
      <c r="B123" s="27" t="str">
        <f>Source!F34</f>
        <v>1.49-9101-7-1/1</v>
      </c>
      <c r="C123" s="27" t="str">
        <f>Source!G34</f>
        <v>Механизированная погрузка строительного мусора в автомобили-самосвалы</v>
      </c>
      <c r="D123" s="28" t="str">
        <f>Source!H34</f>
        <v>т</v>
      </c>
      <c r="E123" s="29">
        <f>Source!I34</f>
        <v>6.1064999999999996</v>
      </c>
      <c r="F123" s="30"/>
      <c r="G123" s="31"/>
      <c r="H123" s="29"/>
      <c r="I123" s="29"/>
      <c r="J123" s="32"/>
      <c r="K123" s="32"/>
      <c r="Q123" s="33">
        <f>ROUND((Source!BZ34/100)*ROUND((Source!AF34*Source!AV34)*Source!I34, 2), 2)</f>
        <v>0</v>
      </c>
      <c r="R123" s="33">
        <f>Source!X34</f>
        <v>0</v>
      </c>
      <c r="S123" s="33">
        <f>ROUND((Source!CA34/100)*ROUND((Source!AF34*Source!AV34)*Source!I34, 2), 2)</f>
        <v>0</v>
      </c>
      <c r="T123" s="33">
        <f>Source!Y34</f>
        <v>0</v>
      </c>
      <c r="U123" s="33">
        <f>ROUND((175/100)*ROUND((Source!AE34*Source!AV34)*Source!I34, 2), 2)</f>
        <v>276.13</v>
      </c>
      <c r="V123" s="33">
        <f>ROUND((108/100)*ROUND(Source!CS34*Source!I34, 2), 2)</f>
        <v>170.41</v>
      </c>
    </row>
    <row r="124" spans="1:22" s="33" customFormat="1" ht="15" x14ac:dyDescent="0.2">
      <c r="A124" s="26"/>
      <c r="B124" s="27"/>
      <c r="C124" s="27" t="s">
        <v>262</v>
      </c>
      <c r="D124" s="28"/>
      <c r="E124" s="29"/>
      <c r="F124" s="30">
        <f>Source!AM34</f>
        <v>80.25</v>
      </c>
      <c r="G124" s="31" t="str">
        <f>Source!DE34</f>
        <v/>
      </c>
      <c r="H124" s="29">
        <f>Source!AV34</f>
        <v>1</v>
      </c>
      <c r="I124" s="29">
        <f>IF(Source!BB34&lt;&gt; 0, Source!BB34, 1)</f>
        <v>1</v>
      </c>
      <c r="J124" s="32">
        <f>Source!Q34</f>
        <v>490.05</v>
      </c>
      <c r="K124" s="32"/>
    </row>
    <row r="125" spans="1:22" s="33" customFormat="1" ht="15" x14ac:dyDescent="0.2">
      <c r="A125" s="26"/>
      <c r="B125" s="27"/>
      <c r="C125" s="27" t="s">
        <v>263</v>
      </c>
      <c r="D125" s="28"/>
      <c r="E125" s="29"/>
      <c r="F125" s="30">
        <f>Source!AN34</f>
        <v>25.84</v>
      </c>
      <c r="G125" s="31" t="str">
        <f>Source!DF34</f>
        <v/>
      </c>
      <c r="H125" s="29">
        <f>Source!AV34</f>
        <v>1</v>
      </c>
      <c r="I125" s="29">
        <f>IF(Source!BS34&lt;&gt; 0, Source!BS34, 1)</f>
        <v>1</v>
      </c>
      <c r="J125" s="37">
        <f>Source!R34</f>
        <v>157.79</v>
      </c>
      <c r="K125" s="32"/>
    </row>
    <row r="126" spans="1:22" s="33" customFormat="1" ht="15" x14ac:dyDescent="0.2">
      <c r="A126" s="26"/>
      <c r="B126" s="27"/>
      <c r="C126" s="27" t="s">
        <v>265</v>
      </c>
      <c r="D126" s="28" t="s">
        <v>258</v>
      </c>
      <c r="E126" s="29">
        <f>108</f>
        <v>108</v>
      </c>
      <c r="F126" s="30"/>
      <c r="G126" s="31"/>
      <c r="H126" s="29"/>
      <c r="I126" s="29"/>
      <c r="J126" s="32">
        <f>SUM(V123:V125)</f>
        <v>170.41</v>
      </c>
      <c r="K126" s="32"/>
    </row>
    <row r="127" spans="1:22" s="33" customFormat="1" ht="15.75" x14ac:dyDescent="0.25">
      <c r="A127" s="34"/>
      <c r="B127" s="34"/>
      <c r="C127" s="34"/>
      <c r="D127" s="34"/>
      <c r="E127" s="34"/>
      <c r="F127" s="34"/>
      <c r="G127" s="34"/>
      <c r="H127" s="34"/>
      <c r="I127" s="69">
        <f>J124+J126</f>
        <v>660.46</v>
      </c>
      <c r="J127" s="69"/>
      <c r="K127" s="35">
        <f>IF(Source!I34&lt;&gt;0, ROUND(I127/Source!I34, 2), 0)</f>
        <v>108.16</v>
      </c>
      <c r="P127" s="36">
        <f>I127</f>
        <v>660.46</v>
      </c>
    </row>
    <row r="128" spans="1:22" s="33" customFormat="1" ht="30" x14ac:dyDescent="0.2">
      <c r="A128" s="26" t="str">
        <f>Source!E35</f>
        <v>5</v>
      </c>
      <c r="B128" s="27" t="str">
        <f>Source!F35</f>
        <v>1.50-3305-4-1/1</v>
      </c>
      <c r="C128" s="27" t="str">
        <f>Source!G35</f>
        <v>Погрузка и выгрузка вручную строительного мусора на транспортные средства</v>
      </c>
      <c r="D128" s="28" t="str">
        <f>Source!H35</f>
        <v>т</v>
      </c>
      <c r="E128" s="29">
        <f>Source!I35</f>
        <v>0.67849999999999999</v>
      </c>
      <c r="F128" s="30"/>
      <c r="G128" s="31"/>
      <c r="H128" s="29"/>
      <c r="I128" s="29"/>
      <c r="J128" s="32"/>
      <c r="K128" s="32"/>
      <c r="Q128" s="33">
        <f>ROUND((Source!BZ35/100)*ROUND((Source!AF35*Source!AV35)*Source!I35, 2), 2)</f>
        <v>59.32</v>
      </c>
      <c r="R128" s="33">
        <f>Source!X35</f>
        <v>59.32</v>
      </c>
      <c r="S128" s="33">
        <f>ROUND((Source!CA35/100)*ROUND((Source!AF35*Source!AV35)*Source!I35, 2), 2)</f>
        <v>8.4700000000000006</v>
      </c>
      <c r="T128" s="33">
        <f>Source!Y35</f>
        <v>8.4700000000000006</v>
      </c>
      <c r="U128" s="33">
        <f>ROUND((175/100)*ROUND((Source!AE35*Source!AV35)*Source!I35, 2), 2)</f>
        <v>0</v>
      </c>
      <c r="V128" s="33">
        <f>ROUND((108/100)*ROUND(Source!CS35*Source!I35, 2), 2)</f>
        <v>0</v>
      </c>
    </row>
    <row r="129" spans="1:22" s="33" customFormat="1" ht="15" x14ac:dyDescent="0.2">
      <c r="A129" s="26"/>
      <c r="B129" s="27"/>
      <c r="C129" s="27" t="s">
        <v>256</v>
      </c>
      <c r="D129" s="28"/>
      <c r="E129" s="29"/>
      <c r="F129" s="30">
        <f>Source!AO35</f>
        <v>124.9</v>
      </c>
      <c r="G129" s="31" t="str">
        <f>Source!DG35</f>
        <v/>
      </c>
      <c r="H129" s="29">
        <f>Source!AV35</f>
        <v>1</v>
      </c>
      <c r="I129" s="29">
        <f>IF(Source!BA35&lt;&gt; 0, Source!BA35, 1)</f>
        <v>1</v>
      </c>
      <c r="J129" s="32">
        <f>Source!S35</f>
        <v>84.74</v>
      </c>
      <c r="K129" s="32"/>
    </row>
    <row r="130" spans="1:22" s="33" customFormat="1" ht="15" x14ac:dyDescent="0.2">
      <c r="A130" s="26"/>
      <c r="B130" s="27"/>
      <c r="C130" s="27" t="s">
        <v>257</v>
      </c>
      <c r="D130" s="28" t="s">
        <v>258</v>
      </c>
      <c r="E130" s="29">
        <f>Source!AT35</f>
        <v>70</v>
      </c>
      <c r="F130" s="30"/>
      <c r="G130" s="31"/>
      <c r="H130" s="29"/>
      <c r="I130" s="29"/>
      <c r="J130" s="32">
        <f>SUM(R128:R129)</f>
        <v>59.32</v>
      </c>
      <c r="K130" s="32"/>
    </row>
    <row r="131" spans="1:22" s="33" customFormat="1" ht="15" x14ac:dyDescent="0.2">
      <c r="A131" s="26"/>
      <c r="B131" s="27"/>
      <c r="C131" s="27" t="s">
        <v>259</v>
      </c>
      <c r="D131" s="28" t="s">
        <v>258</v>
      </c>
      <c r="E131" s="29">
        <f>Source!AU35</f>
        <v>10</v>
      </c>
      <c r="F131" s="30"/>
      <c r="G131" s="31"/>
      <c r="H131" s="29"/>
      <c r="I131" s="29"/>
      <c r="J131" s="32">
        <f>SUM(T128:T130)</f>
        <v>8.4700000000000006</v>
      </c>
      <c r="K131" s="32"/>
    </row>
    <row r="132" spans="1:22" s="33" customFormat="1" ht="15" x14ac:dyDescent="0.2">
      <c r="A132" s="26"/>
      <c r="B132" s="27"/>
      <c r="C132" s="27" t="s">
        <v>260</v>
      </c>
      <c r="D132" s="28" t="s">
        <v>261</v>
      </c>
      <c r="E132" s="29">
        <f>Source!AQ35</f>
        <v>1.02</v>
      </c>
      <c r="F132" s="30"/>
      <c r="G132" s="31" t="str">
        <f>Source!DI35</f>
        <v/>
      </c>
      <c r="H132" s="29">
        <f>Source!AV35</f>
        <v>1</v>
      </c>
      <c r="I132" s="29"/>
      <c r="J132" s="32"/>
      <c r="K132" s="32">
        <f>Source!U35</f>
        <v>0.69206999999999996</v>
      </c>
    </row>
    <row r="133" spans="1:22" s="33" customFormat="1" ht="15.75" x14ac:dyDescent="0.25">
      <c r="A133" s="34"/>
      <c r="B133" s="34"/>
      <c r="C133" s="34"/>
      <c r="D133" s="34"/>
      <c r="E133" s="34"/>
      <c r="F133" s="34"/>
      <c r="G133" s="34"/>
      <c r="H133" s="34"/>
      <c r="I133" s="69">
        <f>J129+J130+J131</f>
        <v>152.53</v>
      </c>
      <c r="J133" s="69"/>
      <c r="K133" s="35">
        <f>IF(Source!I35&lt;&gt;0, ROUND(I133/Source!I35, 2), 0)</f>
        <v>224.8</v>
      </c>
      <c r="P133" s="36">
        <f>I133</f>
        <v>152.53</v>
      </c>
    </row>
    <row r="134" spans="1:22" s="33" customFormat="1" ht="45" x14ac:dyDescent="0.2">
      <c r="A134" s="26" t="str">
        <f>Source!E36</f>
        <v>6</v>
      </c>
      <c r="B134" s="27" t="str">
        <f>Source!F36</f>
        <v>1.49-9201-1-1/1</v>
      </c>
      <c r="C134" s="27" t="str">
        <f>Source!G36</f>
        <v>Перевозка строительного мусора автосамосвалами грузоподъемностью до 10 т на расстояние 1 км - при погрузке вручную</v>
      </c>
      <c r="D134" s="28" t="str">
        <f>Source!H36</f>
        <v>т</v>
      </c>
      <c r="E134" s="29">
        <f>Source!I36</f>
        <v>0.67849999999999999</v>
      </c>
      <c r="F134" s="30"/>
      <c r="G134" s="31"/>
      <c r="H134" s="29"/>
      <c r="I134" s="29"/>
      <c r="J134" s="32"/>
      <c r="K134" s="32"/>
      <c r="Q134" s="33">
        <f>ROUND((Source!BZ36/100)*ROUND((Source!AF36*Source!AV36)*Source!I36, 2), 2)</f>
        <v>0</v>
      </c>
      <c r="R134" s="33">
        <f>Source!X36</f>
        <v>0</v>
      </c>
      <c r="S134" s="33">
        <f>ROUND((Source!CA36/100)*ROUND((Source!AF36*Source!AV36)*Source!I36, 2), 2)</f>
        <v>0</v>
      </c>
      <c r="T134" s="33">
        <f>Source!Y36</f>
        <v>0</v>
      </c>
      <c r="U134" s="33">
        <f>ROUND((175/100)*ROUND((Source!AE36*Source!AV36)*Source!I36, 2), 2)</f>
        <v>107.08</v>
      </c>
      <c r="V134" s="33">
        <f>ROUND((108/100)*ROUND(Source!CS36*Source!I36, 2), 2)</f>
        <v>66.09</v>
      </c>
    </row>
    <row r="135" spans="1:22" s="33" customFormat="1" ht="15" x14ac:dyDescent="0.2">
      <c r="A135" s="26"/>
      <c r="B135" s="27"/>
      <c r="C135" s="27" t="s">
        <v>262</v>
      </c>
      <c r="D135" s="28"/>
      <c r="E135" s="29"/>
      <c r="F135" s="30">
        <f>Source!AM36</f>
        <v>165.91</v>
      </c>
      <c r="G135" s="31" t="str">
        <f>Source!DE36</f>
        <v/>
      </c>
      <c r="H135" s="29">
        <f>Source!AV36</f>
        <v>1</v>
      </c>
      <c r="I135" s="29">
        <f>IF(Source!BB36&lt;&gt; 0, Source!BB36, 1)</f>
        <v>1</v>
      </c>
      <c r="J135" s="32">
        <f>Source!Q36</f>
        <v>112.57</v>
      </c>
      <c r="K135" s="32"/>
    </row>
    <row r="136" spans="1:22" s="33" customFormat="1" ht="15" x14ac:dyDescent="0.2">
      <c r="A136" s="26"/>
      <c r="B136" s="27"/>
      <c r="C136" s="27" t="s">
        <v>263</v>
      </c>
      <c r="D136" s="28"/>
      <c r="E136" s="29"/>
      <c r="F136" s="30">
        <f>Source!AN36</f>
        <v>90.18</v>
      </c>
      <c r="G136" s="31" t="str">
        <f>Source!DF36</f>
        <v/>
      </c>
      <c r="H136" s="29">
        <f>Source!AV36</f>
        <v>1</v>
      </c>
      <c r="I136" s="29">
        <f>IF(Source!BS36&lt;&gt; 0, Source!BS36, 1)</f>
        <v>1</v>
      </c>
      <c r="J136" s="37">
        <f>Source!R36</f>
        <v>61.19</v>
      </c>
      <c r="K136" s="32"/>
    </row>
    <row r="137" spans="1:22" s="33" customFormat="1" ht="15.75" x14ac:dyDescent="0.25">
      <c r="A137" s="34"/>
      <c r="B137" s="34"/>
      <c r="C137" s="34"/>
      <c r="D137" s="34"/>
      <c r="E137" s="34"/>
      <c r="F137" s="34"/>
      <c r="G137" s="34"/>
      <c r="H137" s="34"/>
      <c r="I137" s="69">
        <f>J135</f>
        <v>112.57</v>
      </c>
      <c r="J137" s="69"/>
      <c r="K137" s="35">
        <f>IF(Source!I36&lt;&gt;0, ROUND(I137/Source!I36, 2), 0)</f>
        <v>165.91</v>
      </c>
      <c r="P137" s="36">
        <f>I137</f>
        <v>112.57</v>
      </c>
    </row>
    <row r="138" spans="1:22" s="33" customFormat="1" ht="60" x14ac:dyDescent="0.2">
      <c r="A138" s="26" t="str">
        <f>Source!E37</f>
        <v>7</v>
      </c>
      <c r="B138" s="27" t="str">
        <f>Source!F37</f>
        <v>1.49-9201-1-2/1</v>
      </c>
      <c r="C138" s="27" t="str">
        <f>Source!G37</f>
        <v>Перевозка строительного мусора автосамосвалами грузоподъемностью до 10 т на расстояние 1 км - при механизированной погрузке</v>
      </c>
      <c r="D138" s="28" t="str">
        <f>Source!H37</f>
        <v>т</v>
      </c>
      <c r="E138" s="29">
        <f>Source!I37</f>
        <v>6.1064999999999996</v>
      </c>
      <c r="F138" s="30"/>
      <c r="G138" s="31"/>
      <c r="H138" s="29"/>
      <c r="I138" s="29"/>
      <c r="J138" s="32"/>
      <c r="K138" s="32"/>
      <c r="Q138" s="33">
        <f>ROUND((Source!BZ37/100)*ROUND((Source!AF37*Source!AV37)*Source!I37, 2), 2)</f>
        <v>0</v>
      </c>
      <c r="R138" s="33">
        <f>Source!X37</f>
        <v>0</v>
      </c>
      <c r="S138" s="33">
        <f>ROUND((Source!CA37/100)*ROUND((Source!AF37*Source!AV37)*Source!I37, 2), 2)</f>
        <v>0</v>
      </c>
      <c r="T138" s="33">
        <f>Source!Y37</f>
        <v>0</v>
      </c>
      <c r="U138" s="33">
        <f>ROUND((175/100)*ROUND((Source!AE37*Source!AV37)*Source!I37, 2), 2)</f>
        <v>335.98</v>
      </c>
      <c r="V138" s="33">
        <f>ROUND((108/100)*ROUND(Source!CS37*Source!I37, 2), 2)</f>
        <v>207.35</v>
      </c>
    </row>
    <row r="139" spans="1:22" s="33" customFormat="1" ht="15" x14ac:dyDescent="0.2">
      <c r="A139" s="26"/>
      <c r="B139" s="27"/>
      <c r="C139" s="27" t="s">
        <v>262</v>
      </c>
      <c r="D139" s="28"/>
      <c r="E139" s="29"/>
      <c r="F139" s="30">
        <f>Source!AM37</f>
        <v>57.83</v>
      </c>
      <c r="G139" s="31" t="str">
        <f>Source!DE37</f>
        <v/>
      </c>
      <c r="H139" s="29">
        <f>Source!AV37</f>
        <v>1</v>
      </c>
      <c r="I139" s="29">
        <f>IF(Source!BB37&lt;&gt; 0, Source!BB37, 1)</f>
        <v>1</v>
      </c>
      <c r="J139" s="32">
        <f>Source!Q37</f>
        <v>353.14</v>
      </c>
      <c r="K139" s="32"/>
    </row>
    <row r="140" spans="1:22" s="33" customFormat="1" ht="15" x14ac:dyDescent="0.2">
      <c r="A140" s="26"/>
      <c r="B140" s="27"/>
      <c r="C140" s="27" t="s">
        <v>263</v>
      </c>
      <c r="D140" s="28"/>
      <c r="E140" s="29"/>
      <c r="F140" s="30">
        <f>Source!AN37</f>
        <v>31.44</v>
      </c>
      <c r="G140" s="31" t="str">
        <f>Source!DF37</f>
        <v/>
      </c>
      <c r="H140" s="29">
        <f>Source!AV37</f>
        <v>1</v>
      </c>
      <c r="I140" s="29">
        <f>IF(Source!BS37&lt;&gt; 0, Source!BS37, 1)</f>
        <v>1</v>
      </c>
      <c r="J140" s="37">
        <f>Source!R37</f>
        <v>191.99</v>
      </c>
      <c r="K140" s="32"/>
    </row>
    <row r="141" spans="1:22" s="33" customFormat="1" ht="15.75" x14ac:dyDescent="0.25">
      <c r="A141" s="34"/>
      <c r="B141" s="34"/>
      <c r="C141" s="34"/>
      <c r="D141" s="34"/>
      <c r="E141" s="34"/>
      <c r="F141" s="34"/>
      <c r="G141" s="34"/>
      <c r="H141" s="34"/>
      <c r="I141" s="69">
        <f>J139</f>
        <v>353.14</v>
      </c>
      <c r="J141" s="69"/>
      <c r="K141" s="35">
        <f>IF(Source!I37&lt;&gt;0, ROUND(I141/Source!I37, 2), 0)</f>
        <v>57.83</v>
      </c>
      <c r="P141" s="36">
        <f>I141</f>
        <v>353.14</v>
      </c>
    </row>
    <row r="142" spans="1:22" s="33" customFormat="1" ht="60" x14ac:dyDescent="0.2">
      <c r="A142" s="26" t="str">
        <f>Source!E38</f>
        <v>8</v>
      </c>
      <c r="B142" s="27" t="str">
        <f>Source!F38</f>
        <v>1.49-9201-1-3/1</v>
      </c>
      <c r="C142" s="27" t="str">
        <f>Source!G38</f>
        <v>Перевозка строительного мусора автосамосвалами грузоподъемностью до 10 т - добавляется на каждый последующий 1 км до 100 км</v>
      </c>
      <c r="D142" s="28" t="str">
        <f>Source!H38</f>
        <v>т</v>
      </c>
      <c r="E142" s="29">
        <f>Source!I38</f>
        <v>6.7850000000000001</v>
      </c>
      <c r="F142" s="30"/>
      <c r="G142" s="31"/>
      <c r="H142" s="29"/>
      <c r="I142" s="29"/>
      <c r="J142" s="32"/>
      <c r="K142" s="32"/>
      <c r="Q142" s="33">
        <f>ROUND((Source!BZ38/100)*ROUND((Source!AF38*Source!AV38)*Source!I38, 2), 2)</f>
        <v>0</v>
      </c>
      <c r="R142" s="33">
        <f>Source!X38</f>
        <v>0</v>
      </c>
      <c r="S142" s="33">
        <f>ROUND((Source!CA38/100)*ROUND((Source!AF38*Source!AV38)*Source!I38, 2), 2)</f>
        <v>0</v>
      </c>
      <c r="T142" s="33">
        <f>Source!Y38</f>
        <v>0</v>
      </c>
      <c r="U142" s="33">
        <f>ROUND((175/100)*ROUND((Source!AE38*Source!AV38)*Source!I38, 2), 2)</f>
        <v>8663.2000000000007</v>
      </c>
      <c r="V142" s="33">
        <f>ROUND((108/100)*ROUND(Source!CS38*Source!I38, 2), 2)</f>
        <v>5346.43</v>
      </c>
    </row>
    <row r="143" spans="1:22" s="33" customFormat="1" ht="15" x14ac:dyDescent="0.2">
      <c r="A143" s="26"/>
      <c r="B143" s="27"/>
      <c r="C143" s="27" t="s">
        <v>262</v>
      </c>
      <c r="D143" s="28"/>
      <c r="E143" s="29"/>
      <c r="F143" s="30">
        <f>Source!AM38</f>
        <v>27.39</v>
      </c>
      <c r="G143" s="31" t="str">
        <f>Source!DE38</f>
        <v>)*49</v>
      </c>
      <c r="H143" s="29">
        <f>Source!AV38</f>
        <v>1</v>
      </c>
      <c r="I143" s="29">
        <f>IF(Source!BB38&lt;&gt; 0, Source!BB38, 1)</f>
        <v>1</v>
      </c>
      <c r="J143" s="32">
        <f>Source!Q38</f>
        <v>9106.2199999999993</v>
      </c>
      <c r="K143" s="32"/>
    </row>
    <row r="144" spans="1:22" s="33" customFormat="1" ht="15" x14ac:dyDescent="0.2">
      <c r="A144" s="26"/>
      <c r="B144" s="27"/>
      <c r="C144" s="27" t="s">
        <v>263</v>
      </c>
      <c r="D144" s="28"/>
      <c r="E144" s="29"/>
      <c r="F144" s="30">
        <f>Source!AN38</f>
        <v>14.89</v>
      </c>
      <c r="G144" s="31" t="str">
        <f>Source!DF38</f>
        <v>)*49</v>
      </c>
      <c r="H144" s="29">
        <f>Source!AV38</f>
        <v>1</v>
      </c>
      <c r="I144" s="29">
        <f>IF(Source!BS38&lt;&gt; 0, Source!BS38, 1)</f>
        <v>1</v>
      </c>
      <c r="J144" s="37">
        <f>Source!R38</f>
        <v>4950.3999999999996</v>
      </c>
      <c r="K144" s="32"/>
    </row>
    <row r="145" spans="1:32" s="33" customFormat="1" ht="15.75" x14ac:dyDescent="0.25">
      <c r="A145" s="34"/>
      <c r="B145" s="34"/>
      <c r="C145" s="34"/>
      <c r="D145" s="34"/>
      <c r="E145" s="34"/>
      <c r="F145" s="34"/>
      <c r="G145" s="34"/>
      <c r="H145" s="34"/>
      <c r="I145" s="69">
        <f>J143</f>
        <v>9106.2199999999993</v>
      </c>
      <c r="J145" s="69"/>
      <c r="K145" s="35">
        <f>IF(Source!I38&lt;&gt;0, ROUND(I145/Source!I38, 2), 0)</f>
        <v>1342.11</v>
      </c>
      <c r="P145" s="36">
        <f>I145</f>
        <v>9106.2199999999993</v>
      </c>
    </row>
    <row r="146" spans="1:32" s="33" customFormat="1" ht="15" x14ac:dyDescent="0.2"/>
    <row r="147" spans="1:32" s="33" customFormat="1" ht="15.75" x14ac:dyDescent="0.25">
      <c r="A147" s="67" t="str">
        <f>CONCATENATE("Итого по разделу: ",IF(Source!G40&lt;&gt;"Новый раздел", Source!G40, ""))</f>
        <v>Итого по разделу: Детская площадка на сквере вдоль шоссе Энтузиастов (353,1 м2)</v>
      </c>
      <c r="B147" s="67"/>
      <c r="C147" s="67"/>
      <c r="D147" s="67"/>
      <c r="E147" s="67"/>
      <c r="F147" s="67"/>
      <c r="G147" s="67"/>
      <c r="H147" s="67"/>
      <c r="I147" s="66">
        <f>SUM(P93:P146)</f>
        <v>849839.07000000007</v>
      </c>
      <c r="J147" s="57"/>
      <c r="K147" s="39"/>
      <c r="AF147" s="40" t="str">
        <f>CONCATENATE("Итого по разделу: ",IF(Source!G40&lt;&gt;"Новый раздел", Source!G40, ""))</f>
        <v>Итого по разделу: Детская площадка на сквере вдоль шоссе Энтузиастов (353,1 м2)</v>
      </c>
    </row>
    <row r="148" spans="1:32" s="33" customFormat="1" ht="15" x14ac:dyDescent="0.2"/>
    <row r="149" spans="1:32" ht="14.25" hidden="1" x14ac:dyDescent="0.2">
      <c r="C149" s="49" t="str">
        <f>Source!H68</f>
        <v>НДС 20%</v>
      </c>
      <c r="D149" s="49"/>
      <c r="E149" s="49"/>
      <c r="F149" s="49"/>
      <c r="G149" s="49"/>
      <c r="H149" s="49"/>
      <c r="I149" s="68">
        <f>IF(Source!F68=0, "", Source!F68)</f>
        <v>169967.81</v>
      </c>
      <c r="J149" s="68"/>
    </row>
    <row r="150" spans="1:32" ht="14.25" hidden="1" x14ac:dyDescent="0.2">
      <c r="C150" s="49" t="str">
        <f>Source!H69</f>
        <v>Всего по смете</v>
      </c>
      <c r="D150" s="49"/>
      <c r="E150" s="49"/>
      <c r="F150" s="49"/>
      <c r="G150" s="49"/>
      <c r="H150" s="49"/>
      <c r="I150" s="68">
        <f>IF(Source!F69=0, "", Source!F69)</f>
        <v>1019806.88</v>
      </c>
      <c r="J150" s="68"/>
    </row>
    <row r="151" spans="1:32" hidden="1" x14ac:dyDescent="0.2"/>
    <row r="152" spans="1:32" ht="16.5" x14ac:dyDescent="0.25">
      <c r="A152" s="70" t="str">
        <f>CONCATENATE("Раздел: ",IF(Source!G71&lt;&gt;"Новый раздел", Source!G71, ""))</f>
        <v>Раздел: Детская площадка в северной части парка (500,9 м2)</v>
      </c>
      <c r="B152" s="70"/>
      <c r="C152" s="70"/>
      <c r="D152" s="70"/>
      <c r="E152" s="70"/>
      <c r="F152" s="70"/>
      <c r="G152" s="70"/>
      <c r="H152" s="70"/>
      <c r="I152" s="70"/>
      <c r="J152" s="70"/>
      <c r="K152" s="70"/>
    </row>
    <row r="153" spans="1:32" s="33" customFormat="1" ht="75" x14ac:dyDescent="0.2">
      <c r="A153" s="26" t="str">
        <f>Source!E75</f>
        <v>9</v>
      </c>
      <c r="B153" s="27" t="str">
        <f>Source!F75</f>
        <v>5.3-3104-1-1/1</v>
      </c>
      <c r="C153" s="27" t="str">
        <f>Source!G75</f>
        <v>Разборка полиуретанового покрытия игровых площадок, спортивных дорожек и площадок - на асфальтобетонном основании толщиной 2см (крошка-3,682т*2слоя=7,364т + связующие-1,21т+1,05т=2,26. Всего: 9,624т)</v>
      </c>
      <c r="D153" s="28" t="str">
        <f>Source!H75</f>
        <v>100 м2</v>
      </c>
      <c r="E153" s="29">
        <f>Source!I75</f>
        <v>5.0090000000000003</v>
      </c>
      <c r="F153" s="30"/>
      <c r="G153" s="31"/>
      <c r="H153" s="29"/>
      <c r="I153" s="29"/>
      <c r="J153" s="32"/>
      <c r="K153" s="32"/>
      <c r="Q153" s="33">
        <f>ROUND((Source!BZ75/100)*ROUND((Source!AF75*Source!AV75)*Source!I75, 2), 2)</f>
        <v>2128.11</v>
      </c>
      <c r="R153" s="33">
        <f>Source!X75</f>
        <v>2128.11</v>
      </c>
      <c r="S153" s="33">
        <f>ROUND((Source!CA75/100)*ROUND((Source!AF75*Source!AV75)*Source!I75, 2), 2)</f>
        <v>304.02</v>
      </c>
      <c r="T153" s="33">
        <f>Source!Y75</f>
        <v>304.02</v>
      </c>
      <c r="U153" s="33">
        <f>ROUND((175/100)*ROUND((Source!AE75*Source!AV75)*Source!I75, 2), 2)</f>
        <v>0</v>
      </c>
      <c r="V153" s="33">
        <f>ROUND((108/100)*ROUND(Source!CS75*Source!I75, 2), 2)</f>
        <v>0</v>
      </c>
    </row>
    <row r="154" spans="1:32" s="33" customFormat="1" ht="15" x14ac:dyDescent="0.2">
      <c r="A154" s="26"/>
      <c r="B154" s="27"/>
      <c r="C154" s="27" t="s">
        <v>256</v>
      </c>
      <c r="D154" s="28"/>
      <c r="E154" s="29"/>
      <c r="F154" s="30">
        <f>Source!AO75</f>
        <v>606.94000000000005</v>
      </c>
      <c r="G154" s="31" t="str">
        <f>Source!DG75</f>
        <v/>
      </c>
      <c r="H154" s="29">
        <f>Source!AV75</f>
        <v>1</v>
      </c>
      <c r="I154" s="29">
        <f>IF(Source!BA75&lt;&gt; 0, Source!BA75, 1)</f>
        <v>1</v>
      </c>
      <c r="J154" s="32">
        <f>Source!S75</f>
        <v>3040.16</v>
      </c>
      <c r="K154" s="32"/>
    </row>
    <row r="155" spans="1:32" s="33" customFormat="1" ht="15" x14ac:dyDescent="0.2">
      <c r="A155" s="26"/>
      <c r="B155" s="27"/>
      <c r="C155" s="27" t="s">
        <v>257</v>
      </c>
      <c r="D155" s="28" t="s">
        <v>258</v>
      </c>
      <c r="E155" s="29">
        <f>Source!AT75</f>
        <v>70</v>
      </c>
      <c r="F155" s="30"/>
      <c r="G155" s="31"/>
      <c r="H155" s="29"/>
      <c r="I155" s="29"/>
      <c r="J155" s="32">
        <f>SUM(R153:R154)</f>
        <v>2128.11</v>
      </c>
      <c r="K155" s="32"/>
    </row>
    <row r="156" spans="1:32" s="33" customFormat="1" ht="15" x14ac:dyDescent="0.2">
      <c r="A156" s="26"/>
      <c r="B156" s="27"/>
      <c r="C156" s="27" t="s">
        <v>259</v>
      </c>
      <c r="D156" s="28" t="s">
        <v>258</v>
      </c>
      <c r="E156" s="29">
        <f>Source!AU75</f>
        <v>10</v>
      </c>
      <c r="F156" s="30"/>
      <c r="G156" s="31"/>
      <c r="H156" s="29"/>
      <c r="I156" s="29"/>
      <c r="J156" s="32">
        <f>SUM(T153:T155)</f>
        <v>304.02</v>
      </c>
      <c r="K156" s="32"/>
    </row>
    <row r="157" spans="1:32" s="33" customFormat="1" ht="15" x14ac:dyDescent="0.2">
      <c r="A157" s="26"/>
      <c r="B157" s="27"/>
      <c r="C157" s="27" t="s">
        <v>260</v>
      </c>
      <c r="D157" s="28" t="s">
        <v>261</v>
      </c>
      <c r="E157" s="29">
        <f>Source!AQ75</f>
        <v>3.3</v>
      </c>
      <c r="F157" s="30"/>
      <c r="G157" s="31" t="str">
        <f>Source!DI75</f>
        <v/>
      </c>
      <c r="H157" s="29">
        <f>Source!AV75</f>
        <v>1</v>
      </c>
      <c r="I157" s="29"/>
      <c r="J157" s="32"/>
      <c r="K157" s="32">
        <f>Source!U75</f>
        <v>16.529700000000002</v>
      </c>
    </row>
    <row r="158" spans="1:32" s="33" customFormat="1" ht="15.75" x14ac:dyDescent="0.25">
      <c r="A158" s="34"/>
      <c r="B158" s="34"/>
      <c r="C158" s="34"/>
      <c r="D158" s="34"/>
      <c r="E158" s="34"/>
      <c r="F158" s="34"/>
      <c r="G158" s="34"/>
      <c r="H158" s="34"/>
      <c r="I158" s="69">
        <f>J154+J155+J156</f>
        <v>5472.2900000000009</v>
      </c>
      <c r="J158" s="69"/>
      <c r="K158" s="35">
        <f>IF(Source!I75&lt;&gt;0, ROUND(I158/Source!I75, 2), 0)</f>
        <v>1092.49</v>
      </c>
      <c r="P158" s="36">
        <f>I158</f>
        <v>5472.2900000000009</v>
      </c>
    </row>
    <row r="159" spans="1:32" s="33" customFormat="1" ht="45" x14ac:dyDescent="0.2">
      <c r="A159" s="26" t="str">
        <f>Source!E76</f>
        <v>10</v>
      </c>
      <c r="B159" s="27" t="str">
        <f>Source!F76</f>
        <v>5.3-3103-11-1/1</v>
      </c>
      <c r="C159" s="27" t="str">
        <f>Source!G76</f>
        <v>Устройство наливного полиуретанового покрытия спортивных площадок и беговых дорожек толщиной 10 мм</v>
      </c>
      <c r="D159" s="28" t="str">
        <f>Source!H76</f>
        <v>100 м2</v>
      </c>
      <c r="E159" s="29">
        <f>Source!I76</f>
        <v>5.0090000000000003</v>
      </c>
      <c r="F159" s="30"/>
      <c r="G159" s="31"/>
      <c r="H159" s="29"/>
      <c r="I159" s="29"/>
      <c r="J159" s="32"/>
      <c r="K159" s="32"/>
      <c r="Q159" s="33">
        <f>ROUND((Source!BZ76/100)*ROUND((Source!AF76*Source!AV76)*Source!I76, 2), 2)</f>
        <v>14293.89</v>
      </c>
      <c r="R159" s="33">
        <f>Source!X76</f>
        <v>14293.89</v>
      </c>
      <c r="S159" s="33">
        <f>ROUND((Source!CA76/100)*ROUND((Source!AF76*Source!AV76)*Source!I76, 2), 2)</f>
        <v>2041.98</v>
      </c>
      <c r="T159" s="33">
        <f>Source!Y76</f>
        <v>2041.98</v>
      </c>
      <c r="U159" s="33">
        <f>ROUND((175/100)*ROUND((Source!AE76*Source!AV76)*Source!I76, 2), 2)</f>
        <v>18087.77</v>
      </c>
      <c r="V159" s="33">
        <f>ROUND((108/100)*ROUND(Source!CS76*Source!I76, 2), 2)</f>
        <v>11162.74</v>
      </c>
    </row>
    <row r="160" spans="1:32" s="33" customFormat="1" ht="15" x14ac:dyDescent="0.2">
      <c r="A160" s="26"/>
      <c r="B160" s="27"/>
      <c r="C160" s="27" t="s">
        <v>256</v>
      </c>
      <c r="D160" s="28"/>
      <c r="E160" s="29"/>
      <c r="F160" s="30">
        <f>Source!AO76</f>
        <v>4076.63</v>
      </c>
      <c r="G160" s="31" t="str">
        <f>Source!DG76</f>
        <v/>
      </c>
      <c r="H160" s="29">
        <f>Source!AV76</f>
        <v>1</v>
      </c>
      <c r="I160" s="29">
        <f>IF(Source!BA76&lt;&gt; 0, Source!BA76, 1)</f>
        <v>1</v>
      </c>
      <c r="J160" s="32">
        <f>Source!S76</f>
        <v>20419.84</v>
      </c>
      <c r="K160" s="32"/>
    </row>
    <row r="161" spans="1:22" s="33" customFormat="1" ht="15" x14ac:dyDescent="0.2">
      <c r="A161" s="26"/>
      <c r="B161" s="27"/>
      <c r="C161" s="27" t="s">
        <v>262</v>
      </c>
      <c r="D161" s="28"/>
      <c r="E161" s="29"/>
      <c r="F161" s="30">
        <f>Source!AM76</f>
        <v>2617.25</v>
      </c>
      <c r="G161" s="31" t="str">
        <f>Source!DE76</f>
        <v/>
      </c>
      <c r="H161" s="29">
        <f>Source!AV76</f>
        <v>1</v>
      </c>
      <c r="I161" s="29">
        <f>IF(Source!BB76&lt;&gt; 0, Source!BB76, 1)</f>
        <v>1</v>
      </c>
      <c r="J161" s="32">
        <f>Source!Q76</f>
        <v>13109.81</v>
      </c>
      <c r="K161" s="32"/>
    </row>
    <row r="162" spans="1:22" s="33" customFormat="1" ht="15" x14ac:dyDescent="0.2">
      <c r="A162" s="26"/>
      <c r="B162" s="27"/>
      <c r="C162" s="27" t="s">
        <v>263</v>
      </c>
      <c r="D162" s="28"/>
      <c r="E162" s="29"/>
      <c r="F162" s="30">
        <f>Source!AN76</f>
        <v>2063.46</v>
      </c>
      <c r="G162" s="31" t="str">
        <f>Source!DF76</f>
        <v/>
      </c>
      <c r="H162" s="29">
        <f>Source!AV76</f>
        <v>1</v>
      </c>
      <c r="I162" s="29">
        <f>IF(Source!BS76&lt;&gt; 0, Source!BS76, 1)</f>
        <v>1</v>
      </c>
      <c r="J162" s="37">
        <f>Source!R76</f>
        <v>10335.870000000001</v>
      </c>
      <c r="K162" s="32"/>
    </row>
    <row r="163" spans="1:22" s="33" customFormat="1" ht="15" x14ac:dyDescent="0.2">
      <c r="A163" s="26"/>
      <c r="B163" s="27"/>
      <c r="C163" s="27" t="s">
        <v>264</v>
      </c>
      <c r="D163" s="28"/>
      <c r="E163" s="29"/>
      <c r="F163" s="30">
        <f>Source!AL76</f>
        <v>102359.62</v>
      </c>
      <c r="G163" s="31" t="str">
        <f>Source!DD76</f>
        <v/>
      </c>
      <c r="H163" s="29">
        <f>Source!AW76</f>
        <v>1</v>
      </c>
      <c r="I163" s="29">
        <f>IF(Source!BC76&lt;&gt; 0, Source!BC76, 1)</f>
        <v>1</v>
      </c>
      <c r="J163" s="32">
        <f>Source!P76</f>
        <v>512719.34</v>
      </c>
      <c r="K163" s="32"/>
    </row>
    <row r="164" spans="1:22" s="33" customFormat="1" ht="15" x14ac:dyDescent="0.2">
      <c r="A164" s="26" t="str">
        <f>Source!E77</f>
        <v>10,1</v>
      </c>
      <c r="B164" s="27" t="str">
        <f>Source!F77</f>
        <v>21.1-6-101</v>
      </c>
      <c r="C164" s="27" t="str">
        <f>Source!G77</f>
        <v>Пигменты сухие для красок, кислотный желтый</v>
      </c>
      <c r="D164" s="28" t="str">
        <f>Source!H77</f>
        <v>т</v>
      </c>
      <c r="E164" s="29">
        <f>Source!I77</f>
        <v>-0.26297300000000001</v>
      </c>
      <c r="F164" s="30">
        <f>Source!AK77</f>
        <v>748299.67</v>
      </c>
      <c r="G164" s="38" t="s">
        <v>3</v>
      </c>
      <c r="H164" s="29">
        <f>Source!AW77</f>
        <v>1</v>
      </c>
      <c r="I164" s="29">
        <f>IF(Source!BC77&lt;&gt; 0, Source!BC77, 1)</f>
        <v>1</v>
      </c>
      <c r="J164" s="32">
        <f>Source!O77</f>
        <v>-196782.61</v>
      </c>
      <c r="K164" s="32"/>
      <c r="Q164" s="33">
        <f>ROUND((Source!BZ77/100)*ROUND((Source!AF77*Source!AV77)*Source!I77, 2), 2)</f>
        <v>0</v>
      </c>
      <c r="R164" s="33">
        <f>Source!X77</f>
        <v>0</v>
      </c>
      <c r="S164" s="33">
        <f>ROUND((Source!CA77/100)*ROUND((Source!AF77*Source!AV77)*Source!I77, 2), 2)</f>
        <v>0</v>
      </c>
      <c r="T164" s="33">
        <f>Source!Y77</f>
        <v>0</v>
      </c>
      <c r="U164" s="33">
        <f>ROUND((175/100)*ROUND((Source!AE77*Source!AV77)*Source!I77, 2), 2)</f>
        <v>0</v>
      </c>
      <c r="V164" s="33">
        <f>ROUND((108/100)*ROUND(Source!CS77*Source!I77, 2), 2)</f>
        <v>0</v>
      </c>
    </row>
    <row r="165" spans="1:22" s="33" customFormat="1" ht="15" x14ac:dyDescent="0.2">
      <c r="A165" s="26"/>
      <c r="B165" s="27"/>
      <c r="C165" s="27" t="s">
        <v>257</v>
      </c>
      <c r="D165" s="28" t="s">
        <v>258</v>
      </c>
      <c r="E165" s="29">
        <f>Source!AT76</f>
        <v>70</v>
      </c>
      <c r="F165" s="30"/>
      <c r="G165" s="31"/>
      <c r="H165" s="29"/>
      <c r="I165" s="29"/>
      <c r="J165" s="32">
        <f>SUM(R159:R164)</f>
        <v>14293.89</v>
      </c>
      <c r="K165" s="32"/>
    </row>
    <row r="166" spans="1:22" s="33" customFormat="1" ht="15" x14ac:dyDescent="0.2">
      <c r="A166" s="26"/>
      <c r="B166" s="27"/>
      <c r="C166" s="27" t="s">
        <v>259</v>
      </c>
      <c r="D166" s="28" t="s">
        <v>258</v>
      </c>
      <c r="E166" s="29">
        <f>Source!AU76</f>
        <v>10</v>
      </c>
      <c r="F166" s="30"/>
      <c r="G166" s="31"/>
      <c r="H166" s="29"/>
      <c r="I166" s="29"/>
      <c r="J166" s="32">
        <f>SUM(T159:T165)</f>
        <v>2041.98</v>
      </c>
      <c r="K166" s="32"/>
    </row>
    <row r="167" spans="1:22" s="33" customFormat="1" ht="15" x14ac:dyDescent="0.2">
      <c r="A167" s="26"/>
      <c r="B167" s="27"/>
      <c r="C167" s="27" t="s">
        <v>265</v>
      </c>
      <c r="D167" s="28" t="s">
        <v>258</v>
      </c>
      <c r="E167" s="29">
        <f>108</f>
        <v>108</v>
      </c>
      <c r="F167" s="30"/>
      <c r="G167" s="31"/>
      <c r="H167" s="29"/>
      <c r="I167" s="29"/>
      <c r="J167" s="32">
        <f>SUM(V159:V166)</f>
        <v>11162.74</v>
      </c>
      <c r="K167" s="32"/>
    </row>
    <row r="168" spans="1:22" s="33" customFormat="1" ht="15" x14ac:dyDescent="0.2">
      <c r="A168" s="26"/>
      <c r="B168" s="27"/>
      <c r="C168" s="27" t="s">
        <v>260</v>
      </c>
      <c r="D168" s="28" t="s">
        <v>261</v>
      </c>
      <c r="E168" s="29">
        <f>Source!AQ76</f>
        <v>18.440000000000001</v>
      </c>
      <c r="F168" s="30"/>
      <c r="G168" s="31" t="str">
        <f>Source!DI76</f>
        <v/>
      </c>
      <c r="H168" s="29">
        <f>Source!AV76</f>
        <v>1</v>
      </c>
      <c r="I168" s="29"/>
      <c r="J168" s="32"/>
      <c r="K168" s="32">
        <f>Source!U76</f>
        <v>92.365960000000015</v>
      </c>
    </row>
    <row r="169" spans="1:22" s="33" customFormat="1" ht="15.75" x14ac:dyDescent="0.25">
      <c r="A169" s="34"/>
      <c r="B169" s="34"/>
      <c r="C169" s="34"/>
      <c r="D169" s="34"/>
      <c r="E169" s="34"/>
      <c r="F169" s="34"/>
      <c r="G169" s="34"/>
      <c r="H169" s="34"/>
      <c r="I169" s="69">
        <f>J160+J161+J163+J165+J166+J167+SUM(J164:J164)</f>
        <v>376964.99</v>
      </c>
      <c r="J169" s="69"/>
      <c r="K169" s="35">
        <f>IF(Source!I76&lt;&gt;0, ROUND(I169/Source!I76, 2), 0)</f>
        <v>75257.53</v>
      </c>
      <c r="P169" s="36">
        <f>I169</f>
        <v>376964.99</v>
      </c>
    </row>
    <row r="170" spans="1:22" s="33" customFormat="1" ht="60" x14ac:dyDescent="0.2">
      <c r="A170" s="26" t="str">
        <f>Source!E78</f>
        <v>11</v>
      </c>
      <c r="B170" s="27" t="str">
        <f>Source!F78</f>
        <v>5.3-3103-11-2/1</v>
      </c>
      <c r="C170" s="27" t="str">
        <f>Source!G78</f>
        <v>Устройство наливного полиуретанового покрытия спортивных площадок и беговых дорожек, добавляется на 2 мм толщины покрытия (цвет зеленый)</v>
      </c>
      <c r="D170" s="28" t="str">
        <f>Source!H78</f>
        <v>100 м2</v>
      </c>
      <c r="E170" s="29">
        <f>Source!I78</f>
        <v>5.0090000000000003</v>
      </c>
      <c r="F170" s="30"/>
      <c r="G170" s="31"/>
      <c r="H170" s="29"/>
      <c r="I170" s="29"/>
      <c r="J170" s="32"/>
      <c r="K170" s="32"/>
      <c r="Q170" s="33">
        <f>ROUND((Source!BZ78/100)*ROUND((Source!AF78*Source!AV78)*Source!I78, 2), 2)</f>
        <v>10565.18</v>
      </c>
      <c r="R170" s="33">
        <f>Source!X78</f>
        <v>10565.18</v>
      </c>
      <c r="S170" s="33">
        <f>ROUND((Source!CA78/100)*ROUND((Source!AF78*Source!AV78)*Source!I78, 2), 2)</f>
        <v>1509.31</v>
      </c>
      <c r="T170" s="33">
        <f>Source!Y78</f>
        <v>1509.31</v>
      </c>
      <c r="U170" s="33">
        <f>ROUND((175/100)*ROUND((Source!AE78*Source!AV78)*Source!I78, 2), 2)</f>
        <v>17076.55</v>
      </c>
      <c r="V170" s="33">
        <f>ROUND((108/100)*ROUND(Source!CS78*Source!I78, 2), 2)</f>
        <v>10538.67</v>
      </c>
    </row>
    <row r="171" spans="1:22" s="33" customFormat="1" ht="15" x14ac:dyDescent="0.2">
      <c r="A171" s="26"/>
      <c r="B171" s="27"/>
      <c r="C171" s="27" t="s">
        <v>256</v>
      </c>
      <c r="D171" s="28"/>
      <c r="E171" s="29"/>
      <c r="F171" s="30">
        <f>Source!AO78</f>
        <v>602.64</v>
      </c>
      <c r="G171" s="31" t="str">
        <f>Source!DG78</f>
        <v>)*5</v>
      </c>
      <c r="H171" s="29">
        <f>Source!AV78</f>
        <v>1</v>
      </c>
      <c r="I171" s="29">
        <f>IF(Source!BA78&lt;&gt; 0, Source!BA78, 1)</f>
        <v>1</v>
      </c>
      <c r="J171" s="32">
        <f>Source!S78</f>
        <v>15093.12</v>
      </c>
      <c r="K171" s="32"/>
    </row>
    <row r="172" spans="1:22" s="33" customFormat="1" ht="15" x14ac:dyDescent="0.2">
      <c r="A172" s="26"/>
      <c r="B172" s="27"/>
      <c r="C172" s="27" t="s">
        <v>262</v>
      </c>
      <c r="D172" s="28"/>
      <c r="E172" s="29"/>
      <c r="F172" s="30">
        <f>Source!AM78</f>
        <v>492.86</v>
      </c>
      <c r="G172" s="31" t="str">
        <f>Source!DE78</f>
        <v>)*5</v>
      </c>
      <c r="H172" s="29">
        <f>Source!AV78</f>
        <v>1</v>
      </c>
      <c r="I172" s="29">
        <f>IF(Source!BB78&lt;&gt; 0, Source!BB78, 1)</f>
        <v>1</v>
      </c>
      <c r="J172" s="32">
        <f>Source!Q78</f>
        <v>12343.68</v>
      </c>
      <c r="K172" s="32"/>
    </row>
    <row r="173" spans="1:22" s="33" customFormat="1" ht="15" x14ac:dyDescent="0.2">
      <c r="A173" s="26"/>
      <c r="B173" s="27"/>
      <c r="C173" s="27" t="s">
        <v>263</v>
      </c>
      <c r="D173" s="28"/>
      <c r="E173" s="29"/>
      <c r="F173" s="30">
        <f>Source!AN78</f>
        <v>389.62</v>
      </c>
      <c r="G173" s="31" t="str">
        <f>Source!DF78</f>
        <v>)*5</v>
      </c>
      <c r="H173" s="29">
        <f>Source!AV78</f>
        <v>1</v>
      </c>
      <c r="I173" s="29">
        <f>IF(Source!BS78&lt;&gt; 0, Source!BS78, 1)</f>
        <v>1</v>
      </c>
      <c r="J173" s="37">
        <f>Source!R78</f>
        <v>9758.0300000000007</v>
      </c>
      <c r="K173" s="32"/>
    </row>
    <row r="174" spans="1:22" s="33" customFormat="1" ht="15" x14ac:dyDescent="0.2">
      <c r="A174" s="26"/>
      <c r="B174" s="27"/>
      <c r="C174" s="27" t="s">
        <v>264</v>
      </c>
      <c r="D174" s="28"/>
      <c r="E174" s="29"/>
      <c r="F174" s="30">
        <f>Source!AL78</f>
        <v>18967.62</v>
      </c>
      <c r="G174" s="31" t="str">
        <f>Source!DD78</f>
        <v>)*5</v>
      </c>
      <c r="H174" s="29">
        <f>Source!AW78</f>
        <v>1</v>
      </c>
      <c r="I174" s="29">
        <f>IF(Source!BC78&lt;&gt; 0, Source!BC78, 1)</f>
        <v>1</v>
      </c>
      <c r="J174" s="32">
        <f>Source!P78</f>
        <v>475044.04</v>
      </c>
      <c r="K174" s="32"/>
    </row>
    <row r="175" spans="1:22" s="33" customFormat="1" ht="30" x14ac:dyDescent="0.2">
      <c r="A175" s="26" t="str">
        <f>Source!E79</f>
        <v>11,1</v>
      </c>
      <c r="B175" s="27" t="str">
        <f>Source!F79</f>
        <v>21.1-25-769</v>
      </c>
      <c r="C175" s="27" t="str">
        <f>Source!G79</f>
        <v>Крошка резиновая гранулированная, фракция 2-3 мм</v>
      </c>
      <c r="D175" s="28" t="str">
        <f>Source!H79</f>
        <v>кг</v>
      </c>
      <c r="E175" s="29">
        <f>Source!I79</f>
        <v>-3681.6150000000002</v>
      </c>
      <c r="F175" s="30">
        <f>Source!AK79</f>
        <v>17.77</v>
      </c>
      <c r="G175" s="38" t="s">
        <v>266</v>
      </c>
      <c r="H175" s="29">
        <f>Source!AW79</f>
        <v>1</v>
      </c>
      <c r="I175" s="29">
        <f>IF(Source!BC79&lt;&gt; 0, Source!BC79, 1)</f>
        <v>1</v>
      </c>
      <c r="J175" s="32">
        <f>Source!O79</f>
        <v>-65422.3</v>
      </c>
      <c r="K175" s="32"/>
      <c r="Q175" s="33">
        <f>ROUND((Source!BZ79/100)*ROUND((Source!AF79*Source!AV79)*Source!I79, 2), 2)</f>
        <v>0</v>
      </c>
      <c r="R175" s="33">
        <f>Source!X79</f>
        <v>0</v>
      </c>
      <c r="S175" s="33">
        <f>ROUND((Source!CA79/100)*ROUND((Source!AF79*Source!AV79)*Source!I79, 2), 2)</f>
        <v>0</v>
      </c>
      <c r="T175" s="33">
        <f>Source!Y79</f>
        <v>0</v>
      </c>
      <c r="U175" s="33">
        <f>ROUND((175/100)*ROUND((Source!AE79*Source!AV79)*Source!I79, 2), 2)</f>
        <v>0</v>
      </c>
      <c r="V175" s="33">
        <f>ROUND((108/100)*ROUND(Source!CS79*Source!I79, 2), 2)</f>
        <v>0</v>
      </c>
    </row>
    <row r="176" spans="1:22" s="33" customFormat="1" ht="45" x14ac:dyDescent="0.2">
      <c r="A176" s="26" t="str">
        <f>Source!E80</f>
        <v>11,2</v>
      </c>
      <c r="B176" s="27" t="str">
        <f>Source!F80</f>
        <v>21.1-25-770</v>
      </c>
      <c r="C176" s="27" t="str">
        <f>Source!G80</f>
        <v>Крошка каучуковая гранулированная, окрашенная в массе, фракция 2-3 мм, цвет черный</v>
      </c>
      <c r="D176" s="28" t="str">
        <f>Source!H80</f>
        <v>кг</v>
      </c>
      <c r="E176" s="29">
        <f>Source!I80</f>
        <v>3681.6149999999998</v>
      </c>
      <c r="F176" s="30">
        <f>Source!AK80</f>
        <v>94.72</v>
      </c>
      <c r="G176" s="38" t="s">
        <v>3</v>
      </c>
      <c r="H176" s="29">
        <f>Source!AW80</f>
        <v>1</v>
      </c>
      <c r="I176" s="29">
        <f>IF(Source!BC80&lt;&gt; 0, Source!BC80, 1)</f>
        <v>1</v>
      </c>
      <c r="J176" s="32">
        <f>Source!O80</f>
        <v>348722.57</v>
      </c>
      <c r="K176" s="32"/>
      <c r="Q176" s="33">
        <f>ROUND((Source!BZ80/100)*ROUND((Source!AF80*Source!AV80)*Source!I80, 2), 2)</f>
        <v>0</v>
      </c>
      <c r="R176" s="33">
        <f>Source!X80</f>
        <v>0</v>
      </c>
      <c r="S176" s="33">
        <f>ROUND((Source!CA80/100)*ROUND((Source!AF80*Source!AV80)*Source!I80, 2), 2)</f>
        <v>0</v>
      </c>
      <c r="T176" s="33">
        <f>Source!Y80</f>
        <v>0</v>
      </c>
      <c r="U176" s="33">
        <f>ROUND((175/100)*ROUND((Source!AE80*Source!AV80)*Source!I80, 2), 2)</f>
        <v>0</v>
      </c>
      <c r="V176" s="33">
        <f>ROUND((108/100)*ROUND(Source!CS80*Source!I80, 2), 2)</f>
        <v>0</v>
      </c>
    </row>
    <row r="177" spans="1:22" s="33" customFormat="1" ht="15" x14ac:dyDescent="0.2">
      <c r="A177" s="26"/>
      <c r="B177" s="27"/>
      <c r="C177" s="27" t="s">
        <v>257</v>
      </c>
      <c r="D177" s="28" t="s">
        <v>258</v>
      </c>
      <c r="E177" s="29">
        <f>Source!AT78</f>
        <v>70</v>
      </c>
      <c r="F177" s="30"/>
      <c r="G177" s="31"/>
      <c r="H177" s="29"/>
      <c r="I177" s="29"/>
      <c r="J177" s="32">
        <f>SUM(R170:R176)</f>
        <v>10565.18</v>
      </c>
      <c r="K177" s="32"/>
    </row>
    <row r="178" spans="1:22" s="33" customFormat="1" ht="15" x14ac:dyDescent="0.2">
      <c r="A178" s="26"/>
      <c r="B178" s="27"/>
      <c r="C178" s="27" t="s">
        <v>259</v>
      </c>
      <c r="D178" s="28" t="s">
        <v>258</v>
      </c>
      <c r="E178" s="29">
        <f>Source!AU78</f>
        <v>10</v>
      </c>
      <c r="F178" s="30"/>
      <c r="G178" s="31"/>
      <c r="H178" s="29"/>
      <c r="I178" s="29"/>
      <c r="J178" s="32">
        <f>SUM(T170:T177)</f>
        <v>1509.31</v>
      </c>
      <c r="K178" s="32"/>
    </row>
    <row r="179" spans="1:22" s="33" customFormat="1" ht="15" x14ac:dyDescent="0.2">
      <c r="A179" s="26"/>
      <c r="B179" s="27"/>
      <c r="C179" s="27" t="s">
        <v>265</v>
      </c>
      <c r="D179" s="28" t="s">
        <v>258</v>
      </c>
      <c r="E179" s="29">
        <f>108</f>
        <v>108</v>
      </c>
      <c r="F179" s="30"/>
      <c r="G179" s="31"/>
      <c r="H179" s="29"/>
      <c r="I179" s="29"/>
      <c r="J179" s="32">
        <f>SUM(V170:V178)</f>
        <v>10538.67</v>
      </c>
      <c r="K179" s="32"/>
    </row>
    <row r="180" spans="1:22" s="33" customFormat="1" ht="15" x14ac:dyDescent="0.2">
      <c r="A180" s="26"/>
      <c r="B180" s="27"/>
      <c r="C180" s="27" t="s">
        <v>260</v>
      </c>
      <c r="D180" s="28" t="s">
        <v>261</v>
      </c>
      <c r="E180" s="29">
        <f>Source!AQ78</f>
        <v>2.65</v>
      </c>
      <c r="F180" s="30"/>
      <c r="G180" s="31" t="str">
        <f>Source!DI78</f>
        <v>)*5</v>
      </c>
      <c r="H180" s="29">
        <f>Source!AV78</f>
        <v>1</v>
      </c>
      <c r="I180" s="29"/>
      <c r="J180" s="32"/>
      <c r="K180" s="32">
        <f>Source!U78</f>
        <v>66.369250000000008</v>
      </c>
    </row>
    <row r="181" spans="1:22" s="33" customFormat="1" ht="15.75" x14ac:dyDescent="0.25">
      <c r="A181" s="34"/>
      <c r="B181" s="34"/>
      <c r="C181" s="34"/>
      <c r="D181" s="34"/>
      <c r="E181" s="34"/>
      <c r="F181" s="34"/>
      <c r="G181" s="34"/>
      <c r="H181" s="34"/>
      <c r="I181" s="69">
        <f>J171+J172+J174+J177+J178+J179+SUM(J175:J176)</f>
        <v>808394.27</v>
      </c>
      <c r="J181" s="69"/>
      <c r="K181" s="35">
        <f>IF(Source!I78&lt;&gt;0, ROUND(I181/Source!I78, 2), 0)</f>
        <v>161388.35</v>
      </c>
      <c r="P181" s="36">
        <f>I181</f>
        <v>808394.27</v>
      </c>
    </row>
    <row r="182" spans="1:22" s="33" customFormat="1" ht="30" x14ac:dyDescent="0.2">
      <c r="A182" s="26" t="str">
        <f>Source!E81</f>
        <v>12</v>
      </c>
      <c r="B182" s="27" t="str">
        <f>Source!F81</f>
        <v>1.49-9101-7-1/1</v>
      </c>
      <c r="C182" s="27" t="str">
        <f>Source!G81</f>
        <v>Механизированная погрузка строительного мусора в автомобили-самосвалы</v>
      </c>
      <c r="D182" s="28" t="str">
        <f>Source!H81</f>
        <v>т</v>
      </c>
      <c r="E182" s="29">
        <f>Source!I81</f>
        <v>8.6616</v>
      </c>
      <c r="F182" s="30"/>
      <c r="G182" s="31"/>
      <c r="H182" s="29"/>
      <c r="I182" s="29"/>
      <c r="J182" s="32"/>
      <c r="K182" s="32"/>
      <c r="Q182" s="33">
        <f>ROUND((Source!BZ81/100)*ROUND((Source!AF81*Source!AV81)*Source!I81, 2), 2)</f>
        <v>0</v>
      </c>
      <c r="R182" s="33">
        <f>Source!X81</f>
        <v>0</v>
      </c>
      <c r="S182" s="33">
        <f>ROUND((Source!CA81/100)*ROUND((Source!AF81*Source!AV81)*Source!I81, 2), 2)</f>
        <v>0</v>
      </c>
      <c r="T182" s="33">
        <f>Source!Y81</f>
        <v>0</v>
      </c>
      <c r="U182" s="33">
        <f>ROUND((175/100)*ROUND((Source!AE81*Source!AV81)*Source!I81, 2), 2)</f>
        <v>391.69</v>
      </c>
      <c r="V182" s="33">
        <f>ROUND((108/100)*ROUND(Source!CS81*Source!I81, 2), 2)</f>
        <v>241.73</v>
      </c>
    </row>
    <row r="183" spans="1:22" s="33" customFormat="1" ht="15" x14ac:dyDescent="0.2">
      <c r="A183" s="26"/>
      <c r="B183" s="27"/>
      <c r="C183" s="27" t="s">
        <v>262</v>
      </c>
      <c r="D183" s="28"/>
      <c r="E183" s="29"/>
      <c r="F183" s="30">
        <f>Source!AM81</f>
        <v>80.25</v>
      </c>
      <c r="G183" s="31" t="str">
        <f>Source!DE81</f>
        <v/>
      </c>
      <c r="H183" s="29">
        <f>Source!AV81</f>
        <v>1</v>
      </c>
      <c r="I183" s="29">
        <f>IF(Source!BB81&lt;&gt; 0, Source!BB81, 1)</f>
        <v>1</v>
      </c>
      <c r="J183" s="32">
        <f>Source!Q81</f>
        <v>695.09</v>
      </c>
      <c r="K183" s="32"/>
    </row>
    <row r="184" spans="1:22" s="33" customFormat="1" ht="15" x14ac:dyDescent="0.2">
      <c r="A184" s="26"/>
      <c r="B184" s="27"/>
      <c r="C184" s="27" t="s">
        <v>263</v>
      </c>
      <c r="D184" s="28"/>
      <c r="E184" s="29"/>
      <c r="F184" s="30">
        <f>Source!AN81</f>
        <v>25.84</v>
      </c>
      <c r="G184" s="31" t="str">
        <f>Source!DF81</f>
        <v/>
      </c>
      <c r="H184" s="29">
        <f>Source!AV81</f>
        <v>1</v>
      </c>
      <c r="I184" s="29">
        <f>IF(Source!BS81&lt;&gt; 0, Source!BS81, 1)</f>
        <v>1</v>
      </c>
      <c r="J184" s="37">
        <f>Source!R81</f>
        <v>223.82</v>
      </c>
      <c r="K184" s="32"/>
    </row>
    <row r="185" spans="1:22" s="33" customFormat="1" ht="15" x14ac:dyDescent="0.2">
      <c r="A185" s="26"/>
      <c r="B185" s="27"/>
      <c r="C185" s="27" t="s">
        <v>265</v>
      </c>
      <c r="D185" s="28" t="s">
        <v>258</v>
      </c>
      <c r="E185" s="29">
        <f>108</f>
        <v>108</v>
      </c>
      <c r="F185" s="30"/>
      <c r="G185" s="31"/>
      <c r="H185" s="29"/>
      <c r="I185" s="29"/>
      <c r="J185" s="32">
        <f>SUM(V182:V184)</f>
        <v>241.73</v>
      </c>
      <c r="K185" s="32"/>
    </row>
    <row r="186" spans="1:22" s="33" customFormat="1" ht="15.75" x14ac:dyDescent="0.25">
      <c r="A186" s="34"/>
      <c r="B186" s="34"/>
      <c r="C186" s="34"/>
      <c r="D186" s="34"/>
      <c r="E186" s="34"/>
      <c r="F186" s="34"/>
      <c r="G186" s="34"/>
      <c r="H186" s="34"/>
      <c r="I186" s="69">
        <f>J183+J185</f>
        <v>936.82</v>
      </c>
      <c r="J186" s="69"/>
      <c r="K186" s="35">
        <f>IF(Source!I81&lt;&gt;0, ROUND(I186/Source!I81, 2), 0)</f>
        <v>108.16</v>
      </c>
      <c r="P186" s="36">
        <f>I186</f>
        <v>936.82</v>
      </c>
    </row>
    <row r="187" spans="1:22" s="33" customFormat="1" ht="30" x14ac:dyDescent="0.2">
      <c r="A187" s="26" t="str">
        <f>Source!E82</f>
        <v>13</v>
      </c>
      <c r="B187" s="27" t="str">
        <f>Source!F82</f>
        <v>1.50-3305-4-1/1</v>
      </c>
      <c r="C187" s="27" t="str">
        <f>Source!G82</f>
        <v>Погрузка и выгрузка вручную строительного мусора на транспортные средства</v>
      </c>
      <c r="D187" s="28" t="str">
        <f>Source!H82</f>
        <v>т</v>
      </c>
      <c r="E187" s="29">
        <f>Source!I82</f>
        <v>0.96240000000000003</v>
      </c>
      <c r="F187" s="30"/>
      <c r="G187" s="31"/>
      <c r="H187" s="29"/>
      <c r="I187" s="29"/>
      <c r="J187" s="32"/>
      <c r="K187" s="32"/>
      <c r="Q187" s="33">
        <f>ROUND((Source!BZ82/100)*ROUND((Source!AF82*Source!AV82)*Source!I82, 2), 2)</f>
        <v>84.14</v>
      </c>
      <c r="R187" s="33">
        <f>Source!X82</f>
        <v>84.14</v>
      </c>
      <c r="S187" s="33">
        <f>ROUND((Source!CA82/100)*ROUND((Source!AF82*Source!AV82)*Source!I82, 2), 2)</f>
        <v>12.02</v>
      </c>
      <c r="T187" s="33">
        <f>Source!Y82</f>
        <v>12.02</v>
      </c>
      <c r="U187" s="33">
        <f>ROUND((175/100)*ROUND((Source!AE82*Source!AV82)*Source!I82, 2), 2)</f>
        <v>0</v>
      </c>
      <c r="V187" s="33">
        <f>ROUND((108/100)*ROUND(Source!CS82*Source!I82, 2), 2)</f>
        <v>0</v>
      </c>
    </row>
    <row r="188" spans="1:22" s="33" customFormat="1" ht="15" x14ac:dyDescent="0.2">
      <c r="A188" s="26"/>
      <c r="B188" s="27"/>
      <c r="C188" s="27" t="s">
        <v>256</v>
      </c>
      <c r="D188" s="28"/>
      <c r="E188" s="29"/>
      <c r="F188" s="30">
        <f>Source!AO82</f>
        <v>124.9</v>
      </c>
      <c r="G188" s="31" t="str">
        <f>Source!DG82</f>
        <v/>
      </c>
      <c r="H188" s="29">
        <f>Source!AV82</f>
        <v>1</v>
      </c>
      <c r="I188" s="29">
        <f>IF(Source!BA82&lt;&gt; 0, Source!BA82, 1)</f>
        <v>1</v>
      </c>
      <c r="J188" s="32">
        <f>Source!S82</f>
        <v>120.2</v>
      </c>
      <c r="K188" s="32"/>
    </row>
    <row r="189" spans="1:22" s="33" customFormat="1" ht="15" x14ac:dyDescent="0.2">
      <c r="A189" s="26"/>
      <c r="B189" s="27"/>
      <c r="C189" s="27" t="s">
        <v>257</v>
      </c>
      <c r="D189" s="28" t="s">
        <v>258</v>
      </c>
      <c r="E189" s="29">
        <f>Source!AT82</f>
        <v>70</v>
      </c>
      <c r="F189" s="30"/>
      <c r="G189" s="31"/>
      <c r="H189" s="29"/>
      <c r="I189" s="29"/>
      <c r="J189" s="32">
        <f>SUM(R187:R188)</f>
        <v>84.14</v>
      </c>
      <c r="K189" s="32"/>
    </row>
    <row r="190" spans="1:22" s="33" customFormat="1" ht="15" x14ac:dyDescent="0.2">
      <c r="A190" s="26"/>
      <c r="B190" s="27"/>
      <c r="C190" s="27" t="s">
        <v>259</v>
      </c>
      <c r="D190" s="28" t="s">
        <v>258</v>
      </c>
      <c r="E190" s="29">
        <f>Source!AU82</f>
        <v>10</v>
      </c>
      <c r="F190" s="30"/>
      <c r="G190" s="31"/>
      <c r="H190" s="29"/>
      <c r="I190" s="29"/>
      <c r="J190" s="32">
        <f>SUM(T187:T189)</f>
        <v>12.02</v>
      </c>
      <c r="K190" s="32"/>
    </row>
    <row r="191" spans="1:22" s="33" customFormat="1" ht="15" x14ac:dyDescent="0.2">
      <c r="A191" s="26"/>
      <c r="B191" s="27"/>
      <c r="C191" s="27" t="s">
        <v>260</v>
      </c>
      <c r="D191" s="28" t="s">
        <v>261</v>
      </c>
      <c r="E191" s="29">
        <f>Source!AQ82</f>
        <v>1.02</v>
      </c>
      <c r="F191" s="30"/>
      <c r="G191" s="31" t="str">
        <f>Source!DI82</f>
        <v/>
      </c>
      <c r="H191" s="29">
        <f>Source!AV82</f>
        <v>1</v>
      </c>
      <c r="I191" s="29"/>
      <c r="J191" s="32"/>
      <c r="K191" s="32">
        <f>Source!U82</f>
        <v>0.98164800000000008</v>
      </c>
    </row>
    <row r="192" spans="1:22" s="33" customFormat="1" ht="15.75" x14ac:dyDescent="0.25">
      <c r="A192" s="34"/>
      <c r="B192" s="34"/>
      <c r="C192" s="34"/>
      <c r="D192" s="34"/>
      <c r="E192" s="34"/>
      <c r="F192" s="34"/>
      <c r="G192" s="34"/>
      <c r="H192" s="34"/>
      <c r="I192" s="69">
        <f>J188+J189+J190</f>
        <v>216.36</v>
      </c>
      <c r="J192" s="69"/>
      <c r="K192" s="35">
        <f>IF(Source!I82&lt;&gt;0, ROUND(I192/Source!I82, 2), 0)</f>
        <v>224.81</v>
      </c>
      <c r="P192" s="36">
        <f>I192</f>
        <v>216.36</v>
      </c>
    </row>
    <row r="193" spans="1:22" s="33" customFormat="1" ht="45" x14ac:dyDescent="0.2">
      <c r="A193" s="26" t="str">
        <f>Source!E83</f>
        <v>14</v>
      </c>
      <c r="B193" s="27" t="str">
        <f>Source!F83</f>
        <v>1.49-9201-1-1/1</v>
      </c>
      <c r="C193" s="27" t="str">
        <f>Source!G83</f>
        <v>Перевозка строительного мусора автосамосвалами грузоподъемностью до 10 т на расстояние 1 км - при погрузке вручную</v>
      </c>
      <c r="D193" s="28" t="str">
        <f>Source!H83</f>
        <v>т</v>
      </c>
      <c r="E193" s="29">
        <f>Source!I83</f>
        <v>0.96240000000000003</v>
      </c>
      <c r="F193" s="30"/>
      <c r="G193" s="31"/>
      <c r="H193" s="29"/>
      <c r="I193" s="29"/>
      <c r="J193" s="32"/>
      <c r="K193" s="32"/>
      <c r="Q193" s="33">
        <f>ROUND((Source!BZ83/100)*ROUND((Source!AF83*Source!AV83)*Source!I83, 2), 2)</f>
        <v>0</v>
      </c>
      <c r="R193" s="33">
        <f>Source!X83</f>
        <v>0</v>
      </c>
      <c r="S193" s="33">
        <f>ROUND((Source!CA83/100)*ROUND((Source!AF83*Source!AV83)*Source!I83, 2), 2)</f>
        <v>0</v>
      </c>
      <c r="T193" s="33">
        <f>Source!Y83</f>
        <v>0</v>
      </c>
      <c r="U193" s="33">
        <f>ROUND((175/100)*ROUND((Source!AE83*Source!AV83)*Source!I83, 2), 2)</f>
        <v>151.88</v>
      </c>
      <c r="V193" s="33">
        <f>ROUND((108/100)*ROUND(Source!CS83*Source!I83, 2), 2)</f>
        <v>93.73</v>
      </c>
    </row>
    <row r="194" spans="1:22" s="33" customFormat="1" ht="15" x14ac:dyDescent="0.2">
      <c r="A194" s="26"/>
      <c r="B194" s="27"/>
      <c r="C194" s="27" t="s">
        <v>262</v>
      </c>
      <c r="D194" s="28"/>
      <c r="E194" s="29"/>
      <c r="F194" s="30">
        <f>Source!AM83</f>
        <v>165.91</v>
      </c>
      <c r="G194" s="31" t="str">
        <f>Source!DE83</f>
        <v/>
      </c>
      <c r="H194" s="29">
        <f>Source!AV83</f>
        <v>1</v>
      </c>
      <c r="I194" s="29">
        <f>IF(Source!BB83&lt;&gt; 0, Source!BB83, 1)</f>
        <v>1</v>
      </c>
      <c r="J194" s="32">
        <f>Source!Q83</f>
        <v>159.66999999999999</v>
      </c>
      <c r="K194" s="32"/>
    </row>
    <row r="195" spans="1:22" s="33" customFormat="1" ht="15" x14ac:dyDescent="0.2">
      <c r="A195" s="26"/>
      <c r="B195" s="27"/>
      <c r="C195" s="27" t="s">
        <v>263</v>
      </c>
      <c r="D195" s="28"/>
      <c r="E195" s="29"/>
      <c r="F195" s="30">
        <f>Source!AN83</f>
        <v>90.18</v>
      </c>
      <c r="G195" s="31" t="str">
        <f>Source!DF83</f>
        <v/>
      </c>
      <c r="H195" s="29">
        <f>Source!AV83</f>
        <v>1</v>
      </c>
      <c r="I195" s="29">
        <f>IF(Source!BS83&lt;&gt; 0, Source!BS83, 1)</f>
        <v>1</v>
      </c>
      <c r="J195" s="37">
        <f>Source!R83</f>
        <v>86.79</v>
      </c>
      <c r="K195" s="32"/>
    </row>
    <row r="196" spans="1:22" s="33" customFormat="1" ht="15.75" x14ac:dyDescent="0.25">
      <c r="A196" s="34"/>
      <c r="B196" s="34"/>
      <c r="C196" s="34"/>
      <c r="D196" s="34"/>
      <c r="E196" s="34"/>
      <c r="F196" s="34"/>
      <c r="G196" s="34"/>
      <c r="H196" s="34"/>
      <c r="I196" s="69">
        <f>J194</f>
        <v>159.66999999999999</v>
      </c>
      <c r="J196" s="69"/>
      <c r="K196" s="35">
        <f>IF(Source!I83&lt;&gt;0, ROUND(I196/Source!I83, 2), 0)</f>
        <v>165.91</v>
      </c>
      <c r="P196" s="36">
        <f>I196</f>
        <v>159.66999999999999</v>
      </c>
    </row>
    <row r="197" spans="1:22" s="33" customFormat="1" ht="60" x14ac:dyDescent="0.2">
      <c r="A197" s="26" t="str">
        <f>Source!E84</f>
        <v>15</v>
      </c>
      <c r="B197" s="27" t="str">
        <f>Source!F84</f>
        <v>1.49-9201-1-2/1</v>
      </c>
      <c r="C197" s="27" t="str">
        <f>Source!G84</f>
        <v>Перевозка строительного мусора автосамосвалами грузоподъемностью до 10 т на расстояние 1 км - при механизированной погрузке</v>
      </c>
      <c r="D197" s="28" t="str">
        <f>Source!H84</f>
        <v>т</v>
      </c>
      <c r="E197" s="29">
        <f>Source!I84</f>
        <v>8.6616</v>
      </c>
      <c r="F197" s="30"/>
      <c r="G197" s="31"/>
      <c r="H197" s="29"/>
      <c r="I197" s="29"/>
      <c r="J197" s="32"/>
      <c r="K197" s="32"/>
      <c r="Q197" s="33">
        <f>ROUND((Source!BZ84/100)*ROUND((Source!AF84*Source!AV84)*Source!I84, 2), 2)</f>
        <v>0</v>
      </c>
      <c r="R197" s="33">
        <f>Source!X84</f>
        <v>0</v>
      </c>
      <c r="S197" s="33">
        <f>ROUND((Source!CA84/100)*ROUND((Source!AF84*Source!AV84)*Source!I84, 2), 2)</f>
        <v>0</v>
      </c>
      <c r="T197" s="33">
        <f>Source!Y84</f>
        <v>0</v>
      </c>
      <c r="U197" s="33">
        <f>ROUND((175/100)*ROUND((Source!AE84*Source!AV84)*Source!I84, 2), 2)</f>
        <v>476.56</v>
      </c>
      <c r="V197" s="33">
        <f>ROUND((108/100)*ROUND(Source!CS84*Source!I84, 2), 2)</f>
        <v>294.11</v>
      </c>
    </row>
    <row r="198" spans="1:22" s="33" customFormat="1" ht="15" x14ac:dyDescent="0.2">
      <c r="A198" s="26"/>
      <c r="B198" s="27"/>
      <c r="C198" s="27" t="s">
        <v>262</v>
      </c>
      <c r="D198" s="28"/>
      <c r="E198" s="29"/>
      <c r="F198" s="30">
        <f>Source!AM84</f>
        <v>57.83</v>
      </c>
      <c r="G198" s="31" t="str">
        <f>Source!DE84</f>
        <v/>
      </c>
      <c r="H198" s="29">
        <f>Source!AV84</f>
        <v>1</v>
      </c>
      <c r="I198" s="29">
        <f>IF(Source!BB84&lt;&gt; 0, Source!BB84, 1)</f>
        <v>1</v>
      </c>
      <c r="J198" s="32">
        <f>Source!Q84</f>
        <v>500.9</v>
      </c>
      <c r="K198" s="32"/>
    </row>
    <row r="199" spans="1:22" s="33" customFormat="1" ht="15" x14ac:dyDescent="0.2">
      <c r="A199" s="26"/>
      <c r="B199" s="27"/>
      <c r="C199" s="27" t="s">
        <v>263</v>
      </c>
      <c r="D199" s="28"/>
      <c r="E199" s="29"/>
      <c r="F199" s="30">
        <f>Source!AN84</f>
        <v>31.44</v>
      </c>
      <c r="G199" s="31" t="str">
        <f>Source!DF84</f>
        <v/>
      </c>
      <c r="H199" s="29">
        <f>Source!AV84</f>
        <v>1</v>
      </c>
      <c r="I199" s="29">
        <f>IF(Source!BS84&lt;&gt; 0, Source!BS84, 1)</f>
        <v>1</v>
      </c>
      <c r="J199" s="37">
        <f>Source!R84</f>
        <v>272.32</v>
      </c>
      <c r="K199" s="32"/>
    </row>
    <row r="200" spans="1:22" s="33" customFormat="1" ht="15.75" x14ac:dyDescent="0.25">
      <c r="A200" s="34"/>
      <c r="B200" s="34"/>
      <c r="C200" s="34"/>
      <c r="D200" s="34"/>
      <c r="E200" s="34"/>
      <c r="F200" s="34"/>
      <c r="G200" s="34"/>
      <c r="H200" s="34"/>
      <c r="I200" s="69">
        <f>J198</f>
        <v>500.9</v>
      </c>
      <c r="J200" s="69"/>
      <c r="K200" s="35">
        <f>IF(Source!I84&lt;&gt;0, ROUND(I200/Source!I84, 2), 0)</f>
        <v>57.83</v>
      </c>
      <c r="P200" s="36">
        <f>I200</f>
        <v>500.9</v>
      </c>
    </row>
    <row r="201" spans="1:22" s="33" customFormat="1" ht="60" x14ac:dyDescent="0.2">
      <c r="A201" s="26" t="str">
        <f>Source!E85</f>
        <v>16</v>
      </c>
      <c r="B201" s="27" t="str">
        <f>Source!F85</f>
        <v>1.49-9201-1-3/1</v>
      </c>
      <c r="C201" s="27" t="str">
        <f>Source!G85</f>
        <v>Перевозка строительного мусора автосамосвалами грузоподъемностью до 10 т - добавляется на каждый последующий 1 км до 100 км</v>
      </c>
      <c r="D201" s="28" t="str">
        <f>Source!H85</f>
        <v>т</v>
      </c>
      <c r="E201" s="29">
        <f>Source!I85</f>
        <v>9.6240000000000006</v>
      </c>
      <c r="F201" s="30"/>
      <c r="G201" s="31"/>
      <c r="H201" s="29"/>
      <c r="I201" s="29"/>
      <c r="J201" s="32"/>
      <c r="K201" s="32"/>
      <c r="Q201" s="33">
        <f>ROUND((Source!BZ85/100)*ROUND((Source!AF85*Source!AV85)*Source!I85, 2), 2)</f>
        <v>0</v>
      </c>
      <c r="R201" s="33">
        <f>Source!X85</f>
        <v>0</v>
      </c>
      <c r="S201" s="33">
        <f>ROUND((Source!CA85/100)*ROUND((Source!AF85*Source!AV85)*Source!I85, 2), 2)</f>
        <v>0</v>
      </c>
      <c r="T201" s="33">
        <f>Source!Y85</f>
        <v>0</v>
      </c>
      <c r="U201" s="33">
        <f>ROUND((175/100)*ROUND((Source!AE85*Source!AV85)*Source!I85, 2), 2)</f>
        <v>12288.1</v>
      </c>
      <c r="V201" s="33">
        <f>ROUND((108/100)*ROUND(Source!CS85*Source!I85, 2), 2)</f>
        <v>7583.51</v>
      </c>
    </row>
    <row r="202" spans="1:22" s="33" customFormat="1" ht="15" x14ac:dyDescent="0.2">
      <c r="A202" s="26"/>
      <c r="B202" s="27"/>
      <c r="C202" s="27" t="s">
        <v>262</v>
      </c>
      <c r="D202" s="28"/>
      <c r="E202" s="29"/>
      <c r="F202" s="30">
        <f>Source!AM85</f>
        <v>27.39</v>
      </c>
      <c r="G202" s="31" t="str">
        <f>Source!DE85</f>
        <v>)*49</v>
      </c>
      <c r="H202" s="29">
        <f>Source!AV85</f>
        <v>1</v>
      </c>
      <c r="I202" s="29">
        <f>IF(Source!BB85&lt;&gt; 0, Source!BB85, 1)</f>
        <v>1</v>
      </c>
      <c r="J202" s="32">
        <f>Source!Q85</f>
        <v>12916.47</v>
      </c>
      <c r="K202" s="32"/>
    </row>
    <row r="203" spans="1:22" s="33" customFormat="1" ht="15" x14ac:dyDescent="0.2">
      <c r="A203" s="26"/>
      <c r="B203" s="27"/>
      <c r="C203" s="27" t="s">
        <v>263</v>
      </c>
      <c r="D203" s="28"/>
      <c r="E203" s="29"/>
      <c r="F203" s="30">
        <f>Source!AN85</f>
        <v>14.89</v>
      </c>
      <c r="G203" s="31" t="str">
        <f>Source!DF85</f>
        <v>)*49</v>
      </c>
      <c r="H203" s="29">
        <f>Source!AV85</f>
        <v>1</v>
      </c>
      <c r="I203" s="29">
        <f>IF(Source!BS85&lt;&gt; 0, Source!BS85, 1)</f>
        <v>1</v>
      </c>
      <c r="J203" s="37">
        <f>Source!R85</f>
        <v>7021.77</v>
      </c>
      <c r="K203" s="32"/>
    </row>
    <row r="204" spans="1:22" s="33" customFormat="1" ht="15.75" x14ac:dyDescent="0.25">
      <c r="A204" s="34"/>
      <c r="B204" s="34"/>
      <c r="C204" s="34"/>
      <c r="D204" s="34"/>
      <c r="E204" s="34"/>
      <c r="F204" s="34"/>
      <c r="G204" s="34"/>
      <c r="H204" s="34"/>
      <c r="I204" s="69">
        <f>J202</f>
        <v>12916.47</v>
      </c>
      <c r="J204" s="69"/>
      <c r="K204" s="35">
        <f>IF(Source!I85&lt;&gt;0, ROUND(I204/Source!I85, 2), 0)</f>
        <v>1342.11</v>
      </c>
      <c r="P204" s="36">
        <f>I204</f>
        <v>12916.47</v>
      </c>
    </row>
    <row r="205" spans="1:22" s="33" customFormat="1" ht="15" x14ac:dyDescent="0.2"/>
    <row r="206" spans="1:22" s="33" customFormat="1" ht="15.75" x14ac:dyDescent="0.25">
      <c r="A206" s="67" t="str">
        <f>CONCATENATE("Итого по разделу: ",IF(Source!G87&lt;&gt;"Новый раздел", Source!G87, ""))</f>
        <v>Итого по разделу: Детская площадка в северной части парка (500,9 м2)</v>
      </c>
      <c r="B206" s="67"/>
      <c r="C206" s="67"/>
      <c r="D206" s="67"/>
      <c r="E206" s="67"/>
      <c r="F206" s="67"/>
      <c r="G206" s="67"/>
      <c r="H206" s="67"/>
      <c r="I206" s="66">
        <f>SUM(P152:P205)</f>
        <v>1205561.77</v>
      </c>
      <c r="J206" s="57"/>
      <c r="K206" s="39"/>
    </row>
    <row r="207" spans="1:22" s="33" customFormat="1" ht="15" x14ac:dyDescent="0.2"/>
    <row r="208" spans="1:22" ht="14.25" hidden="1" x14ac:dyDescent="0.2">
      <c r="C208" s="49" t="str">
        <f>Source!H115</f>
        <v>НДС 20%</v>
      </c>
      <c r="D208" s="49"/>
      <c r="E208" s="49"/>
      <c r="F208" s="49"/>
      <c r="G208" s="49"/>
      <c r="H208" s="49"/>
      <c r="I208" s="68">
        <f>IF(Source!F115=0, "", Source!F115)</f>
        <v>241112.35</v>
      </c>
      <c r="J208" s="68"/>
    </row>
    <row r="209" spans="1:22" ht="14.25" hidden="1" x14ac:dyDescent="0.2">
      <c r="C209" s="49" t="str">
        <f>Source!H116</f>
        <v>Всего по смете</v>
      </c>
      <c r="D209" s="49"/>
      <c r="E209" s="49"/>
      <c r="F209" s="49"/>
      <c r="G209" s="49"/>
      <c r="H209" s="49"/>
      <c r="I209" s="68">
        <f>IF(Source!F116=0, "", Source!F116)</f>
        <v>1446674.12</v>
      </c>
      <c r="J209" s="68"/>
    </row>
    <row r="210" spans="1:22" hidden="1" x14ac:dyDescent="0.2"/>
    <row r="211" spans="1:22" ht="16.5" x14ac:dyDescent="0.25">
      <c r="A211" s="70" t="str">
        <f>CONCATENATE("Раздел: ",IF(Source!G118&lt;&gt;"Новый раздел", Source!G118, ""))</f>
        <v>Раздел: Детская площадка "Сиреневый сад" (683,1 м2)</v>
      </c>
      <c r="B211" s="70"/>
      <c r="C211" s="70"/>
      <c r="D211" s="70"/>
      <c r="E211" s="70"/>
      <c r="F211" s="70"/>
      <c r="G211" s="70"/>
      <c r="H211" s="70"/>
      <c r="I211" s="70"/>
      <c r="J211" s="70"/>
      <c r="K211" s="70"/>
    </row>
    <row r="212" spans="1:22" s="33" customFormat="1" ht="90" x14ac:dyDescent="0.2">
      <c r="A212" s="26" t="str">
        <f>Source!E122</f>
        <v>17</v>
      </c>
      <c r="B212" s="27" t="str">
        <f>Source!F122</f>
        <v>5.3-3104-1-2/1</v>
      </c>
      <c r="C212" s="27" t="str">
        <f>Source!G122</f>
        <v>Разборка полиуретанового покрытия игровых площадок, спортивных дорожек и площадок - на бетонном основании толщ. 4 см (крошка-5,021т*1слоя=10,042т + связующие-1,65т+1,34т=2,99т. Итого: 13,032т*2слоя=26,064т)</v>
      </c>
      <c r="D212" s="28" t="str">
        <f>Source!H122</f>
        <v>100 м2</v>
      </c>
      <c r="E212" s="29">
        <f>Source!I122</f>
        <v>6.8310000000000004</v>
      </c>
      <c r="F212" s="30"/>
      <c r="G212" s="31"/>
      <c r="H212" s="29"/>
      <c r="I212" s="29"/>
      <c r="J212" s="32"/>
      <c r="K212" s="32"/>
      <c r="Q212" s="33">
        <f>ROUND((Source!BZ122/100)*ROUND((Source!AF122*Source!AV122)*Source!I122, 2), 2)</f>
        <v>7987.97</v>
      </c>
      <c r="R212" s="33">
        <f>Source!X122</f>
        <v>7987.97</v>
      </c>
      <c r="S212" s="33">
        <f>ROUND((Source!CA122/100)*ROUND((Source!AF122*Source!AV122)*Source!I122, 2), 2)</f>
        <v>1141.1400000000001</v>
      </c>
      <c r="T212" s="33">
        <f>Source!Y122</f>
        <v>1141.1400000000001</v>
      </c>
      <c r="U212" s="33">
        <f>ROUND((175/100)*ROUND((Source!AE122*Source!AV122)*Source!I122, 2), 2)</f>
        <v>0.25</v>
      </c>
      <c r="V212" s="33">
        <f>ROUND((108/100)*ROUND(Source!CS122*Source!I122, 2), 2)</f>
        <v>0.15</v>
      </c>
    </row>
    <row r="213" spans="1:22" s="33" customFormat="1" ht="15" x14ac:dyDescent="0.2">
      <c r="A213" s="26"/>
      <c r="B213" s="27"/>
      <c r="C213" s="27" t="s">
        <v>256</v>
      </c>
      <c r="D213" s="28"/>
      <c r="E213" s="29"/>
      <c r="F213" s="30">
        <f>Source!AO122</f>
        <v>1670.53</v>
      </c>
      <c r="G213" s="31" t="str">
        <f>Source!DG122</f>
        <v/>
      </c>
      <c r="H213" s="29">
        <f>Source!AV122</f>
        <v>1</v>
      </c>
      <c r="I213" s="29">
        <f>IF(Source!BA122&lt;&gt; 0, Source!BA122, 1)</f>
        <v>1</v>
      </c>
      <c r="J213" s="32">
        <f>Source!S122</f>
        <v>11411.39</v>
      </c>
      <c r="K213" s="32"/>
    </row>
    <row r="214" spans="1:22" s="33" customFormat="1" ht="15" x14ac:dyDescent="0.2">
      <c r="A214" s="26"/>
      <c r="B214" s="27"/>
      <c r="C214" s="27" t="s">
        <v>262</v>
      </c>
      <c r="D214" s="28"/>
      <c r="E214" s="29"/>
      <c r="F214" s="30">
        <f>Source!AM122</f>
        <v>6.39</v>
      </c>
      <c r="G214" s="31" t="str">
        <f>Source!DE122</f>
        <v/>
      </c>
      <c r="H214" s="29">
        <f>Source!AV122</f>
        <v>1</v>
      </c>
      <c r="I214" s="29">
        <f>IF(Source!BB122&lt;&gt; 0, Source!BB122, 1)</f>
        <v>1</v>
      </c>
      <c r="J214" s="32">
        <f>Source!Q122</f>
        <v>43.65</v>
      </c>
      <c r="K214" s="32"/>
    </row>
    <row r="215" spans="1:22" s="33" customFormat="1" ht="15" x14ac:dyDescent="0.2">
      <c r="A215" s="26"/>
      <c r="B215" s="27"/>
      <c r="C215" s="27" t="s">
        <v>263</v>
      </c>
      <c r="D215" s="28"/>
      <c r="E215" s="29"/>
      <c r="F215" s="30">
        <f>Source!AN122</f>
        <v>0.02</v>
      </c>
      <c r="G215" s="31" t="str">
        <f>Source!DF122</f>
        <v/>
      </c>
      <c r="H215" s="29">
        <f>Source!AV122</f>
        <v>1</v>
      </c>
      <c r="I215" s="29">
        <f>IF(Source!BS122&lt;&gt; 0, Source!BS122, 1)</f>
        <v>1</v>
      </c>
      <c r="J215" s="37">
        <f>Source!R122</f>
        <v>0.14000000000000001</v>
      </c>
      <c r="K215" s="32"/>
    </row>
    <row r="216" spans="1:22" s="33" customFormat="1" ht="15" x14ac:dyDescent="0.2">
      <c r="A216" s="26"/>
      <c r="B216" s="27"/>
      <c r="C216" s="27" t="s">
        <v>257</v>
      </c>
      <c r="D216" s="28" t="s">
        <v>258</v>
      </c>
      <c r="E216" s="29">
        <f>Source!AT122</f>
        <v>70</v>
      </c>
      <c r="F216" s="30"/>
      <c r="G216" s="31"/>
      <c r="H216" s="29"/>
      <c r="I216" s="29"/>
      <c r="J216" s="32">
        <f>SUM(R212:R215)</f>
        <v>7987.97</v>
      </c>
      <c r="K216" s="32"/>
    </row>
    <row r="217" spans="1:22" s="33" customFormat="1" ht="15" x14ac:dyDescent="0.2">
      <c r="A217" s="26"/>
      <c r="B217" s="27"/>
      <c r="C217" s="27" t="s">
        <v>259</v>
      </c>
      <c r="D217" s="28" t="s">
        <v>258</v>
      </c>
      <c r="E217" s="29">
        <f>Source!AU122</f>
        <v>10</v>
      </c>
      <c r="F217" s="30"/>
      <c r="G217" s="31"/>
      <c r="H217" s="29"/>
      <c r="I217" s="29"/>
      <c r="J217" s="32">
        <f>SUM(T212:T216)</f>
        <v>1141.1400000000001</v>
      </c>
      <c r="K217" s="32"/>
    </row>
    <row r="218" spans="1:22" s="33" customFormat="1" ht="15" x14ac:dyDescent="0.2">
      <c r="A218" s="26"/>
      <c r="B218" s="27"/>
      <c r="C218" s="27" t="s">
        <v>265</v>
      </c>
      <c r="D218" s="28" t="s">
        <v>258</v>
      </c>
      <c r="E218" s="29">
        <f>108</f>
        <v>108</v>
      </c>
      <c r="F218" s="30"/>
      <c r="G218" s="31"/>
      <c r="H218" s="29"/>
      <c r="I218" s="29"/>
      <c r="J218" s="32">
        <f>SUM(V212:V217)</f>
        <v>0.15</v>
      </c>
      <c r="K218" s="32"/>
    </row>
    <row r="219" spans="1:22" s="33" customFormat="1" ht="15" x14ac:dyDescent="0.2">
      <c r="A219" s="26"/>
      <c r="B219" s="27"/>
      <c r="C219" s="27" t="s">
        <v>260</v>
      </c>
      <c r="D219" s="28" t="s">
        <v>261</v>
      </c>
      <c r="E219" s="29">
        <f>Source!AQ122</f>
        <v>9.11</v>
      </c>
      <c r="F219" s="30"/>
      <c r="G219" s="31" t="str">
        <f>Source!DI122</f>
        <v/>
      </c>
      <c r="H219" s="29">
        <f>Source!AV122</f>
        <v>1</v>
      </c>
      <c r="I219" s="29"/>
      <c r="J219" s="32"/>
      <c r="K219" s="32">
        <f>Source!U122</f>
        <v>62.230409999999999</v>
      </c>
    </row>
    <row r="220" spans="1:22" s="33" customFormat="1" ht="15.75" x14ac:dyDescent="0.25">
      <c r="A220" s="34"/>
      <c r="B220" s="34"/>
      <c r="C220" s="34"/>
      <c r="D220" s="34"/>
      <c r="E220" s="34"/>
      <c r="F220" s="34"/>
      <c r="G220" s="34"/>
      <c r="H220" s="34"/>
      <c r="I220" s="69">
        <f>J213+J214+J216+J217+J218</f>
        <v>20584.3</v>
      </c>
      <c r="J220" s="69"/>
      <c r="K220" s="35">
        <f>IF(Source!I122&lt;&gt;0, ROUND(I220/Source!I122, 2), 0)</f>
        <v>3013.37</v>
      </c>
      <c r="P220" s="36">
        <f>I220</f>
        <v>20584.3</v>
      </c>
    </row>
    <row r="221" spans="1:22" s="33" customFormat="1" ht="30" x14ac:dyDescent="0.2">
      <c r="A221" s="26" t="str">
        <f>Source!E123</f>
        <v>18</v>
      </c>
      <c r="B221" s="27" t="str">
        <f>Source!F123</f>
        <v>2.1-3101-3-1/1</v>
      </c>
      <c r="C221" s="27" t="str">
        <f>Source!G123</f>
        <v>Ямочный ремонт тротуаров из литого асфальта с основанием</v>
      </c>
      <c r="D221" s="28" t="str">
        <f>Source!H123</f>
        <v>100 м2</v>
      </c>
      <c r="E221" s="29">
        <f>Source!I123</f>
        <v>0.85499999999999998</v>
      </c>
      <c r="F221" s="30"/>
      <c r="G221" s="31"/>
      <c r="H221" s="29"/>
      <c r="I221" s="29"/>
      <c r="J221" s="32"/>
      <c r="K221" s="32"/>
      <c r="Q221" s="33">
        <f>ROUND((Source!BZ123/100)*ROUND((Source!AF123*Source!AV123)*Source!I123, 2), 2)</f>
        <v>9149.51</v>
      </c>
      <c r="R221" s="33">
        <f>Source!X123</f>
        <v>9149.51</v>
      </c>
      <c r="S221" s="33">
        <f>ROUND((Source!CA123/100)*ROUND((Source!AF123*Source!AV123)*Source!I123, 2), 2)</f>
        <v>1307.07</v>
      </c>
      <c r="T221" s="33">
        <f>Source!Y123</f>
        <v>1307.07</v>
      </c>
      <c r="U221" s="33">
        <f>ROUND((175/100)*ROUND((Source!AE123*Source!AV123)*Source!I123, 2), 2)</f>
        <v>129.82</v>
      </c>
      <c r="V221" s="33">
        <f>ROUND((108/100)*ROUND(Source!CS123*Source!I123, 2), 2)</f>
        <v>80.11</v>
      </c>
    </row>
    <row r="222" spans="1:22" s="33" customFormat="1" ht="15" x14ac:dyDescent="0.2">
      <c r="A222" s="26"/>
      <c r="B222" s="27"/>
      <c r="C222" s="27" t="s">
        <v>256</v>
      </c>
      <c r="D222" s="28"/>
      <c r="E222" s="29"/>
      <c r="F222" s="30">
        <f>Source!AO123</f>
        <v>15287.4</v>
      </c>
      <c r="G222" s="31" t="str">
        <f>Source!DG123</f>
        <v/>
      </c>
      <c r="H222" s="29">
        <f>Source!AV123</f>
        <v>1</v>
      </c>
      <c r="I222" s="29">
        <f>IF(Source!BA123&lt;&gt; 0, Source!BA123, 1)</f>
        <v>1</v>
      </c>
      <c r="J222" s="32">
        <f>Source!S123</f>
        <v>13070.73</v>
      </c>
      <c r="K222" s="32"/>
    </row>
    <row r="223" spans="1:22" s="33" customFormat="1" ht="15" x14ac:dyDescent="0.2">
      <c r="A223" s="26"/>
      <c r="B223" s="27"/>
      <c r="C223" s="27" t="s">
        <v>262</v>
      </c>
      <c r="D223" s="28"/>
      <c r="E223" s="29"/>
      <c r="F223" s="30">
        <f>Source!AM123</f>
        <v>114.05</v>
      </c>
      <c r="G223" s="31" t="str">
        <f>Source!DE123</f>
        <v/>
      </c>
      <c r="H223" s="29">
        <f>Source!AV123</f>
        <v>1</v>
      </c>
      <c r="I223" s="29">
        <f>IF(Source!BB123&lt;&gt; 0, Source!BB123, 1)</f>
        <v>1</v>
      </c>
      <c r="J223" s="32">
        <f>Source!Q123</f>
        <v>97.51</v>
      </c>
      <c r="K223" s="32"/>
    </row>
    <row r="224" spans="1:22" s="33" customFormat="1" ht="15" x14ac:dyDescent="0.2">
      <c r="A224" s="26"/>
      <c r="B224" s="27"/>
      <c r="C224" s="27" t="s">
        <v>263</v>
      </c>
      <c r="D224" s="28"/>
      <c r="E224" s="29"/>
      <c r="F224" s="30">
        <f>Source!AN123</f>
        <v>86.76</v>
      </c>
      <c r="G224" s="31" t="str">
        <f>Source!DF123</f>
        <v/>
      </c>
      <c r="H224" s="29">
        <f>Source!AV123</f>
        <v>1</v>
      </c>
      <c r="I224" s="29">
        <f>IF(Source!BS123&lt;&gt; 0, Source!BS123, 1)</f>
        <v>1</v>
      </c>
      <c r="J224" s="37">
        <f>Source!R123</f>
        <v>74.180000000000007</v>
      </c>
      <c r="K224" s="32"/>
    </row>
    <row r="225" spans="1:22" s="33" customFormat="1" ht="15" x14ac:dyDescent="0.2">
      <c r="A225" s="26"/>
      <c r="B225" s="27"/>
      <c r="C225" s="27" t="s">
        <v>264</v>
      </c>
      <c r="D225" s="28"/>
      <c r="E225" s="29"/>
      <c r="F225" s="30">
        <f>Source!AL123</f>
        <v>26527.48</v>
      </c>
      <c r="G225" s="31" t="str">
        <f>Source!DD123</f>
        <v/>
      </c>
      <c r="H225" s="29">
        <f>Source!AW123</f>
        <v>1</v>
      </c>
      <c r="I225" s="29">
        <f>IF(Source!BC123&lt;&gt; 0, Source!BC123, 1)</f>
        <v>1</v>
      </c>
      <c r="J225" s="32">
        <f>Source!P123</f>
        <v>22681</v>
      </c>
      <c r="K225" s="32"/>
    </row>
    <row r="226" spans="1:22" s="33" customFormat="1" ht="15" x14ac:dyDescent="0.2">
      <c r="A226" s="26"/>
      <c r="B226" s="27"/>
      <c r="C226" s="27" t="s">
        <v>257</v>
      </c>
      <c r="D226" s="28" t="s">
        <v>258</v>
      </c>
      <c r="E226" s="29">
        <f>Source!AT123</f>
        <v>70</v>
      </c>
      <c r="F226" s="30"/>
      <c r="G226" s="31"/>
      <c r="H226" s="29"/>
      <c r="I226" s="29"/>
      <c r="J226" s="32">
        <f>SUM(R221:R225)</f>
        <v>9149.51</v>
      </c>
      <c r="K226" s="32"/>
    </row>
    <row r="227" spans="1:22" s="33" customFormat="1" ht="15" x14ac:dyDescent="0.2">
      <c r="A227" s="26"/>
      <c r="B227" s="27"/>
      <c r="C227" s="27" t="s">
        <v>259</v>
      </c>
      <c r="D227" s="28" t="s">
        <v>258</v>
      </c>
      <c r="E227" s="29">
        <f>Source!AU123</f>
        <v>10</v>
      </c>
      <c r="F227" s="30"/>
      <c r="G227" s="31"/>
      <c r="H227" s="29"/>
      <c r="I227" s="29"/>
      <c r="J227" s="32">
        <f>SUM(T221:T226)</f>
        <v>1307.07</v>
      </c>
      <c r="K227" s="32"/>
    </row>
    <row r="228" spans="1:22" s="33" customFormat="1" ht="15" x14ac:dyDescent="0.2">
      <c r="A228" s="26"/>
      <c r="B228" s="27"/>
      <c r="C228" s="27" t="s">
        <v>265</v>
      </c>
      <c r="D228" s="28" t="s">
        <v>258</v>
      </c>
      <c r="E228" s="29">
        <f>108</f>
        <v>108</v>
      </c>
      <c r="F228" s="30"/>
      <c r="G228" s="31"/>
      <c r="H228" s="29"/>
      <c r="I228" s="29"/>
      <c r="J228" s="32">
        <f>SUM(V221:V227)</f>
        <v>80.11</v>
      </c>
      <c r="K228" s="32"/>
    </row>
    <row r="229" spans="1:22" s="33" customFormat="1" ht="15" x14ac:dyDescent="0.2">
      <c r="A229" s="26"/>
      <c r="B229" s="27"/>
      <c r="C229" s="27" t="s">
        <v>260</v>
      </c>
      <c r="D229" s="28" t="s">
        <v>261</v>
      </c>
      <c r="E229" s="29">
        <f>Source!AQ123</f>
        <v>114</v>
      </c>
      <c r="F229" s="30"/>
      <c r="G229" s="31" t="str">
        <f>Source!DI123</f>
        <v/>
      </c>
      <c r="H229" s="29">
        <f>Source!AV123</f>
        <v>1</v>
      </c>
      <c r="I229" s="29"/>
      <c r="J229" s="32"/>
      <c r="K229" s="32">
        <f>Source!U123</f>
        <v>97.47</v>
      </c>
    </row>
    <row r="230" spans="1:22" s="33" customFormat="1" ht="15.75" x14ac:dyDescent="0.25">
      <c r="A230" s="34"/>
      <c r="B230" s="34"/>
      <c r="C230" s="34"/>
      <c r="D230" s="34"/>
      <c r="E230" s="34"/>
      <c r="F230" s="34"/>
      <c r="G230" s="34"/>
      <c r="H230" s="34"/>
      <c r="I230" s="69">
        <f>J222+J223+J225+J226+J227+J228</f>
        <v>46385.93</v>
      </c>
      <c r="J230" s="69"/>
      <c r="K230" s="35">
        <f>IF(Source!I123&lt;&gt;0, ROUND(I230/Source!I123, 2), 0)</f>
        <v>54252.55</v>
      </c>
      <c r="P230" s="36">
        <f>I230</f>
        <v>46385.93</v>
      </c>
    </row>
    <row r="231" spans="1:22" s="33" customFormat="1" ht="45" x14ac:dyDescent="0.2">
      <c r="A231" s="26" t="str">
        <f>Source!E124</f>
        <v>19</v>
      </c>
      <c r="B231" s="27" t="str">
        <f>Source!F124</f>
        <v>5.3-3103-11-1/1</v>
      </c>
      <c r="C231" s="27" t="str">
        <f>Source!G124</f>
        <v>Устройство наливного полиуретанового покрытия спортивных площадок и беговых дорожек толщиной 10 мм</v>
      </c>
      <c r="D231" s="28" t="str">
        <f>Source!H124</f>
        <v>100 м2</v>
      </c>
      <c r="E231" s="29">
        <f>Source!I124</f>
        <v>6.8310000000000004</v>
      </c>
      <c r="F231" s="30"/>
      <c r="G231" s="31"/>
      <c r="H231" s="29"/>
      <c r="I231" s="29"/>
      <c r="J231" s="32"/>
      <c r="K231" s="32"/>
      <c r="Q231" s="33">
        <f>ROUND((Source!BZ124/100)*ROUND((Source!AF124*Source!AV124)*Source!I124, 2), 2)</f>
        <v>19493.22</v>
      </c>
      <c r="R231" s="33">
        <f>Source!X124</f>
        <v>19493.22</v>
      </c>
      <c r="S231" s="33">
        <f>ROUND((Source!CA124/100)*ROUND((Source!AF124*Source!AV124)*Source!I124, 2), 2)</f>
        <v>2784.75</v>
      </c>
      <c r="T231" s="33">
        <f>Source!Y124</f>
        <v>2784.75</v>
      </c>
      <c r="U231" s="33">
        <f>ROUND((175/100)*ROUND((Source!AE124*Source!AV124)*Source!I124, 2), 2)</f>
        <v>24667.13</v>
      </c>
      <c r="V231" s="33">
        <f>ROUND((108/100)*ROUND(Source!CS124*Source!I124, 2), 2)</f>
        <v>15223.14</v>
      </c>
    </row>
    <row r="232" spans="1:22" s="33" customFormat="1" ht="15" x14ac:dyDescent="0.2">
      <c r="A232" s="26"/>
      <c r="B232" s="27"/>
      <c r="C232" s="27" t="s">
        <v>256</v>
      </c>
      <c r="D232" s="28"/>
      <c r="E232" s="29"/>
      <c r="F232" s="30">
        <f>Source!AO124</f>
        <v>4076.63</v>
      </c>
      <c r="G232" s="31" t="str">
        <f>Source!DG124</f>
        <v/>
      </c>
      <c r="H232" s="29">
        <f>Source!AV124</f>
        <v>1</v>
      </c>
      <c r="I232" s="29">
        <f>IF(Source!BA124&lt;&gt; 0, Source!BA124, 1)</f>
        <v>1</v>
      </c>
      <c r="J232" s="32">
        <f>Source!S124</f>
        <v>27847.46</v>
      </c>
      <c r="K232" s="32"/>
    </row>
    <row r="233" spans="1:22" s="33" customFormat="1" ht="15" x14ac:dyDescent="0.2">
      <c r="A233" s="26"/>
      <c r="B233" s="27"/>
      <c r="C233" s="27" t="s">
        <v>262</v>
      </c>
      <c r="D233" s="28"/>
      <c r="E233" s="29"/>
      <c r="F233" s="30">
        <f>Source!AM124</f>
        <v>2617.25</v>
      </c>
      <c r="G233" s="31" t="str">
        <f>Source!DE124</f>
        <v/>
      </c>
      <c r="H233" s="29">
        <f>Source!AV124</f>
        <v>1</v>
      </c>
      <c r="I233" s="29">
        <f>IF(Source!BB124&lt;&gt; 0, Source!BB124, 1)</f>
        <v>1</v>
      </c>
      <c r="J233" s="32">
        <f>Source!Q124</f>
        <v>17878.43</v>
      </c>
      <c r="K233" s="32"/>
    </row>
    <row r="234" spans="1:22" s="33" customFormat="1" ht="15" x14ac:dyDescent="0.2">
      <c r="A234" s="26"/>
      <c r="B234" s="27"/>
      <c r="C234" s="27" t="s">
        <v>263</v>
      </c>
      <c r="D234" s="28"/>
      <c r="E234" s="29"/>
      <c r="F234" s="30">
        <f>Source!AN124</f>
        <v>2063.46</v>
      </c>
      <c r="G234" s="31" t="str">
        <f>Source!DF124</f>
        <v/>
      </c>
      <c r="H234" s="29">
        <f>Source!AV124</f>
        <v>1</v>
      </c>
      <c r="I234" s="29">
        <f>IF(Source!BS124&lt;&gt; 0, Source!BS124, 1)</f>
        <v>1</v>
      </c>
      <c r="J234" s="37">
        <f>Source!R124</f>
        <v>14095.5</v>
      </c>
      <c r="K234" s="32"/>
    </row>
    <row r="235" spans="1:22" s="33" customFormat="1" ht="15" x14ac:dyDescent="0.2">
      <c r="A235" s="26"/>
      <c r="B235" s="27"/>
      <c r="C235" s="27" t="s">
        <v>264</v>
      </c>
      <c r="D235" s="28"/>
      <c r="E235" s="29"/>
      <c r="F235" s="30">
        <f>Source!AL124</f>
        <v>102359.62</v>
      </c>
      <c r="G235" s="31" t="str">
        <f>Source!DD124</f>
        <v/>
      </c>
      <c r="H235" s="29">
        <f>Source!AW124</f>
        <v>1</v>
      </c>
      <c r="I235" s="29">
        <f>IF(Source!BC124&lt;&gt; 0, Source!BC124, 1)</f>
        <v>1</v>
      </c>
      <c r="J235" s="32">
        <f>Source!P124</f>
        <v>699218.56</v>
      </c>
      <c r="K235" s="32"/>
    </row>
    <row r="236" spans="1:22" s="33" customFormat="1" ht="15" x14ac:dyDescent="0.2">
      <c r="A236" s="26" t="str">
        <f>Source!E125</f>
        <v>19,1</v>
      </c>
      <c r="B236" s="27" t="str">
        <f>Source!F125</f>
        <v>21.1-6-101</v>
      </c>
      <c r="C236" s="27" t="str">
        <f>Source!G125</f>
        <v>Пигменты сухие для красок, кислотный желтый</v>
      </c>
      <c r="D236" s="28" t="str">
        <f>Source!H125</f>
        <v>т</v>
      </c>
      <c r="E236" s="29">
        <f>Source!I125</f>
        <v>-0.35862749999999999</v>
      </c>
      <c r="F236" s="30">
        <f>Source!AK125</f>
        <v>748299.67</v>
      </c>
      <c r="G236" s="38" t="s">
        <v>3</v>
      </c>
      <c r="H236" s="29">
        <f>Source!AW125</f>
        <v>1</v>
      </c>
      <c r="I236" s="29">
        <f>IF(Source!BC125&lt;&gt; 0, Source!BC125, 1)</f>
        <v>1</v>
      </c>
      <c r="J236" s="32">
        <f>Source!O125</f>
        <v>-268360.84000000003</v>
      </c>
      <c r="K236" s="32"/>
      <c r="Q236" s="33">
        <f>ROUND((Source!BZ125/100)*ROUND((Source!AF125*Source!AV125)*Source!I125, 2), 2)</f>
        <v>0</v>
      </c>
      <c r="R236" s="33">
        <f>Source!X125</f>
        <v>0</v>
      </c>
      <c r="S236" s="33">
        <f>ROUND((Source!CA125/100)*ROUND((Source!AF125*Source!AV125)*Source!I125, 2), 2)</f>
        <v>0</v>
      </c>
      <c r="T236" s="33">
        <f>Source!Y125</f>
        <v>0</v>
      </c>
      <c r="U236" s="33">
        <f>ROUND((175/100)*ROUND((Source!AE125*Source!AV125)*Source!I125, 2), 2)</f>
        <v>0</v>
      </c>
      <c r="V236" s="33">
        <f>ROUND((108/100)*ROUND(Source!CS125*Source!I125, 2), 2)</f>
        <v>0</v>
      </c>
    </row>
    <row r="237" spans="1:22" s="33" customFormat="1" ht="15" x14ac:dyDescent="0.2">
      <c r="A237" s="26"/>
      <c r="B237" s="27"/>
      <c r="C237" s="27" t="s">
        <v>257</v>
      </c>
      <c r="D237" s="28" t="s">
        <v>258</v>
      </c>
      <c r="E237" s="29">
        <f>Source!AT124</f>
        <v>70</v>
      </c>
      <c r="F237" s="30"/>
      <c r="G237" s="31"/>
      <c r="H237" s="29"/>
      <c r="I237" s="29"/>
      <c r="J237" s="32">
        <f>SUM(R231:R236)</f>
        <v>19493.22</v>
      </c>
      <c r="K237" s="32"/>
    </row>
    <row r="238" spans="1:22" s="33" customFormat="1" ht="15" x14ac:dyDescent="0.2">
      <c r="A238" s="26"/>
      <c r="B238" s="27"/>
      <c r="C238" s="27" t="s">
        <v>259</v>
      </c>
      <c r="D238" s="28" t="s">
        <v>258</v>
      </c>
      <c r="E238" s="29">
        <f>Source!AU124</f>
        <v>10</v>
      </c>
      <c r="F238" s="30"/>
      <c r="G238" s="31"/>
      <c r="H238" s="29"/>
      <c r="I238" s="29"/>
      <c r="J238" s="32">
        <f>SUM(T231:T237)</f>
        <v>2784.75</v>
      </c>
      <c r="K238" s="32"/>
    </row>
    <row r="239" spans="1:22" s="33" customFormat="1" ht="15" x14ac:dyDescent="0.2">
      <c r="A239" s="26"/>
      <c r="B239" s="27"/>
      <c r="C239" s="27" t="s">
        <v>265</v>
      </c>
      <c r="D239" s="28" t="s">
        <v>258</v>
      </c>
      <c r="E239" s="29">
        <f>108</f>
        <v>108</v>
      </c>
      <c r="F239" s="30"/>
      <c r="G239" s="31"/>
      <c r="H239" s="29"/>
      <c r="I239" s="29"/>
      <c r="J239" s="32">
        <f>SUM(V231:V238)</f>
        <v>15223.14</v>
      </c>
      <c r="K239" s="32"/>
    </row>
    <row r="240" spans="1:22" s="33" customFormat="1" ht="15" x14ac:dyDescent="0.2">
      <c r="A240" s="26"/>
      <c r="B240" s="27"/>
      <c r="C240" s="27" t="s">
        <v>260</v>
      </c>
      <c r="D240" s="28" t="s">
        <v>261</v>
      </c>
      <c r="E240" s="29">
        <f>Source!AQ124</f>
        <v>18.440000000000001</v>
      </c>
      <c r="F240" s="30"/>
      <c r="G240" s="31" t="str">
        <f>Source!DI124</f>
        <v/>
      </c>
      <c r="H240" s="29">
        <f>Source!AV124</f>
        <v>1</v>
      </c>
      <c r="I240" s="29"/>
      <c r="J240" s="32"/>
      <c r="K240" s="32">
        <f>Source!U124</f>
        <v>125.96364000000001</v>
      </c>
    </row>
    <row r="241" spans="1:22" s="33" customFormat="1" ht="15.75" x14ac:dyDescent="0.25">
      <c r="A241" s="34"/>
      <c r="B241" s="34"/>
      <c r="C241" s="34"/>
      <c r="D241" s="34"/>
      <c r="E241" s="34"/>
      <c r="F241" s="34"/>
      <c r="G241" s="34"/>
      <c r="H241" s="34"/>
      <c r="I241" s="69">
        <f>J232+J233+J235+J237+J238+J239+SUM(J236:J236)</f>
        <v>514084.72000000003</v>
      </c>
      <c r="J241" s="69"/>
      <c r="K241" s="35">
        <f>IF(Source!I124&lt;&gt;0, ROUND(I241/Source!I124, 2), 0)</f>
        <v>75257.61</v>
      </c>
      <c r="P241" s="36">
        <f>I241</f>
        <v>514084.72000000003</v>
      </c>
    </row>
    <row r="242" spans="1:22" s="33" customFormat="1" ht="60" x14ac:dyDescent="0.2">
      <c r="A242" s="26" t="str">
        <f>Source!E126</f>
        <v>20</v>
      </c>
      <c r="B242" s="27" t="str">
        <f>Source!F126</f>
        <v>5.3-3103-11-2/1</v>
      </c>
      <c r="C242" s="27" t="str">
        <f>Source!G126</f>
        <v>Устройство наливного полиуретанового покрытия спортивных площадок и беговых дорожек, добавляется на 2 мм толщины покрытия (цвет "Фуксия" или аналог сиреневый)</v>
      </c>
      <c r="D242" s="28" t="str">
        <f>Source!H126</f>
        <v>100 м2</v>
      </c>
      <c r="E242" s="29">
        <f>Source!I126</f>
        <v>6.8310000000000004</v>
      </c>
      <c r="F242" s="30"/>
      <c r="G242" s="31"/>
      <c r="H242" s="29"/>
      <c r="I242" s="29"/>
      <c r="J242" s="32"/>
      <c r="K242" s="32"/>
      <c r="Q242" s="33">
        <f>ROUND((Source!BZ126/100)*ROUND((Source!AF126*Source!AV126)*Source!I126, 2), 2)</f>
        <v>14408.22</v>
      </c>
      <c r="R242" s="33">
        <f>Source!X126</f>
        <v>14408.22</v>
      </c>
      <c r="S242" s="33">
        <f>ROUND((Source!CA126/100)*ROUND((Source!AF126*Source!AV126)*Source!I126, 2), 2)</f>
        <v>2058.3200000000002</v>
      </c>
      <c r="T242" s="33">
        <f>Source!Y126</f>
        <v>2058.3200000000002</v>
      </c>
      <c r="U242" s="33">
        <f>ROUND((175/100)*ROUND((Source!AE126*Source!AV126)*Source!I126, 2), 2)</f>
        <v>23288.07</v>
      </c>
      <c r="V242" s="33">
        <f>ROUND((108/100)*ROUND(Source!CS126*Source!I126, 2), 2)</f>
        <v>14372.07</v>
      </c>
    </row>
    <row r="243" spans="1:22" s="33" customFormat="1" ht="15" x14ac:dyDescent="0.2">
      <c r="A243" s="26"/>
      <c r="B243" s="27"/>
      <c r="C243" s="27" t="s">
        <v>256</v>
      </c>
      <c r="D243" s="28"/>
      <c r="E243" s="29"/>
      <c r="F243" s="30">
        <f>Source!AO126</f>
        <v>602.64</v>
      </c>
      <c r="G243" s="31" t="str">
        <f>Source!DG126</f>
        <v>)*5</v>
      </c>
      <c r="H243" s="29">
        <f>Source!AV126</f>
        <v>1</v>
      </c>
      <c r="I243" s="29">
        <f>IF(Source!BA126&lt;&gt; 0, Source!BA126, 1)</f>
        <v>1</v>
      </c>
      <c r="J243" s="32">
        <f>Source!S126</f>
        <v>20583.169999999998</v>
      </c>
      <c r="K243" s="32"/>
    </row>
    <row r="244" spans="1:22" s="33" customFormat="1" ht="15" x14ac:dyDescent="0.2">
      <c r="A244" s="26"/>
      <c r="B244" s="27"/>
      <c r="C244" s="27" t="s">
        <v>262</v>
      </c>
      <c r="D244" s="28"/>
      <c r="E244" s="29"/>
      <c r="F244" s="30">
        <f>Source!AM126</f>
        <v>492.86</v>
      </c>
      <c r="G244" s="31" t="str">
        <f>Source!DE126</f>
        <v>)*5</v>
      </c>
      <c r="H244" s="29">
        <f>Source!AV126</f>
        <v>1</v>
      </c>
      <c r="I244" s="29">
        <f>IF(Source!BB126&lt;&gt; 0, Source!BB126, 1)</f>
        <v>1</v>
      </c>
      <c r="J244" s="32">
        <f>Source!Q126</f>
        <v>16833.63</v>
      </c>
      <c r="K244" s="32"/>
    </row>
    <row r="245" spans="1:22" s="33" customFormat="1" ht="15" x14ac:dyDescent="0.2">
      <c r="A245" s="26"/>
      <c r="B245" s="27"/>
      <c r="C245" s="27" t="s">
        <v>263</v>
      </c>
      <c r="D245" s="28"/>
      <c r="E245" s="29"/>
      <c r="F245" s="30">
        <f>Source!AN126</f>
        <v>389.62</v>
      </c>
      <c r="G245" s="31" t="str">
        <f>Source!DF126</f>
        <v>)*5</v>
      </c>
      <c r="H245" s="29">
        <f>Source!AV126</f>
        <v>1</v>
      </c>
      <c r="I245" s="29">
        <f>IF(Source!BS126&lt;&gt; 0, Source!BS126, 1)</f>
        <v>1</v>
      </c>
      <c r="J245" s="37">
        <f>Source!R126</f>
        <v>13307.47</v>
      </c>
      <c r="K245" s="32"/>
    </row>
    <row r="246" spans="1:22" s="33" customFormat="1" ht="15" x14ac:dyDescent="0.2">
      <c r="A246" s="26"/>
      <c r="B246" s="27"/>
      <c r="C246" s="27" t="s">
        <v>264</v>
      </c>
      <c r="D246" s="28"/>
      <c r="E246" s="29"/>
      <c r="F246" s="30">
        <f>Source!AL126</f>
        <v>18967.62</v>
      </c>
      <c r="G246" s="31" t="str">
        <f>Source!DD126</f>
        <v>)*5</v>
      </c>
      <c r="H246" s="29">
        <f>Source!AW126</f>
        <v>1</v>
      </c>
      <c r="I246" s="29">
        <f>IF(Source!BC126&lt;&gt; 0, Source!BC126, 1)</f>
        <v>1</v>
      </c>
      <c r="J246" s="32">
        <f>Source!P126</f>
        <v>647839.06000000006</v>
      </c>
      <c r="K246" s="32"/>
    </row>
    <row r="247" spans="1:22" s="33" customFormat="1" ht="30" x14ac:dyDescent="0.2">
      <c r="A247" s="26" t="str">
        <f>Source!E127</f>
        <v>20,1</v>
      </c>
      <c r="B247" s="27" t="str">
        <f>Source!F127</f>
        <v>21.1-25-769</v>
      </c>
      <c r="C247" s="27" t="str">
        <f>Source!G127</f>
        <v>Крошка резиновая гранулированная, фракция 2-3 мм</v>
      </c>
      <c r="D247" s="28" t="str">
        <f>Source!H127</f>
        <v>кг</v>
      </c>
      <c r="E247" s="29">
        <f>Source!I127</f>
        <v>-5020.7849999999999</v>
      </c>
      <c r="F247" s="30">
        <f>Source!AK127</f>
        <v>17.77</v>
      </c>
      <c r="G247" s="38" t="s">
        <v>266</v>
      </c>
      <c r="H247" s="29">
        <f>Source!AW127</f>
        <v>1</v>
      </c>
      <c r="I247" s="29">
        <f>IF(Source!BC127&lt;&gt; 0, Source!BC127, 1)</f>
        <v>1</v>
      </c>
      <c r="J247" s="32">
        <f>Source!O127</f>
        <v>-89219.35</v>
      </c>
      <c r="K247" s="32"/>
      <c r="Q247" s="33">
        <f>ROUND((Source!BZ127/100)*ROUND((Source!AF127*Source!AV127)*Source!I127, 2), 2)</f>
        <v>0</v>
      </c>
      <c r="R247" s="33">
        <f>Source!X127</f>
        <v>0</v>
      </c>
      <c r="S247" s="33">
        <f>ROUND((Source!CA127/100)*ROUND((Source!AF127*Source!AV127)*Source!I127, 2), 2)</f>
        <v>0</v>
      </c>
      <c r="T247" s="33">
        <f>Source!Y127</f>
        <v>0</v>
      </c>
      <c r="U247" s="33">
        <f>ROUND((175/100)*ROUND((Source!AE127*Source!AV127)*Source!I127, 2), 2)</f>
        <v>0</v>
      </c>
      <c r="V247" s="33">
        <f>ROUND((108/100)*ROUND(Source!CS127*Source!I127, 2), 2)</f>
        <v>0</v>
      </c>
    </row>
    <row r="248" spans="1:22" s="33" customFormat="1" ht="45" x14ac:dyDescent="0.2">
      <c r="A248" s="26" t="str">
        <f>Source!E128</f>
        <v>20,2</v>
      </c>
      <c r="B248" s="27" t="str">
        <f>Source!F128</f>
        <v>21.1-25-770</v>
      </c>
      <c r="C248" s="27" t="str">
        <f>Source!G128</f>
        <v>Крошка каучуковая гранулированная, окрашенная в массе, фракция 2-3 мм, цвет черный</v>
      </c>
      <c r="D248" s="28" t="str">
        <f>Source!H128</f>
        <v>кг</v>
      </c>
      <c r="E248" s="29">
        <f>Source!I128</f>
        <v>5020.7849999999999</v>
      </c>
      <c r="F248" s="30">
        <f>Source!AK128</f>
        <v>94.72</v>
      </c>
      <c r="G248" s="38" t="s">
        <v>3</v>
      </c>
      <c r="H248" s="29">
        <f>Source!AW128</f>
        <v>1</v>
      </c>
      <c r="I248" s="29">
        <f>IF(Source!BC128&lt;&gt; 0, Source!BC128, 1)</f>
        <v>1</v>
      </c>
      <c r="J248" s="32">
        <f>Source!O128</f>
        <v>475568.76</v>
      </c>
      <c r="K248" s="32"/>
      <c r="Q248" s="33">
        <f>ROUND((Source!BZ128/100)*ROUND((Source!AF128*Source!AV128)*Source!I128, 2), 2)</f>
        <v>0</v>
      </c>
      <c r="R248" s="33">
        <f>Source!X128</f>
        <v>0</v>
      </c>
      <c r="S248" s="33">
        <f>ROUND((Source!CA128/100)*ROUND((Source!AF128*Source!AV128)*Source!I128, 2), 2)</f>
        <v>0</v>
      </c>
      <c r="T248" s="33">
        <f>Source!Y128</f>
        <v>0</v>
      </c>
      <c r="U248" s="33">
        <f>ROUND((175/100)*ROUND((Source!AE128*Source!AV128)*Source!I128, 2), 2)</f>
        <v>0</v>
      </c>
      <c r="V248" s="33">
        <f>ROUND((108/100)*ROUND(Source!CS128*Source!I128, 2), 2)</f>
        <v>0</v>
      </c>
    </row>
    <row r="249" spans="1:22" s="33" customFormat="1" ht="15" x14ac:dyDescent="0.2">
      <c r="A249" s="26"/>
      <c r="B249" s="27"/>
      <c r="C249" s="27" t="s">
        <v>257</v>
      </c>
      <c r="D249" s="28" t="s">
        <v>258</v>
      </c>
      <c r="E249" s="29">
        <f>Source!AT126</f>
        <v>70</v>
      </c>
      <c r="F249" s="30"/>
      <c r="G249" s="31"/>
      <c r="H249" s="29"/>
      <c r="I249" s="29"/>
      <c r="J249" s="32">
        <f>SUM(R242:R248)</f>
        <v>14408.22</v>
      </c>
      <c r="K249" s="32"/>
    </row>
    <row r="250" spans="1:22" s="33" customFormat="1" ht="15" x14ac:dyDescent="0.2">
      <c r="A250" s="26"/>
      <c r="B250" s="27"/>
      <c r="C250" s="27" t="s">
        <v>259</v>
      </c>
      <c r="D250" s="28" t="s">
        <v>258</v>
      </c>
      <c r="E250" s="29">
        <f>Source!AU126</f>
        <v>10</v>
      </c>
      <c r="F250" s="30"/>
      <c r="G250" s="31"/>
      <c r="H250" s="29"/>
      <c r="I250" s="29"/>
      <c r="J250" s="32">
        <f>SUM(T242:T249)</f>
        <v>2058.3200000000002</v>
      </c>
      <c r="K250" s="32"/>
    </row>
    <row r="251" spans="1:22" s="33" customFormat="1" ht="15" x14ac:dyDescent="0.2">
      <c r="A251" s="26"/>
      <c r="B251" s="27"/>
      <c r="C251" s="27" t="s">
        <v>265</v>
      </c>
      <c r="D251" s="28" t="s">
        <v>258</v>
      </c>
      <c r="E251" s="29">
        <f>108</f>
        <v>108</v>
      </c>
      <c r="F251" s="30"/>
      <c r="G251" s="31"/>
      <c r="H251" s="29"/>
      <c r="I251" s="29"/>
      <c r="J251" s="32">
        <f>SUM(V242:V250)</f>
        <v>14372.07</v>
      </c>
      <c r="K251" s="32"/>
    </row>
    <row r="252" spans="1:22" s="33" customFormat="1" ht="15" x14ac:dyDescent="0.2">
      <c r="A252" s="26"/>
      <c r="B252" s="27"/>
      <c r="C252" s="27" t="s">
        <v>260</v>
      </c>
      <c r="D252" s="28" t="s">
        <v>261</v>
      </c>
      <c r="E252" s="29">
        <f>Source!AQ126</f>
        <v>2.65</v>
      </c>
      <c r="F252" s="30"/>
      <c r="G252" s="31" t="str">
        <f>Source!DI126</f>
        <v>)*5</v>
      </c>
      <c r="H252" s="29">
        <f>Source!AV126</f>
        <v>1</v>
      </c>
      <c r="I252" s="29"/>
      <c r="J252" s="32"/>
      <c r="K252" s="32">
        <f>Source!U126</f>
        <v>90.510750000000002</v>
      </c>
    </row>
    <row r="253" spans="1:22" s="33" customFormat="1" ht="15.75" x14ac:dyDescent="0.25">
      <c r="A253" s="34"/>
      <c r="B253" s="34"/>
      <c r="C253" s="34"/>
      <c r="D253" s="34"/>
      <c r="E253" s="34"/>
      <c r="F253" s="34"/>
      <c r="G253" s="34"/>
      <c r="H253" s="34"/>
      <c r="I253" s="69">
        <f>J243+J244+J246+J249+J250+J251+SUM(J247:J248)</f>
        <v>1102443.8799999999</v>
      </c>
      <c r="J253" s="69"/>
      <c r="K253" s="35">
        <f>IF(Source!I126&lt;&gt;0, ROUND(I253/Source!I126, 2), 0)</f>
        <v>161388.35999999999</v>
      </c>
      <c r="P253" s="36">
        <f>I253</f>
        <v>1102443.8799999999</v>
      </c>
    </row>
    <row r="254" spans="1:22" s="33" customFormat="1" ht="30" x14ac:dyDescent="0.2">
      <c r="A254" s="26" t="str">
        <f>Source!E129</f>
        <v>21</v>
      </c>
      <c r="B254" s="27" t="str">
        <f>Source!F129</f>
        <v>1.49-9101-7-1/1</v>
      </c>
      <c r="C254" s="27" t="str">
        <f>Source!G129</f>
        <v>Механизированная погрузка строительного мусора в автомобили-самосвалы</v>
      </c>
      <c r="D254" s="28" t="str">
        <f>Source!H129</f>
        <v>т</v>
      </c>
      <c r="E254" s="41">
        <f>Source!I129</f>
        <v>35.740637100000001</v>
      </c>
      <c r="F254" s="30"/>
      <c r="G254" s="31"/>
      <c r="H254" s="29"/>
      <c r="I254" s="29"/>
      <c r="J254" s="32"/>
      <c r="K254" s="32"/>
      <c r="Q254" s="33">
        <f>ROUND((Source!BZ129/100)*ROUND((Source!AF129*Source!AV129)*Source!I129, 2), 2)</f>
        <v>0</v>
      </c>
      <c r="R254" s="33">
        <f>Source!X129</f>
        <v>0</v>
      </c>
      <c r="S254" s="33">
        <f>ROUND((Source!CA129/100)*ROUND((Source!AF129*Source!AV129)*Source!I129, 2), 2)</f>
        <v>0</v>
      </c>
      <c r="T254" s="33">
        <f>Source!Y129</f>
        <v>0</v>
      </c>
      <c r="U254" s="33">
        <f>ROUND((175/100)*ROUND((Source!AE129*Source!AV129)*Source!I129, 2), 2)</f>
        <v>1616.2</v>
      </c>
      <c r="V254" s="33">
        <f>ROUND((108/100)*ROUND(Source!CS129*Source!I129, 2), 2)</f>
        <v>997.42</v>
      </c>
    </row>
    <row r="255" spans="1:22" s="33" customFormat="1" ht="15" x14ac:dyDescent="0.2">
      <c r="A255" s="26"/>
      <c r="B255" s="27"/>
      <c r="C255" s="27" t="s">
        <v>262</v>
      </c>
      <c r="D255" s="28"/>
      <c r="E255" s="29"/>
      <c r="F255" s="30">
        <f>Source!AM129</f>
        <v>80.25</v>
      </c>
      <c r="G255" s="31" t="str">
        <f>Source!DE129</f>
        <v/>
      </c>
      <c r="H255" s="29">
        <f>Source!AV129</f>
        <v>1</v>
      </c>
      <c r="I255" s="29">
        <f>IF(Source!BB129&lt;&gt; 0, Source!BB129, 1)</f>
        <v>1</v>
      </c>
      <c r="J255" s="32">
        <f>Source!Q129</f>
        <v>2868.19</v>
      </c>
      <c r="K255" s="32"/>
    </row>
    <row r="256" spans="1:22" s="33" customFormat="1" ht="15" x14ac:dyDescent="0.2">
      <c r="A256" s="26"/>
      <c r="B256" s="27"/>
      <c r="C256" s="27" t="s">
        <v>263</v>
      </c>
      <c r="D256" s="28"/>
      <c r="E256" s="29"/>
      <c r="F256" s="30">
        <f>Source!AN129</f>
        <v>25.84</v>
      </c>
      <c r="G256" s="31" t="str">
        <f>Source!DF129</f>
        <v/>
      </c>
      <c r="H256" s="29">
        <f>Source!AV129</f>
        <v>1</v>
      </c>
      <c r="I256" s="29">
        <f>IF(Source!BS129&lt;&gt; 0, Source!BS129, 1)</f>
        <v>1</v>
      </c>
      <c r="J256" s="37">
        <f>Source!R129</f>
        <v>923.54</v>
      </c>
      <c r="K256" s="32"/>
    </row>
    <row r="257" spans="1:22" s="33" customFormat="1" ht="15" x14ac:dyDescent="0.2">
      <c r="A257" s="26"/>
      <c r="B257" s="27"/>
      <c r="C257" s="27" t="s">
        <v>265</v>
      </c>
      <c r="D257" s="28" t="s">
        <v>258</v>
      </c>
      <c r="E257" s="29">
        <f>108</f>
        <v>108</v>
      </c>
      <c r="F257" s="30"/>
      <c r="G257" s="31"/>
      <c r="H257" s="29"/>
      <c r="I257" s="29"/>
      <c r="J257" s="32">
        <f>SUM(V254:V256)</f>
        <v>997.42</v>
      </c>
      <c r="K257" s="32"/>
    </row>
    <row r="258" spans="1:22" s="33" customFormat="1" ht="15.75" x14ac:dyDescent="0.25">
      <c r="A258" s="34"/>
      <c r="B258" s="34"/>
      <c r="C258" s="34"/>
      <c r="D258" s="34"/>
      <c r="E258" s="34"/>
      <c r="F258" s="34"/>
      <c r="G258" s="34"/>
      <c r="H258" s="34"/>
      <c r="I258" s="69">
        <f>J255+J257</f>
        <v>3865.61</v>
      </c>
      <c r="J258" s="69"/>
      <c r="K258" s="35">
        <f>IF(Source!I129&lt;&gt;0, ROUND(I258/Source!I129, 2), 0)</f>
        <v>108.16</v>
      </c>
      <c r="P258" s="36">
        <f>I258</f>
        <v>3865.61</v>
      </c>
    </row>
    <row r="259" spans="1:22" s="33" customFormat="1" ht="30" x14ac:dyDescent="0.2">
      <c r="A259" s="26" t="str">
        <f>Source!E130</f>
        <v>22</v>
      </c>
      <c r="B259" s="27" t="str">
        <f>Source!F130</f>
        <v>1.50-3305-4-1/1</v>
      </c>
      <c r="C259" s="27" t="str">
        <f>Source!G130</f>
        <v>Погрузка и выгрузка вручную строительного мусора на транспортные средства</v>
      </c>
      <c r="D259" s="28" t="str">
        <f>Source!H130</f>
        <v>т</v>
      </c>
      <c r="E259" s="41">
        <f>Source!I130</f>
        <v>3.9711818999999999</v>
      </c>
      <c r="F259" s="30"/>
      <c r="G259" s="31"/>
      <c r="H259" s="29"/>
      <c r="I259" s="29"/>
      <c r="J259" s="32"/>
      <c r="K259" s="32"/>
      <c r="Q259" s="33">
        <f>ROUND((Source!BZ130/100)*ROUND((Source!AF130*Source!AV130)*Source!I130, 2), 2)</f>
        <v>347.2</v>
      </c>
      <c r="R259" s="33">
        <f>Source!X130</f>
        <v>347.2</v>
      </c>
      <c r="S259" s="33">
        <f>ROUND((Source!CA130/100)*ROUND((Source!AF130*Source!AV130)*Source!I130, 2), 2)</f>
        <v>49.6</v>
      </c>
      <c r="T259" s="33">
        <f>Source!Y130</f>
        <v>49.6</v>
      </c>
      <c r="U259" s="33">
        <f>ROUND((175/100)*ROUND((Source!AE130*Source!AV130)*Source!I130, 2), 2)</f>
        <v>0</v>
      </c>
      <c r="V259" s="33">
        <f>ROUND((108/100)*ROUND(Source!CS130*Source!I130, 2), 2)</f>
        <v>0</v>
      </c>
    </row>
    <row r="260" spans="1:22" s="33" customFormat="1" ht="15" x14ac:dyDescent="0.2">
      <c r="A260" s="26"/>
      <c r="B260" s="27"/>
      <c r="C260" s="27" t="s">
        <v>256</v>
      </c>
      <c r="D260" s="28"/>
      <c r="E260" s="29"/>
      <c r="F260" s="30">
        <f>Source!AO130</f>
        <v>124.9</v>
      </c>
      <c r="G260" s="31" t="str">
        <f>Source!DG130</f>
        <v/>
      </c>
      <c r="H260" s="29">
        <f>Source!AV130</f>
        <v>1</v>
      </c>
      <c r="I260" s="29">
        <f>IF(Source!BA130&lt;&gt; 0, Source!BA130, 1)</f>
        <v>1</v>
      </c>
      <c r="J260" s="32">
        <f>Source!S130</f>
        <v>496</v>
      </c>
      <c r="K260" s="32"/>
    </row>
    <row r="261" spans="1:22" s="33" customFormat="1" ht="15" x14ac:dyDescent="0.2">
      <c r="A261" s="26"/>
      <c r="B261" s="27"/>
      <c r="C261" s="27" t="s">
        <v>257</v>
      </c>
      <c r="D261" s="28" t="s">
        <v>258</v>
      </c>
      <c r="E261" s="29">
        <f>Source!AT130</f>
        <v>70</v>
      </c>
      <c r="F261" s="30"/>
      <c r="G261" s="31"/>
      <c r="H261" s="29"/>
      <c r="I261" s="29"/>
      <c r="J261" s="32">
        <f>SUM(R259:R260)</f>
        <v>347.2</v>
      </c>
      <c r="K261" s="32"/>
    </row>
    <row r="262" spans="1:22" s="33" customFormat="1" ht="15" x14ac:dyDescent="0.2">
      <c r="A262" s="26"/>
      <c r="B262" s="27"/>
      <c r="C262" s="27" t="s">
        <v>259</v>
      </c>
      <c r="D262" s="28" t="s">
        <v>258</v>
      </c>
      <c r="E262" s="29">
        <f>Source!AU130</f>
        <v>10</v>
      </c>
      <c r="F262" s="30"/>
      <c r="G262" s="31"/>
      <c r="H262" s="29"/>
      <c r="I262" s="29"/>
      <c r="J262" s="32">
        <f>SUM(T259:T261)</f>
        <v>49.6</v>
      </c>
      <c r="K262" s="32"/>
    </row>
    <row r="263" spans="1:22" s="33" customFormat="1" ht="15" x14ac:dyDescent="0.2">
      <c r="A263" s="26"/>
      <c r="B263" s="27"/>
      <c r="C263" s="27" t="s">
        <v>260</v>
      </c>
      <c r="D263" s="28" t="s">
        <v>261</v>
      </c>
      <c r="E263" s="29">
        <f>Source!AQ130</f>
        <v>1.02</v>
      </c>
      <c r="F263" s="30"/>
      <c r="G263" s="31" t="str">
        <f>Source!DI130</f>
        <v/>
      </c>
      <c r="H263" s="29">
        <f>Source!AV130</f>
        <v>1</v>
      </c>
      <c r="I263" s="29"/>
      <c r="J263" s="32"/>
      <c r="K263" s="32">
        <f>Source!U130</f>
        <v>4.0506055380000001</v>
      </c>
    </row>
    <row r="264" spans="1:22" s="33" customFormat="1" ht="15.75" x14ac:dyDescent="0.25">
      <c r="A264" s="34"/>
      <c r="B264" s="34"/>
      <c r="C264" s="34"/>
      <c r="D264" s="34"/>
      <c r="E264" s="34"/>
      <c r="F264" s="34"/>
      <c r="G264" s="34"/>
      <c r="H264" s="34"/>
      <c r="I264" s="69">
        <f>J260+J261+J262</f>
        <v>892.80000000000007</v>
      </c>
      <c r="J264" s="69"/>
      <c r="K264" s="35">
        <f>IF(Source!I130&lt;&gt;0, ROUND(I264/Source!I130, 2), 0)</f>
        <v>224.82</v>
      </c>
      <c r="P264" s="36">
        <f>I264</f>
        <v>892.80000000000007</v>
      </c>
    </row>
    <row r="265" spans="1:22" s="33" customFormat="1" ht="45" x14ac:dyDescent="0.2">
      <c r="A265" s="26" t="str">
        <f>Source!E131</f>
        <v>23</v>
      </c>
      <c r="B265" s="27" t="str">
        <f>Source!F131</f>
        <v>1.49-9201-1-1/1</v>
      </c>
      <c r="C265" s="27" t="str">
        <f>Source!G131</f>
        <v>Перевозка строительного мусора автосамосвалами грузоподъемностью до 10 т на расстояние 1 км - при погрузке вручную</v>
      </c>
      <c r="D265" s="28" t="str">
        <f>Source!H131</f>
        <v>т</v>
      </c>
      <c r="E265" s="41">
        <f>Source!I131</f>
        <v>3.9711818999999999</v>
      </c>
      <c r="F265" s="30"/>
      <c r="G265" s="31"/>
      <c r="H265" s="29"/>
      <c r="I265" s="29"/>
      <c r="J265" s="32"/>
      <c r="K265" s="32"/>
      <c r="Q265" s="33">
        <f>ROUND((Source!BZ131/100)*ROUND((Source!AF131*Source!AV131)*Source!I131, 2), 2)</f>
        <v>0</v>
      </c>
      <c r="R265" s="33">
        <f>Source!X131</f>
        <v>0</v>
      </c>
      <c r="S265" s="33">
        <f>ROUND((Source!CA131/100)*ROUND((Source!AF131*Source!AV131)*Source!I131, 2), 2)</f>
        <v>0</v>
      </c>
      <c r="T265" s="33">
        <f>Source!Y131</f>
        <v>0</v>
      </c>
      <c r="U265" s="33">
        <f>ROUND((175/100)*ROUND((Source!AE131*Source!AV131)*Source!I131, 2), 2)</f>
        <v>626.71</v>
      </c>
      <c r="V265" s="33">
        <f>ROUND((108/100)*ROUND(Source!CS131*Source!I131, 2), 2)</f>
        <v>386.77</v>
      </c>
    </row>
    <row r="266" spans="1:22" s="33" customFormat="1" ht="15" x14ac:dyDescent="0.2">
      <c r="A266" s="26"/>
      <c r="B266" s="27"/>
      <c r="C266" s="27" t="s">
        <v>262</v>
      </c>
      <c r="D266" s="28"/>
      <c r="E266" s="29"/>
      <c r="F266" s="30">
        <f>Source!AM131</f>
        <v>165.91</v>
      </c>
      <c r="G266" s="31" t="str">
        <f>Source!DE131</f>
        <v/>
      </c>
      <c r="H266" s="29">
        <f>Source!AV131</f>
        <v>1</v>
      </c>
      <c r="I266" s="29">
        <f>IF(Source!BB131&lt;&gt; 0, Source!BB131, 1)</f>
        <v>1</v>
      </c>
      <c r="J266" s="32">
        <f>Source!Q131</f>
        <v>658.86</v>
      </c>
      <c r="K266" s="32"/>
    </row>
    <row r="267" spans="1:22" s="33" customFormat="1" ht="15" x14ac:dyDescent="0.2">
      <c r="A267" s="26"/>
      <c r="B267" s="27"/>
      <c r="C267" s="27" t="s">
        <v>263</v>
      </c>
      <c r="D267" s="28"/>
      <c r="E267" s="29"/>
      <c r="F267" s="30">
        <f>Source!AN131</f>
        <v>90.18</v>
      </c>
      <c r="G267" s="31" t="str">
        <f>Source!DF131</f>
        <v/>
      </c>
      <c r="H267" s="29">
        <f>Source!AV131</f>
        <v>1</v>
      </c>
      <c r="I267" s="29">
        <f>IF(Source!BS131&lt;&gt; 0, Source!BS131, 1)</f>
        <v>1</v>
      </c>
      <c r="J267" s="37">
        <f>Source!R131</f>
        <v>358.12</v>
      </c>
      <c r="K267" s="32"/>
    </row>
    <row r="268" spans="1:22" s="33" customFormat="1" ht="15.75" x14ac:dyDescent="0.25">
      <c r="A268" s="34"/>
      <c r="B268" s="34"/>
      <c r="C268" s="34"/>
      <c r="D268" s="34"/>
      <c r="E268" s="34"/>
      <c r="F268" s="34"/>
      <c r="G268" s="34"/>
      <c r="H268" s="34"/>
      <c r="I268" s="69">
        <f>J266</f>
        <v>658.86</v>
      </c>
      <c r="J268" s="69"/>
      <c r="K268" s="35">
        <f>IF(Source!I131&lt;&gt;0, ROUND(I268/Source!I131, 2), 0)</f>
        <v>165.91</v>
      </c>
      <c r="P268" s="36">
        <f>I268</f>
        <v>658.86</v>
      </c>
    </row>
    <row r="269" spans="1:22" s="33" customFormat="1" ht="60" x14ac:dyDescent="0.2">
      <c r="A269" s="26" t="str">
        <f>Source!E132</f>
        <v>24</v>
      </c>
      <c r="B269" s="27" t="str">
        <f>Source!F132</f>
        <v>1.49-9201-1-2/1</v>
      </c>
      <c r="C269" s="27" t="str">
        <f>Source!G132</f>
        <v>Перевозка строительного мусора автосамосвалами грузоподъемностью до 10 т на расстояние 1 км - при механизированной погрузке</v>
      </c>
      <c r="D269" s="28" t="str">
        <f>Source!H132</f>
        <v>т</v>
      </c>
      <c r="E269" s="41">
        <f>Source!I132</f>
        <v>35.740637100000001</v>
      </c>
      <c r="F269" s="30"/>
      <c r="G269" s="31"/>
      <c r="H269" s="29"/>
      <c r="I269" s="29"/>
      <c r="J269" s="32"/>
      <c r="K269" s="32"/>
      <c r="Q269" s="33">
        <f>ROUND((Source!BZ132/100)*ROUND((Source!AF132*Source!AV132)*Source!I132, 2), 2)</f>
        <v>0</v>
      </c>
      <c r="R269" s="33">
        <f>Source!X132</f>
        <v>0</v>
      </c>
      <c r="S269" s="33">
        <f>ROUND((Source!CA132/100)*ROUND((Source!AF132*Source!AV132)*Source!I132, 2), 2)</f>
        <v>0</v>
      </c>
      <c r="T269" s="33">
        <f>Source!Y132</f>
        <v>0</v>
      </c>
      <c r="U269" s="33">
        <f>ROUND((175/100)*ROUND((Source!AE132*Source!AV132)*Source!I132, 2), 2)</f>
        <v>1966.46</v>
      </c>
      <c r="V269" s="33">
        <f>ROUND((108/100)*ROUND(Source!CS132*Source!I132, 2), 2)</f>
        <v>1213.5899999999999</v>
      </c>
    </row>
    <row r="270" spans="1:22" s="33" customFormat="1" ht="15" x14ac:dyDescent="0.2">
      <c r="A270" s="26"/>
      <c r="B270" s="27"/>
      <c r="C270" s="27" t="s">
        <v>262</v>
      </c>
      <c r="D270" s="28"/>
      <c r="E270" s="29"/>
      <c r="F270" s="30">
        <f>Source!AM132</f>
        <v>57.83</v>
      </c>
      <c r="G270" s="31" t="str">
        <f>Source!DE132</f>
        <v/>
      </c>
      <c r="H270" s="29">
        <f>Source!AV132</f>
        <v>1</v>
      </c>
      <c r="I270" s="29">
        <f>IF(Source!BB132&lt;&gt; 0, Source!BB132, 1)</f>
        <v>1</v>
      </c>
      <c r="J270" s="32">
        <f>Source!Q132</f>
        <v>2066.88</v>
      </c>
      <c r="K270" s="32"/>
    </row>
    <row r="271" spans="1:22" s="33" customFormat="1" ht="15" x14ac:dyDescent="0.2">
      <c r="A271" s="26"/>
      <c r="B271" s="27"/>
      <c r="C271" s="27" t="s">
        <v>263</v>
      </c>
      <c r="D271" s="28"/>
      <c r="E271" s="29"/>
      <c r="F271" s="30">
        <f>Source!AN132</f>
        <v>31.44</v>
      </c>
      <c r="G271" s="31" t="str">
        <f>Source!DF132</f>
        <v/>
      </c>
      <c r="H271" s="29">
        <f>Source!AV132</f>
        <v>1</v>
      </c>
      <c r="I271" s="29">
        <f>IF(Source!BS132&lt;&gt; 0, Source!BS132, 1)</f>
        <v>1</v>
      </c>
      <c r="J271" s="37">
        <f>Source!R132</f>
        <v>1123.69</v>
      </c>
      <c r="K271" s="32"/>
    </row>
    <row r="272" spans="1:22" s="33" customFormat="1" ht="15.75" x14ac:dyDescent="0.25">
      <c r="A272" s="34"/>
      <c r="B272" s="34"/>
      <c r="C272" s="34"/>
      <c r="D272" s="34"/>
      <c r="E272" s="34"/>
      <c r="F272" s="34"/>
      <c r="G272" s="34"/>
      <c r="H272" s="34"/>
      <c r="I272" s="69">
        <f>J270</f>
        <v>2066.88</v>
      </c>
      <c r="J272" s="69"/>
      <c r="K272" s="35">
        <f>IF(Source!I132&lt;&gt;0, ROUND(I272/Source!I132, 2), 0)</f>
        <v>57.83</v>
      </c>
      <c r="P272" s="36">
        <f>I272</f>
        <v>2066.88</v>
      </c>
    </row>
    <row r="273" spans="1:22" s="33" customFormat="1" ht="60" x14ac:dyDescent="0.2">
      <c r="A273" s="26" t="str">
        <f>Source!E133</f>
        <v>25</v>
      </c>
      <c r="B273" s="27" t="str">
        <f>Source!F133</f>
        <v>1.49-9201-1-3/1</v>
      </c>
      <c r="C273" s="27" t="str">
        <f>Source!G133</f>
        <v>Перевозка строительного мусора автосамосвалами грузоподъемностью до 10 т - добавляется на каждый последующий 1 км до 100 км (26,064т+13,64т=39,71т)</v>
      </c>
      <c r="D273" s="28" t="str">
        <f>Source!H133</f>
        <v>т</v>
      </c>
      <c r="E273" s="41">
        <f>Source!I133</f>
        <v>39.711818999999998</v>
      </c>
      <c r="F273" s="30"/>
      <c r="G273" s="31"/>
      <c r="H273" s="29"/>
      <c r="I273" s="29"/>
      <c r="J273" s="32"/>
      <c r="K273" s="32"/>
      <c r="Q273" s="33">
        <f>ROUND((Source!BZ133/100)*ROUND((Source!AF133*Source!AV133)*Source!I133, 2), 2)</f>
        <v>0</v>
      </c>
      <c r="R273" s="33">
        <f>Source!X133</f>
        <v>0</v>
      </c>
      <c r="S273" s="33">
        <f>ROUND((Source!CA133/100)*ROUND((Source!AF133*Source!AV133)*Source!I133, 2), 2)</f>
        <v>0</v>
      </c>
      <c r="T273" s="33">
        <f>Source!Y133</f>
        <v>0</v>
      </c>
      <c r="U273" s="33">
        <f>ROUND((175/100)*ROUND((Source!AE133*Source!AV133)*Source!I133, 2), 2)</f>
        <v>50704.75</v>
      </c>
      <c r="V273" s="33">
        <f>ROUND((108/100)*ROUND(Source!CS133*Source!I133, 2), 2)</f>
        <v>31292.07</v>
      </c>
    </row>
    <row r="274" spans="1:22" s="33" customFormat="1" ht="15" x14ac:dyDescent="0.2">
      <c r="A274" s="26"/>
      <c r="B274" s="27"/>
      <c r="C274" s="27" t="s">
        <v>262</v>
      </c>
      <c r="D274" s="28"/>
      <c r="E274" s="29"/>
      <c r="F274" s="30">
        <f>Source!AM133</f>
        <v>27.39</v>
      </c>
      <c r="G274" s="31" t="str">
        <f>Source!DE133</f>
        <v>)*49</v>
      </c>
      <c r="H274" s="29">
        <f>Source!AV133</f>
        <v>1</v>
      </c>
      <c r="I274" s="29">
        <f>IF(Source!BB133&lt;&gt; 0, Source!BB133, 1)</f>
        <v>1</v>
      </c>
      <c r="J274" s="32">
        <f>Source!Q133</f>
        <v>53297.63</v>
      </c>
      <c r="K274" s="32"/>
    </row>
    <row r="275" spans="1:22" s="33" customFormat="1" ht="15" x14ac:dyDescent="0.2">
      <c r="A275" s="26"/>
      <c r="B275" s="27"/>
      <c r="C275" s="27" t="s">
        <v>263</v>
      </c>
      <c r="D275" s="28"/>
      <c r="E275" s="29"/>
      <c r="F275" s="30">
        <f>Source!AN133</f>
        <v>14.89</v>
      </c>
      <c r="G275" s="31" t="str">
        <f>Source!DF133</f>
        <v>)*49</v>
      </c>
      <c r="H275" s="29">
        <f>Source!AV133</f>
        <v>1</v>
      </c>
      <c r="I275" s="29">
        <f>IF(Source!BS133&lt;&gt; 0, Source!BS133, 1)</f>
        <v>1</v>
      </c>
      <c r="J275" s="37">
        <f>Source!R133</f>
        <v>28974.14</v>
      </c>
      <c r="K275" s="32"/>
    </row>
    <row r="276" spans="1:22" s="33" customFormat="1" ht="15.75" x14ac:dyDescent="0.25">
      <c r="A276" s="34"/>
      <c r="B276" s="34"/>
      <c r="C276" s="34"/>
      <c r="D276" s="34"/>
      <c r="E276" s="34"/>
      <c r="F276" s="34"/>
      <c r="G276" s="34"/>
      <c r="H276" s="34"/>
      <c r="I276" s="69">
        <f>J274</f>
        <v>53297.63</v>
      </c>
      <c r="J276" s="69"/>
      <c r="K276" s="35">
        <f>IF(Source!I133&lt;&gt;0, ROUND(I276/Source!I133, 2), 0)</f>
        <v>1342.11</v>
      </c>
      <c r="P276" s="36">
        <f>I276</f>
        <v>53297.63</v>
      </c>
    </row>
    <row r="277" spans="1:22" s="33" customFormat="1" ht="15" x14ac:dyDescent="0.2"/>
    <row r="278" spans="1:22" s="33" customFormat="1" ht="15.75" x14ac:dyDescent="0.25">
      <c r="A278" s="67" t="str">
        <f>CONCATENATE("Итого по разделу: ",IF(Source!G135&lt;&gt;"Новый раздел", Source!G135, ""))</f>
        <v>Итого по разделу: Детская площадка "Сиреневый сад" (683,1 м2)</v>
      </c>
      <c r="B278" s="67"/>
      <c r="C278" s="67"/>
      <c r="D278" s="67"/>
      <c r="E278" s="67"/>
      <c r="F278" s="67"/>
      <c r="G278" s="67"/>
      <c r="H278" s="67"/>
      <c r="I278" s="66">
        <f>SUM(P211:P277)</f>
        <v>1744280.61</v>
      </c>
      <c r="J278" s="57"/>
      <c r="K278" s="39"/>
    </row>
    <row r="279" spans="1:22" s="33" customFormat="1" ht="15" x14ac:dyDescent="0.2"/>
    <row r="280" spans="1:22" ht="14.25" hidden="1" x14ac:dyDescent="0.2">
      <c r="C280" s="49" t="str">
        <f>Source!H163</f>
        <v>НДС 20%</v>
      </c>
      <c r="D280" s="49"/>
      <c r="E280" s="49"/>
      <c r="F280" s="49"/>
      <c r="G280" s="49"/>
      <c r="H280" s="49"/>
      <c r="I280" s="68">
        <f>IF(Source!F163=0, "", Source!F163)</f>
        <v>348856.12</v>
      </c>
      <c r="J280" s="68"/>
    </row>
    <row r="281" spans="1:22" ht="14.25" hidden="1" x14ac:dyDescent="0.2">
      <c r="C281" s="49" t="str">
        <f>Source!H164</f>
        <v>Всего по смете</v>
      </c>
      <c r="D281" s="49"/>
      <c r="E281" s="49"/>
      <c r="F281" s="49"/>
      <c r="G281" s="49"/>
      <c r="H281" s="49"/>
      <c r="I281" s="68">
        <f>IF(Source!F164=0, "", Source!F164)</f>
        <v>2093136.73</v>
      </c>
      <c r="J281" s="68"/>
    </row>
    <row r="283" spans="1:22" s="25" customFormat="1" ht="18" x14ac:dyDescent="0.25">
      <c r="A283" s="44"/>
      <c r="B283" s="44"/>
      <c r="C283" s="44" t="s">
        <v>274</v>
      </c>
      <c r="D283" s="44"/>
      <c r="E283" s="44"/>
      <c r="F283" s="44"/>
      <c r="G283" s="44"/>
      <c r="H283" s="44"/>
      <c r="I283" s="58">
        <f>SUM(P91:P282)</f>
        <v>3799681.4499999997</v>
      </c>
      <c r="J283" s="59"/>
    </row>
    <row r="284" spans="1:22" s="25" customFormat="1" ht="18" hidden="1" x14ac:dyDescent="0.25"/>
    <row r="285" spans="1:22" s="25" customFormat="1" ht="18" x14ac:dyDescent="0.25">
      <c r="C285" s="60" t="str">
        <f>Source!H194</f>
        <v>НДС 20%</v>
      </c>
      <c r="D285" s="60"/>
      <c r="E285" s="60"/>
      <c r="F285" s="60"/>
      <c r="G285" s="60"/>
      <c r="H285" s="60"/>
      <c r="I285" s="61">
        <f>IF(Source!F194=0, "", Source!F194)</f>
        <v>759936.29</v>
      </c>
      <c r="J285" s="61"/>
    </row>
    <row r="286" spans="1:22" s="42" customFormat="1" ht="18" x14ac:dyDescent="0.25">
      <c r="C286" s="62" t="str">
        <f>Source!H195</f>
        <v>Всего по смете</v>
      </c>
      <c r="D286" s="62"/>
      <c r="E286" s="62"/>
      <c r="F286" s="62"/>
      <c r="G286" s="62"/>
      <c r="H286" s="62"/>
      <c r="I286" s="63">
        <f>IF(Source!F195=0, "", Source!F195)</f>
        <v>4559617.74</v>
      </c>
      <c r="J286" s="63"/>
    </row>
    <row r="287" spans="1:22" s="25" customFormat="1" ht="18" x14ac:dyDescent="0.25">
      <c r="I287" s="43"/>
      <c r="J287" s="43"/>
    </row>
    <row r="288" spans="1:22" ht="15" hidden="1" x14ac:dyDescent="0.25">
      <c r="A288" s="65" t="str">
        <f>CONCATENATE("Итого по смете: ",IF(Source!G197&lt;&gt;"Новый объект", Source!G197, ""))</f>
        <v>Итого по смете: 3 площадки Общая смета испр.</v>
      </c>
      <c r="B288" s="65"/>
      <c r="C288" s="65"/>
      <c r="D288" s="65"/>
      <c r="E288" s="65"/>
      <c r="F288" s="65"/>
      <c r="G288" s="65"/>
      <c r="H288" s="65"/>
      <c r="I288" s="64">
        <f>SUM(P1:P287)</f>
        <v>3799681.4499999997</v>
      </c>
      <c r="J288" s="64"/>
      <c r="K288" s="18"/>
    </row>
    <row r="289" spans="1:11" x14ac:dyDescent="0.2">
      <c r="I289" s="24"/>
      <c r="J289" s="24"/>
    </row>
    <row r="290" spans="1:11" s="25" customFormat="1" ht="54.75" customHeight="1" x14ac:dyDescent="0.25">
      <c r="C290" s="48" t="s">
        <v>273</v>
      </c>
      <c r="D290" s="48"/>
      <c r="E290" s="48"/>
      <c r="F290" s="48"/>
      <c r="G290" s="48"/>
      <c r="H290" s="48"/>
    </row>
    <row r="291" spans="1:11" s="21" customFormat="1" x14ac:dyDescent="0.2"/>
    <row r="292" spans="1:11" s="21" customFormat="1" x14ac:dyDescent="0.2"/>
    <row r="293" spans="1:11" s="21" customFormat="1" x14ac:dyDescent="0.2"/>
    <row r="294" spans="1:11" s="21" customFormat="1" x14ac:dyDescent="0.2"/>
    <row r="295" spans="1:11" s="21" customFormat="1" ht="14.25" x14ac:dyDescent="0.2">
      <c r="A295" s="45" t="s">
        <v>267</v>
      </c>
      <c r="B295" s="45"/>
      <c r="C295" s="10"/>
      <c r="D295" s="10"/>
      <c r="E295" s="10"/>
      <c r="F295" s="10"/>
      <c r="G295" s="10"/>
      <c r="H295" s="10" t="e">
        <f>IF([2]Source!#REF!&lt;&gt;"", [2]Source!#REF!," ")</f>
        <v>#REF!</v>
      </c>
      <c r="I295" s="10"/>
      <c r="J295" s="10"/>
      <c r="K295" s="10"/>
    </row>
    <row r="296" spans="1:11" s="21" customFormat="1" ht="14.25" x14ac:dyDescent="0.2">
      <c r="A296" s="10"/>
      <c r="B296" s="10"/>
      <c r="C296" s="46"/>
      <c r="D296" s="46"/>
      <c r="E296" s="46"/>
      <c r="F296" s="46"/>
      <c r="G296" s="46"/>
      <c r="H296" s="10"/>
      <c r="I296" s="10"/>
      <c r="J296" s="10"/>
      <c r="K296" s="10"/>
    </row>
    <row r="297" spans="1:11" s="21" customFormat="1" ht="14.2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s="21" customFormat="1" ht="14.25" x14ac:dyDescent="0.2">
      <c r="A298" s="45" t="s">
        <v>268</v>
      </c>
      <c r="B298" s="45"/>
      <c r="C298" s="10"/>
      <c r="D298" s="10"/>
      <c r="E298" s="10"/>
      <c r="F298" s="10"/>
      <c r="G298" s="10"/>
      <c r="H298" s="10" t="e">
        <f>IF([2]Source!#REF!&lt;&gt;"", [2]Source!#REF!," ")</f>
        <v>#REF!</v>
      </c>
      <c r="I298" s="10"/>
      <c r="J298" s="10"/>
      <c r="K298" s="10"/>
    </row>
    <row r="299" spans="1:11" s="21" customFormat="1" x14ac:dyDescent="0.2"/>
    <row r="300" spans="1:11" s="21" customFormat="1" x14ac:dyDescent="0.2"/>
    <row r="301" spans="1:11" s="21" customFormat="1" x14ac:dyDescent="0.2"/>
    <row r="302" spans="1:11" s="21" customFormat="1" x14ac:dyDescent="0.2"/>
    <row r="303" spans="1:11" s="21" customFormat="1" x14ac:dyDescent="0.2"/>
    <row r="304" spans="1:11" s="21" customFormat="1" x14ac:dyDescent="0.2"/>
  </sheetData>
  <mergeCells count="110">
    <mergeCell ref="A74:K74"/>
    <mergeCell ref="A75:K75"/>
    <mergeCell ref="B66:E66"/>
    <mergeCell ref="G66:K66"/>
    <mergeCell ref="J61:K61"/>
    <mergeCell ref="A69:K69"/>
    <mergeCell ref="A70:K70"/>
    <mergeCell ref="A72:K72"/>
    <mergeCell ref="B62:E62"/>
    <mergeCell ref="G62:K62"/>
    <mergeCell ref="B63:E63"/>
    <mergeCell ref="G63:K63"/>
    <mergeCell ref="B65:E65"/>
    <mergeCell ref="G65:K65"/>
    <mergeCell ref="D86:D88"/>
    <mergeCell ref="E86:E88"/>
    <mergeCell ref="F82:H82"/>
    <mergeCell ref="I82:J82"/>
    <mergeCell ref="F83:H83"/>
    <mergeCell ref="I83:J83"/>
    <mergeCell ref="F84:H84"/>
    <mergeCell ref="I84:J84"/>
    <mergeCell ref="A77:K77"/>
    <mergeCell ref="F79:H79"/>
    <mergeCell ref="I79:J79"/>
    <mergeCell ref="F81:H81"/>
    <mergeCell ref="I81:J81"/>
    <mergeCell ref="F80:H80"/>
    <mergeCell ref="I80:J80"/>
    <mergeCell ref="I147:J147"/>
    <mergeCell ref="A147:H147"/>
    <mergeCell ref="C149:H149"/>
    <mergeCell ref="I149:J149"/>
    <mergeCell ref="C150:H150"/>
    <mergeCell ref="I150:J150"/>
    <mergeCell ref="F86:F88"/>
    <mergeCell ref="G86:G88"/>
    <mergeCell ref="H86:H88"/>
    <mergeCell ref="I145:J145"/>
    <mergeCell ref="I86:I88"/>
    <mergeCell ref="J86:J88"/>
    <mergeCell ref="A91:K91"/>
    <mergeCell ref="A93:K93"/>
    <mergeCell ref="I99:J99"/>
    <mergeCell ref="I110:J110"/>
    <mergeCell ref="I122:J122"/>
    <mergeCell ref="I127:J127"/>
    <mergeCell ref="I133:J133"/>
    <mergeCell ref="I137:J137"/>
    <mergeCell ref="I141:J141"/>
    <mergeCell ref="A86:A88"/>
    <mergeCell ref="B86:B88"/>
    <mergeCell ref="C86:C88"/>
    <mergeCell ref="C208:H208"/>
    <mergeCell ref="I208:J208"/>
    <mergeCell ref="A152:K152"/>
    <mergeCell ref="I158:J158"/>
    <mergeCell ref="I169:J169"/>
    <mergeCell ref="I181:J181"/>
    <mergeCell ref="I186:J186"/>
    <mergeCell ref="I192:J192"/>
    <mergeCell ref="I196:J196"/>
    <mergeCell ref="I200:J200"/>
    <mergeCell ref="I204:J204"/>
    <mergeCell ref="I206:J206"/>
    <mergeCell ref="A206:H206"/>
    <mergeCell ref="I276:J276"/>
    <mergeCell ref="C209:H209"/>
    <mergeCell ref="I209:J209"/>
    <mergeCell ref="A211:K211"/>
    <mergeCell ref="I220:J220"/>
    <mergeCell ref="I230:J230"/>
    <mergeCell ref="I241:J241"/>
    <mergeCell ref="I253:J253"/>
    <mergeCell ref="I258:J258"/>
    <mergeCell ref="I264:J264"/>
    <mergeCell ref="I268:J268"/>
    <mergeCell ref="I272:J272"/>
    <mergeCell ref="B4:E4"/>
    <mergeCell ref="G4:K4"/>
    <mergeCell ref="G5:K5"/>
    <mergeCell ref="B6:E6"/>
    <mergeCell ref="G6:K6"/>
    <mergeCell ref="J2:K2"/>
    <mergeCell ref="B3:E3"/>
    <mergeCell ref="G3:K3"/>
    <mergeCell ref="A295:B295"/>
    <mergeCell ref="C296:G296"/>
    <mergeCell ref="A298:B298"/>
    <mergeCell ref="A18:K18"/>
    <mergeCell ref="A19:K19"/>
    <mergeCell ref="C290:H290"/>
    <mergeCell ref="B7:E7"/>
    <mergeCell ref="G7:K7"/>
    <mergeCell ref="A13:K13"/>
    <mergeCell ref="A14:K14"/>
    <mergeCell ref="A16:K16"/>
    <mergeCell ref="I283:J283"/>
    <mergeCell ref="C285:H285"/>
    <mergeCell ref="I285:J285"/>
    <mergeCell ref="C286:H286"/>
    <mergeCell ref="I286:J286"/>
    <mergeCell ref="I288:J288"/>
    <mergeCell ref="A288:H288"/>
    <mergeCell ref="I278:J278"/>
    <mergeCell ref="A278:H278"/>
    <mergeCell ref="C280:H280"/>
    <mergeCell ref="I280:J280"/>
    <mergeCell ref="C281:H281"/>
    <mergeCell ref="I281:J281"/>
  </mergeCells>
  <pageMargins left="0.78740157480314965" right="0" top="0.19685039370078741" bottom="0.39370078740157483" header="0.19685039370078741" footer="0.19685039370078741"/>
  <pageSetup paperSize="9" scale="49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233"/>
  <sheetViews>
    <sheetView topLeftCell="C110" zoomScale="130" zoomScaleNormal="130" workbookViewId="0">
      <selection activeCell="I133" sqref="I133"/>
    </sheetView>
  </sheetViews>
  <sheetFormatPr defaultColWidth="9.140625" defaultRowHeight="12.75" x14ac:dyDescent="0.2"/>
  <cols>
    <col min="1" max="9" width="9.140625" customWidth="1"/>
    <col min="10" max="10" width="16.140625" customWidth="1"/>
    <col min="11" max="11" width="9.140625" customWidth="1"/>
    <col min="12" max="12" width="17.28515625" customWidth="1"/>
    <col min="13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19326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229</v>
      </c>
      <c r="C12" s="1">
        <v>0</v>
      </c>
      <c r="D12" s="1">
        <f>ROW(A197)</f>
        <v>197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2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B197</f>
        <v>229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объект_(Копия)</v>
      </c>
      <c r="G18" s="2" t="str">
        <f t="shared" si="0"/>
        <v>3 площадки Общая смета испр.</v>
      </c>
      <c r="H18" s="2"/>
      <c r="I18" s="2"/>
      <c r="J18" s="2"/>
      <c r="K18" s="2"/>
      <c r="L18" s="2"/>
      <c r="M18" s="2"/>
      <c r="N18" s="2"/>
      <c r="O18" s="2">
        <f t="shared" ref="O18:AT18" si="1">O197</f>
        <v>3620121.71</v>
      </c>
      <c r="P18" s="2">
        <f t="shared" si="1"/>
        <v>3319302.27</v>
      </c>
      <c r="Q18" s="2">
        <f t="shared" si="1"/>
        <v>161475.32999999999</v>
      </c>
      <c r="R18" s="2">
        <f t="shared" si="1"/>
        <v>106081.57</v>
      </c>
      <c r="S18" s="2">
        <f t="shared" si="1"/>
        <v>139344.10999999999</v>
      </c>
      <c r="T18" s="2">
        <f t="shared" si="1"/>
        <v>0</v>
      </c>
      <c r="U18" s="2">
        <f t="shared" si="1"/>
        <v>680.71372353800007</v>
      </c>
      <c r="V18" s="2">
        <f t="shared" si="1"/>
        <v>0</v>
      </c>
      <c r="W18" s="2">
        <f t="shared" si="1"/>
        <v>0</v>
      </c>
      <c r="X18" s="2">
        <f t="shared" si="1"/>
        <v>97540.88</v>
      </c>
      <c r="Y18" s="2">
        <f t="shared" si="1"/>
        <v>13934.41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3799681.45</v>
      </c>
      <c r="AS18" s="2">
        <f t="shared" si="1"/>
        <v>0</v>
      </c>
      <c r="AT18" s="2">
        <f t="shared" si="1"/>
        <v>0</v>
      </c>
      <c r="AU18" s="2">
        <f t="shared" ref="AU18:BZ18" si="2">AU197</f>
        <v>3799681.45</v>
      </c>
      <c r="AV18" s="2">
        <f t="shared" si="2"/>
        <v>3319302.27</v>
      </c>
      <c r="AW18" s="2">
        <f t="shared" si="2"/>
        <v>3319302.27</v>
      </c>
      <c r="AX18" s="2">
        <f t="shared" si="2"/>
        <v>0</v>
      </c>
      <c r="AY18" s="2">
        <f t="shared" si="2"/>
        <v>3319302.27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CA197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DG197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EM197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FS197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ROW(A166)</f>
        <v>166</v>
      </c>
      <c r="E20" s="1"/>
      <c r="F20" s="1" t="s">
        <v>12</v>
      </c>
      <c r="G20" s="1" t="s">
        <v>12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 x14ac:dyDescent="0.2">
      <c r="A22" s="2">
        <v>52</v>
      </c>
      <c r="B22" s="2">
        <f t="shared" ref="B22:G22" si="7">B166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O166</f>
        <v>3620121.71</v>
      </c>
      <c r="P22" s="2">
        <f t="shared" si="8"/>
        <v>3319302.27</v>
      </c>
      <c r="Q22" s="2">
        <f t="shared" si="8"/>
        <v>161475.32999999999</v>
      </c>
      <c r="R22" s="2">
        <f t="shared" si="8"/>
        <v>106081.57</v>
      </c>
      <c r="S22" s="2">
        <f t="shared" si="8"/>
        <v>139344.10999999999</v>
      </c>
      <c r="T22" s="2">
        <f t="shared" si="8"/>
        <v>0</v>
      </c>
      <c r="U22" s="2">
        <f t="shared" si="8"/>
        <v>680.71372353800007</v>
      </c>
      <c r="V22" s="2">
        <f t="shared" si="8"/>
        <v>0</v>
      </c>
      <c r="W22" s="2">
        <f t="shared" si="8"/>
        <v>0</v>
      </c>
      <c r="X22" s="2">
        <f t="shared" si="8"/>
        <v>97540.88</v>
      </c>
      <c r="Y22" s="2">
        <f t="shared" si="8"/>
        <v>13934.41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3799681.45</v>
      </c>
      <c r="AS22" s="2">
        <f t="shared" si="8"/>
        <v>0</v>
      </c>
      <c r="AT22" s="2">
        <f t="shared" si="8"/>
        <v>0</v>
      </c>
      <c r="AU22" s="2">
        <f t="shared" ref="AU22:BZ22" si="9">AU166</f>
        <v>3799681.45</v>
      </c>
      <c r="AV22" s="2">
        <f t="shared" si="9"/>
        <v>3319302.27</v>
      </c>
      <c r="AW22" s="2">
        <f t="shared" si="9"/>
        <v>3319302.27</v>
      </c>
      <c r="AX22" s="2">
        <f t="shared" si="9"/>
        <v>0</v>
      </c>
      <c r="AY22" s="2">
        <f t="shared" si="9"/>
        <v>3319302.27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CA166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DG166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EM166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FS166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ROW(A40)</f>
        <v>40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B40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Детская площадка на сквере вдоль шоссе Энтузиастов (353,1 м2)</v>
      </c>
      <c r="H26" s="2"/>
      <c r="I26" s="2"/>
      <c r="J26" s="2"/>
      <c r="K26" s="2"/>
      <c r="L26" s="2"/>
      <c r="M26" s="2"/>
      <c r="N26" s="2"/>
      <c r="O26" s="2">
        <f t="shared" ref="O26:AT26" si="15">O40</f>
        <v>812561.01</v>
      </c>
      <c r="P26" s="2">
        <f t="shared" si="15"/>
        <v>757294.04</v>
      </c>
      <c r="Q26" s="2">
        <f t="shared" si="15"/>
        <v>28004.93</v>
      </c>
      <c r="R26" s="2">
        <f t="shared" si="15"/>
        <v>19526.189999999999</v>
      </c>
      <c r="S26" s="2">
        <f t="shared" si="15"/>
        <v>27262.04</v>
      </c>
      <c r="T26" s="2">
        <f t="shared" si="15"/>
        <v>0</v>
      </c>
      <c r="U26" s="2">
        <f t="shared" si="15"/>
        <v>124.24176</v>
      </c>
      <c r="V26" s="2">
        <f t="shared" si="15"/>
        <v>0</v>
      </c>
      <c r="W26" s="2">
        <f t="shared" si="15"/>
        <v>0</v>
      </c>
      <c r="X26" s="2">
        <f t="shared" si="15"/>
        <v>19083.439999999999</v>
      </c>
      <c r="Y26" s="2">
        <f t="shared" si="15"/>
        <v>2726.2</v>
      </c>
      <c r="Z26" s="2">
        <f t="shared" si="15"/>
        <v>0</v>
      </c>
      <c r="AA26" s="2">
        <f t="shared" si="15"/>
        <v>0</v>
      </c>
      <c r="AB26" s="2">
        <f t="shared" si="15"/>
        <v>812561.01</v>
      </c>
      <c r="AC26" s="2">
        <f t="shared" si="15"/>
        <v>757294.04</v>
      </c>
      <c r="AD26" s="2">
        <f t="shared" si="15"/>
        <v>28004.93</v>
      </c>
      <c r="AE26" s="2">
        <f t="shared" si="15"/>
        <v>19526.189999999999</v>
      </c>
      <c r="AF26" s="2">
        <f t="shared" si="15"/>
        <v>27262.04</v>
      </c>
      <c r="AG26" s="2">
        <f t="shared" si="15"/>
        <v>0</v>
      </c>
      <c r="AH26" s="2">
        <f t="shared" si="15"/>
        <v>124.24176</v>
      </c>
      <c r="AI26" s="2">
        <f t="shared" si="15"/>
        <v>0</v>
      </c>
      <c r="AJ26" s="2">
        <f t="shared" si="15"/>
        <v>0</v>
      </c>
      <c r="AK26" s="2">
        <f t="shared" si="15"/>
        <v>19083.439999999999</v>
      </c>
      <c r="AL26" s="2">
        <f t="shared" si="15"/>
        <v>2726.2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849839.07</v>
      </c>
      <c r="AS26" s="2">
        <f t="shared" si="15"/>
        <v>0</v>
      </c>
      <c r="AT26" s="2">
        <f t="shared" si="15"/>
        <v>0</v>
      </c>
      <c r="AU26" s="2">
        <f t="shared" ref="AU26:BZ26" si="16">AU40</f>
        <v>849839.07</v>
      </c>
      <c r="AV26" s="2">
        <f t="shared" si="16"/>
        <v>757294.04</v>
      </c>
      <c r="AW26" s="2">
        <f t="shared" si="16"/>
        <v>757294.04</v>
      </c>
      <c r="AX26" s="2">
        <f t="shared" si="16"/>
        <v>0</v>
      </c>
      <c r="AY26" s="2">
        <f t="shared" si="16"/>
        <v>757294.04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CA40</f>
        <v>849839.07</v>
      </c>
      <c r="CB26" s="2">
        <f t="shared" si="17"/>
        <v>0</v>
      </c>
      <c r="CC26" s="2">
        <f t="shared" si="17"/>
        <v>0</v>
      </c>
      <c r="CD26" s="2">
        <f t="shared" si="17"/>
        <v>849839.07</v>
      </c>
      <c r="CE26" s="2">
        <f t="shared" si="17"/>
        <v>757294.04</v>
      </c>
      <c r="CF26" s="2">
        <f t="shared" si="17"/>
        <v>757294.04</v>
      </c>
      <c r="CG26" s="2">
        <f t="shared" si="17"/>
        <v>0</v>
      </c>
      <c r="CH26" s="2">
        <f t="shared" si="17"/>
        <v>757294.04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DG40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EM40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FS40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ROW(SmtRes!A1)</f>
        <v>1</v>
      </c>
      <c r="D28">
        <f>ROW(EtalonRes!A1)</f>
        <v>1</v>
      </c>
      <c r="E28" t="s">
        <v>15</v>
      </c>
      <c r="F28" t="s">
        <v>16</v>
      </c>
      <c r="G28" t="s">
        <v>17</v>
      </c>
      <c r="H28" t="s">
        <v>18</v>
      </c>
      <c r="I28">
        <f>ROUND(353.1/100,9)</f>
        <v>3.5310000000000001</v>
      </c>
      <c r="J28">
        <v>0</v>
      </c>
      <c r="O28">
        <f t="shared" ref="O28:O38" si="21">ROUND(CP28,2)</f>
        <v>2143.11</v>
      </c>
      <c r="P28">
        <f t="shared" ref="P28:P38" si="22">ROUND(CQ28*I28,2)</f>
        <v>0</v>
      </c>
      <c r="Q28">
        <f t="shared" ref="Q28:Q38" si="23">ROUND(CR28*I28,2)</f>
        <v>0</v>
      </c>
      <c r="R28">
        <f t="shared" ref="R28:R38" si="24">ROUND(CS28*I28,2)</f>
        <v>0</v>
      </c>
      <c r="S28">
        <f t="shared" ref="S28:S38" si="25">ROUND(CT28*I28,2)</f>
        <v>2143.11</v>
      </c>
      <c r="T28">
        <f t="shared" ref="T28:T38" si="26">ROUND(CU28*I28,2)</f>
        <v>0</v>
      </c>
      <c r="U28">
        <f t="shared" ref="U28:U38" si="27">CV28*I28</f>
        <v>11.6523</v>
      </c>
      <c r="V28">
        <f t="shared" ref="V28:V38" si="28">CW28*I28</f>
        <v>0</v>
      </c>
      <c r="W28">
        <f t="shared" ref="W28:W38" si="29">ROUND(CX28*I28,2)</f>
        <v>0</v>
      </c>
      <c r="X28">
        <f t="shared" ref="X28:X38" si="30">ROUND(CY28,2)</f>
        <v>1500.18</v>
      </c>
      <c r="Y28">
        <f t="shared" ref="Y28:Y38" si="31">ROUND(CZ28,2)</f>
        <v>214.31</v>
      </c>
      <c r="AA28">
        <v>15805332</v>
      </c>
      <c r="AB28">
        <f t="shared" ref="AB28:AB38" si="32">ROUND((AC28+AD28+AF28),6)</f>
        <v>606.94000000000005</v>
      </c>
      <c r="AC28">
        <f>ROUND((ES28),6)</f>
        <v>0</v>
      </c>
      <c r="AD28">
        <f>ROUND((((ET28)-(EU28))+AE28),6)</f>
        <v>0</v>
      </c>
      <c r="AE28">
        <f t="shared" ref="AE28:AF30" si="33">ROUND((EU28),6)</f>
        <v>0</v>
      </c>
      <c r="AF28">
        <f t="shared" si="33"/>
        <v>606.94000000000005</v>
      </c>
      <c r="AG28">
        <f t="shared" ref="AG28:AG38" si="34">ROUND((AP28),6)</f>
        <v>0</v>
      </c>
      <c r="AH28">
        <f t="shared" ref="AH28:AI30" si="35">(EW28)</f>
        <v>3.3</v>
      </c>
      <c r="AI28">
        <f t="shared" si="35"/>
        <v>0</v>
      </c>
      <c r="AJ28">
        <f t="shared" ref="AJ28:AJ38" si="36">(AS28)</f>
        <v>0</v>
      </c>
      <c r="AK28">
        <v>606.94000000000005</v>
      </c>
      <c r="AL28">
        <v>0</v>
      </c>
      <c r="AM28">
        <v>0</v>
      </c>
      <c r="AN28">
        <v>0</v>
      </c>
      <c r="AO28">
        <v>606.94000000000005</v>
      </c>
      <c r="AP28">
        <v>0</v>
      </c>
      <c r="AQ28">
        <v>3.3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8" si="37">(P28+Q28+S28)</f>
        <v>2143.11</v>
      </c>
      <c r="CQ28">
        <f t="shared" ref="CQ28:CQ38" si="38">(AC28*BC28*AW28)</f>
        <v>0</v>
      </c>
      <c r="CR28">
        <f>((((ET28)*BB28-(EU28)*BS28)+AE28*BS28)*AV28)</f>
        <v>0</v>
      </c>
      <c r="CS28">
        <f t="shared" ref="CS28:CS38" si="39">(AE28*BS28*AV28)</f>
        <v>0</v>
      </c>
      <c r="CT28">
        <f t="shared" ref="CT28:CT38" si="40">(AF28*BA28*AV28)</f>
        <v>606.94000000000005</v>
      </c>
      <c r="CU28">
        <f t="shared" ref="CU28:CU38" si="41">AG28</f>
        <v>0</v>
      </c>
      <c r="CV28">
        <f t="shared" ref="CV28:CV38" si="42">(AH28*AV28)</f>
        <v>3.3</v>
      </c>
      <c r="CW28">
        <f t="shared" ref="CW28:CW38" si="43">AI28</f>
        <v>0</v>
      </c>
      <c r="CX28">
        <f t="shared" ref="CX28:CX38" si="44">AJ28</f>
        <v>0</v>
      </c>
      <c r="CY28">
        <f t="shared" ref="CY28:CY38" si="45">((S28*BZ28)/100)</f>
        <v>1500.1770000000001</v>
      </c>
      <c r="CZ28">
        <f t="shared" ref="CZ28:CZ38" si="46">((S28*CA28)/100)</f>
        <v>214.31100000000004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100</v>
      </c>
      <c r="EE28">
        <v>15435499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0</v>
      </c>
      <c r="ER28">
        <v>606.94000000000005</v>
      </c>
      <c r="ES28">
        <v>0</v>
      </c>
      <c r="ET28">
        <v>0</v>
      </c>
      <c r="EU28">
        <v>0</v>
      </c>
      <c r="EV28">
        <v>606.94000000000005</v>
      </c>
      <c r="EW28">
        <v>3.3</v>
      </c>
      <c r="EX28">
        <v>0</v>
      </c>
      <c r="EY28">
        <v>0</v>
      </c>
      <c r="FQ28">
        <v>0</v>
      </c>
      <c r="FR28">
        <f t="shared" ref="FR28:FR38" si="47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493804701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ref="GL28:GL38" si="48">ROUND(IF(AND(BH28=3,BI28=3,FS28&lt;&gt;0),P28,0),2)</f>
        <v>0</v>
      </c>
      <c r="GM28">
        <f t="shared" ref="GM28:GM35" si="49">ROUND(O28+X28+Y28+GK28,2)+GX28</f>
        <v>3857.6</v>
      </c>
      <c r="GN28">
        <f t="shared" ref="GN28:GN35" si="50">IF(OR(BI28=0,BI28=1),ROUND(O28+X28+Y28+GK28,2),0)</f>
        <v>0</v>
      </c>
      <c r="GO28">
        <f t="shared" ref="GO28:GO35" si="51">IF(BI28=2,ROUND(O28+X28+Y28+GK28,2),0)</f>
        <v>0</v>
      </c>
      <c r="GP28">
        <f t="shared" ref="GP28:GP35" si="52">IF(BI28=4,ROUND(O28+X28+Y28+GK28,2)+GX28,0)</f>
        <v>3857.6</v>
      </c>
      <c r="GR28">
        <v>0</v>
      </c>
      <c r="GS28">
        <v>3</v>
      </c>
      <c r="GT28">
        <v>0</v>
      </c>
      <c r="GU28" t="s">
        <v>3</v>
      </c>
      <c r="GV28">
        <f t="shared" ref="GV28:GV38" si="53">ROUND((GT28),6)</f>
        <v>0</v>
      </c>
      <c r="GW28">
        <v>1</v>
      </c>
      <c r="GX28">
        <f t="shared" ref="GX28:GX38" si="54">ROUND(HC28*I28,2)</f>
        <v>0</v>
      </c>
      <c r="HA28">
        <v>0</v>
      </c>
      <c r="HB28">
        <v>0</v>
      </c>
      <c r="HC28">
        <f t="shared" ref="HC28:HC38" si="55">GV28*GW28</f>
        <v>0</v>
      </c>
      <c r="IK28">
        <v>0</v>
      </c>
    </row>
    <row r="29" spans="1:245" x14ac:dyDescent="0.2">
      <c r="A29">
        <v>17</v>
      </c>
      <c r="B29">
        <v>1</v>
      </c>
      <c r="C29">
        <f>ROW(SmtRes!A11)</f>
        <v>11</v>
      </c>
      <c r="D29">
        <f>ROW(EtalonRes!A11)</f>
        <v>11</v>
      </c>
      <c r="E29" t="s">
        <v>23</v>
      </c>
      <c r="F29" t="s">
        <v>24</v>
      </c>
      <c r="G29" t="s">
        <v>25</v>
      </c>
      <c r="H29" t="s">
        <v>18</v>
      </c>
      <c r="I29">
        <f>ROUND(353.1/100,9)</f>
        <v>3.5310000000000001</v>
      </c>
      <c r="J29">
        <v>0</v>
      </c>
      <c r="O29">
        <f t="shared" si="21"/>
        <v>385067.91</v>
      </c>
      <c r="P29">
        <f t="shared" si="22"/>
        <v>361431.82</v>
      </c>
      <c r="Q29">
        <f t="shared" si="23"/>
        <v>9241.51</v>
      </c>
      <c r="R29">
        <f t="shared" si="24"/>
        <v>7286.08</v>
      </c>
      <c r="S29">
        <f t="shared" si="25"/>
        <v>14394.58</v>
      </c>
      <c r="T29">
        <f t="shared" si="26"/>
        <v>0</v>
      </c>
      <c r="U29">
        <f t="shared" si="27"/>
        <v>65.111640000000008</v>
      </c>
      <c r="V29">
        <f t="shared" si="28"/>
        <v>0</v>
      </c>
      <c r="W29">
        <f t="shared" si="29"/>
        <v>0</v>
      </c>
      <c r="X29">
        <f t="shared" si="30"/>
        <v>10076.209999999999</v>
      </c>
      <c r="Y29">
        <f t="shared" si="31"/>
        <v>1439.46</v>
      </c>
      <c r="AA29">
        <v>15805332</v>
      </c>
      <c r="AB29">
        <f t="shared" si="32"/>
        <v>109053.5</v>
      </c>
      <c r="AC29">
        <f>ROUND((ES29),6)</f>
        <v>102359.62</v>
      </c>
      <c r="AD29">
        <f>ROUND((((ET29)-(EU29))+AE29),6)</f>
        <v>2617.25</v>
      </c>
      <c r="AE29">
        <f t="shared" si="33"/>
        <v>2063.46</v>
      </c>
      <c r="AF29">
        <f t="shared" si="33"/>
        <v>4076.63</v>
      </c>
      <c r="AG29">
        <f t="shared" si="34"/>
        <v>0</v>
      </c>
      <c r="AH29">
        <f t="shared" si="35"/>
        <v>18.440000000000001</v>
      </c>
      <c r="AI29">
        <f t="shared" si="35"/>
        <v>0</v>
      </c>
      <c r="AJ29">
        <f t="shared" si="36"/>
        <v>0</v>
      </c>
      <c r="AK29">
        <v>109053.5</v>
      </c>
      <c r="AL29">
        <v>102359.62</v>
      </c>
      <c r="AM29">
        <v>2617.25</v>
      </c>
      <c r="AN29">
        <v>2063.46</v>
      </c>
      <c r="AO29">
        <v>4076.63</v>
      </c>
      <c r="AP29">
        <v>0</v>
      </c>
      <c r="AQ29">
        <v>18.440000000000001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26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7"/>
        <v>385067.91000000003</v>
      </c>
      <c r="CQ29">
        <f t="shared" si="38"/>
        <v>102359.62</v>
      </c>
      <c r="CR29">
        <f>((((ET29)*BB29-(EU29)*BS29)+AE29*BS29)*AV29)</f>
        <v>2617.25</v>
      </c>
      <c r="CS29">
        <f t="shared" si="39"/>
        <v>2063.46</v>
      </c>
      <c r="CT29">
        <f t="shared" si="40"/>
        <v>4076.63</v>
      </c>
      <c r="CU29">
        <f t="shared" si="41"/>
        <v>0</v>
      </c>
      <c r="CV29">
        <f t="shared" si="42"/>
        <v>18.440000000000001</v>
      </c>
      <c r="CW29">
        <f t="shared" si="43"/>
        <v>0</v>
      </c>
      <c r="CX29">
        <f t="shared" si="44"/>
        <v>0</v>
      </c>
      <c r="CY29">
        <f t="shared" si="45"/>
        <v>10076.206</v>
      </c>
      <c r="CZ29">
        <f t="shared" si="46"/>
        <v>1439.4579999999999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18</v>
      </c>
      <c r="DW29" t="s">
        <v>18</v>
      </c>
      <c r="DX29">
        <v>100</v>
      </c>
      <c r="EE29">
        <v>15435499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0</v>
      </c>
      <c r="ER29">
        <v>109053.5</v>
      </c>
      <c r="ES29">
        <v>102359.62</v>
      </c>
      <c r="ET29">
        <v>2617.25</v>
      </c>
      <c r="EU29">
        <v>2063.46</v>
      </c>
      <c r="EV29">
        <v>4076.63</v>
      </c>
      <c r="EW29">
        <v>18.440000000000001</v>
      </c>
      <c r="EX29">
        <v>0</v>
      </c>
      <c r="EY29">
        <v>0</v>
      </c>
      <c r="FQ29">
        <v>0</v>
      </c>
      <c r="FR29">
        <f t="shared" si="47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1018568157</v>
      </c>
      <c r="GG29">
        <v>2</v>
      </c>
      <c r="GH29">
        <v>1</v>
      </c>
      <c r="GI29">
        <v>-2</v>
      </c>
      <c r="GJ29">
        <v>0</v>
      </c>
      <c r="GK29">
        <f>ROUND(R29*(R12)/100,2)</f>
        <v>7868.97</v>
      </c>
      <c r="GL29">
        <f t="shared" si="48"/>
        <v>0</v>
      </c>
      <c r="GM29">
        <f t="shared" si="49"/>
        <v>404452.55</v>
      </c>
      <c r="GN29">
        <f t="shared" si="50"/>
        <v>0</v>
      </c>
      <c r="GO29">
        <f t="shared" si="51"/>
        <v>0</v>
      </c>
      <c r="GP29">
        <f t="shared" si="52"/>
        <v>404452.55</v>
      </c>
      <c r="GR29">
        <v>0</v>
      </c>
      <c r="GS29">
        <v>3</v>
      </c>
      <c r="GT29">
        <v>0</v>
      </c>
      <c r="GU29" t="s">
        <v>3</v>
      </c>
      <c r="GV29">
        <f t="shared" si="53"/>
        <v>0</v>
      </c>
      <c r="GW29">
        <v>1</v>
      </c>
      <c r="GX29">
        <f t="shared" si="54"/>
        <v>0</v>
      </c>
      <c r="HA29">
        <v>0</v>
      </c>
      <c r="HB29">
        <v>0</v>
      </c>
      <c r="HC29">
        <f t="shared" si="55"/>
        <v>0</v>
      </c>
      <c r="IK29">
        <v>0</v>
      </c>
    </row>
    <row r="30" spans="1:245" x14ac:dyDescent="0.2">
      <c r="A30">
        <v>18</v>
      </c>
      <c r="B30">
        <v>1</v>
      </c>
      <c r="C30">
        <v>11</v>
      </c>
      <c r="E30" t="s">
        <v>27</v>
      </c>
      <c r="F30" t="s">
        <v>28</v>
      </c>
      <c r="G30" t="s">
        <v>29</v>
      </c>
      <c r="H30" t="s">
        <v>30</v>
      </c>
      <c r="I30">
        <f>I29*J30</f>
        <v>-0.18537799999999999</v>
      </c>
      <c r="J30">
        <v>-5.2500141602945333E-2</v>
      </c>
      <c r="O30">
        <f t="shared" si="21"/>
        <v>-138718.29999999999</v>
      </c>
      <c r="P30">
        <f t="shared" si="22"/>
        <v>-138718.29999999999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15805332</v>
      </c>
      <c r="AB30">
        <f t="shared" si="32"/>
        <v>748299.67</v>
      </c>
      <c r="AC30">
        <f>ROUND((ES30),6)</f>
        <v>748299.67</v>
      </c>
      <c r="AD30">
        <f>ROUND((((ET30)-(EU30))+AE30),6)</f>
        <v>0</v>
      </c>
      <c r="AE30">
        <f t="shared" si="33"/>
        <v>0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5"/>
        <v>0</v>
      </c>
      <c r="AJ30">
        <f t="shared" si="36"/>
        <v>0</v>
      </c>
      <c r="AK30">
        <v>748299.67</v>
      </c>
      <c r="AL30">
        <v>748299.67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3</v>
      </c>
      <c r="BI30">
        <v>4</v>
      </c>
      <c r="BJ30" t="s">
        <v>31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7"/>
        <v>-138718.29999999999</v>
      </c>
      <c r="CQ30">
        <f t="shared" si="38"/>
        <v>748299.67</v>
      </c>
      <c r="CR30">
        <f>((((ET30)*BB30-(EU30)*BS30)+AE30*BS30)*AV30)</f>
        <v>0</v>
      </c>
      <c r="CS30">
        <f t="shared" si="39"/>
        <v>0</v>
      </c>
      <c r="CT30">
        <f t="shared" si="40"/>
        <v>0</v>
      </c>
      <c r="CU30">
        <f t="shared" si="41"/>
        <v>0</v>
      </c>
      <c r="CV30">
        <f t="shared" si="42"/>
        <v>0</v>
      </c>
      <c r="CW30">
        <f t="shared" si="43"/>
        <v>0</v>
      </c>
      <c r="CX30">
        <f t="shared" si="44"/>
        <v>0</v>
      </c>
      <c r="CY30">
        <f t="shared" si="45"/>
        <v>0</v>
      </c>
      <c r="CZ30">
        <f t="shared" si="46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1009</v>
      </c>
      <c r="DV30" t="s">
        <v>30</v>
      </c>
      <c r="DW30" t="s">
        <v>30</v>
      </c>
      <c r="DX30">
        <v>1000</v>
      </c>
      <c r="EE30">
        <v>15435499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</v>
      </c>
      <c r="EQ30">
        <v>0</v>
      </c>
      <c r="ER30">
        <v>748299.67</v>
      </c>
      <c r="ES30">
        <v>748299.67</v>
      </c>
      <c r="ET30">
        <v>0</v>
      </c>
      <c r="EU30">
        <v>0</v>
      </c>
      <c r="EV30">
        <v>0</v>
      </c>
      <c r="EW30">
        <v>0</v>
      </c>
      <c r="EX30">
        <v>0</v>
      </c>
      <c r="FQ30">
        <v>0</v>
      </c>
      <c r="FR30">
        <f t="shared" si="47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-629368275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48"/>
        <v>0</v>
      </c>
      <c r="GM30">
        <f t="shared" si="49"/>
        <v>-138718.29999999999</v>
      </c>
      <c r="GN30">
        <f t="shared" si="50"/>
        <v>0</v>
      </c>
      <c r="GO30">
        <f t="shared" si="51"/>
        <v>0</v>
      </c>
      <c r="GP30">
        <f t="shared" si="52"/>
        <v>-138718.29999999999</v>
      </c>
      <c r="GR30">
        <v>0</v>
      </c>
      <c r="GS30">
        <v>3</v>
      </c>
      <c r="GT30">
        <v>0</v>
      </c>
      <c r="GU30" t="s">
        <v>3</v>
      </c>
      <c r="GV30">
        <f t="shared" si="53"/>
        <v>0</v>
      </c>
      <c r="GW30">
        <v>1</v>
      </c>
      <c r="GX30">
        <f t="shared" si="54"/>
        <v>0</v>
      </c>
      <c r="HA30">
        <v>0</v>
      </c>
      <c r="HB30">
        <v>0</v>
      </c>
      <c r="HC30">
        <f t="shared" si="55"/>
        <v>0</v>
      </c>
      <c r="IK30">
        <v>0</v>
      </c>
    </row>
    <row r="31" spans="1:245" x14ac:dyDescent="0.2">
      <c r="A31">
        <v>17</v>
      </c>
      <c r="B31">
        <v>1</v>
      </c>
      <c r="C31">
        <f>ROW(SmtRes!A18)</f>
        <v>18</v>
      </c>
      <c r="D31">
        <f>ROW(EtalonRes!A17)</f>
        <v>17</v>
      </c>
      <c r="E31" t="s">
        <v>32</v>
      </c>
      <c r="F31" t="s">
        <v>33</v>
      </c>
      <c r="G31" t="s">
        <v>34</v>
      </c>
      <c r="H31" t="s">
        <v>18</v>
      </c>
      <c r="I31">
        <f>ROUND(353.1/100,9)</f>
        <v>3.5310000000000001</v>
      </c>
      <c r="J31">
        <v>0</v>
      </c>
      <c r="O31">
        <f t="shared" si="21"/>
        <v>354214.38</v>
      </c>
      <c r="P31">
        <f t="shared" si="22"/>
        <v>334873.33</v>
      </c>
      <c r="Q31">
        <f t="shared" si="23"/>
        <v>8701.44</v>
      </c>
      <c r="R31">
        <f t="shared" si="24"/>
        <v>6878.74</v>
      </c>
      <c r="S31">
        <f t="shared" si="25"/>
        <v>10639.61</v>
      </c>
      <c r="T31">
        <f t="shared" si="26"/>
        <v>0</v>
      </c>
      <c r="U31">
        <f t="shared" si="27"/>
        <v>46.78575</v>
      </c>
      <c r="V31">
        <f t="shared" si="28"/>
        <v>0</v>
      </c>
      <c r="W31">
        <f t="shared" si="29"/>
        <v>0</v>
      </c>
      <c r="X31">
        <f t="shared" si="30"/>
        <v>7447.73</v>
      </c>
      <c r="Y31">
        <f t="shared" si="31"/>
        <v>1063.96</v>
      </c>
      <c r="AA31">
        <v>15805332</v>
      </c>
      <c r="AB31">
        <f t="shared" si="32"/>
        <v>100315.6</v>
      </c>
      <c r="AC31">
        <f>ROUND(((ES31*5)),6)</f>
        <v>94838.1</v>
      </c>
      <c r="AD31">
        <f>ROUND(((((ET31*5))-((EU31*5)))+AE31),6)</f>
        <v>2464.3000000000002</v>
      </c>
      <c r="AE31">
        <f>ROUND(((EU31*5)),6)</f>
        <v>1948.1</v>
      </c>
      <c r="AF31">
        <f>ROUND(((EV31*5)),6)</f>
        <v>3013.2</v>
      </c>
      <c r="AG31">
        <f t="shared" si="34"/>
        <v>0</v>
      </c>
      <c r="AH31">
        <f>((EW31*5))</f>
        <v>13.25</v>
      </c>
      <c r="AI31">
        <f>((EX31*5))</f>
        <v>0</v>
      </c>
      <c r="AJ31">
        <f t="shared" si="36"/>
        <v>0</v>
      </c>
      <c r="AK31">
        <v>20063.12</v>
      </c>
      <c r="AL31">
        <v>18967.62</v>
      </c>
      <c r="AM31">
        <v>492.86</v>
      </c>
      <c r="AN31">
        <v>389.62</v>
      </c>
      <c r="AO31">
        <v>602.64</v>
      </c>
      <c r="AP31">
        <v>0</v>
      </c>
      <c r="AQ31">
        <v>2.65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35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7"/>
        <v>354214.38</v>
      </c>
      <c r="CQ31">
        <f t="shared" si="38"/>
        <v>94838.1</v>
      </c>
      <c r="CR31">
        <f>(((((ET31*5))*BB31-((EU31*5))*BS31)+AE31*BS31)*AV31)</f>
        <v>2464.3000000000002</v>
      </c>
      <c r="CS31">
        <f t="shared" si="39"/>
        <v>1948.1</v>
      </c>
      <c r="CT31">
        <f t="shared" si="40"/>
        <v>3013.2</v>
      </c>
      <c r="CU31">
        <f t="shared" si="41"/>
        <v>0</v>
      </c>
      <c r="CV31">
        <f t="shared" si="42"/>
        <v>13.25</v>
      </c>
      <c r="CW31">
        <f t="shared" si="43"/>
        <v>0</v>
      </c>
      <c r="CX31">
        <f t="shared" si="44"/>
        <v>0</v>
      </c>
      <c r="CY31">
        <f t="shared" si="45"/>
        <v>7447.7270000000008</v>
      </c>
      <c r="CZ31">
        <f t="shared" si="46"/>
        <v>1063.961</v>
      </c>
      <c r="DC31" t="s">
        <v>3</v>
      </c>
      <c r="DD31" t="s">
        <v>36</v>
      </c>
      <c r="DE31" t="s">
        <v>36</v>
      </c>
      <c r="DF31" t="s">
        <v>36</v>
      </c>
      <c r="DG31" t="s">
        <v>36</v>
      </c>
      <c r="DH31" t="s">
        <v>3</v>
      </c>
      <c r="DI31" t="s">
        <v>36</v>
      </c>
      <c r="DJ31" t="s">
        <v>36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18</v>
      </c>
      <c r="DW31" t="s">
        <v>18</v>
      </c>
      <c r="DX31">
        <v>100</v>
      </c>
      <c r="EE31">
        <v>15435499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0</v>
      </c>
      <c r="ER31">
        <v>20063.12</v>
      </c>
      <c r="ES31">
        <v>18967.62</v>
      </c>
      <c r="ET31">
        <v>492.86</v>
      </c>
      <c r="EU31">
        <v>389.62</v>
      </c>
      <c r="EV31">
        <v>602.64</v>
      </c>
      <c r="EW31">
        <v>2.65</v>
      </c>
      <c r="EX31">
        <v>0</v>
      </c>
      <c r="EY31">
        <v>0</v>
      </c>
      <c r="FQ31">
        <v>0</v>
      </c>
      <c r="FR31">
        <f t="shared" si="47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181524343</v>
      </c>
      <c r="GG31">
        <v>2</v>
      </c>
      <c r="GH31">
        <v>1</v>
      </c>
      <c r="GI31">
        <v>-2</v>
      </c>
      <c r="GJ31">
        <v>0</v>
      </c>
      <c r="GK31">
        <f>ROUND(R31*(R12)/100,2)</f>
        <v>7429.04</v>
      </c>
      <c r="GL31">
        <f t="shared" si="48"/>
        <v>0</v>
      </c>
      <c r="GM31">
        <f t="shared" si="49"/>
        <v>370155.11</v>
      </c>
      <c r="GN31">
        <f t="shared" si="50"/>
        <v>0</v>
      </c>
      <c r="GO31">
        <f t="shared" si="51"/>
        <v>0</v>
      </c>
      <c r="GP31">
        <f t="shared" si="52"/>
        <v>370155.11</v>
      </c>
      <c r="GR31">
        <v>0</v>
      </c>
      <c r="GS31">
        <v>3</v>
      </c>
      <c r="GT31">
        <v>0</v>
      </c>
      <c r="GU31" t="s">
        <v>3</v>
      </c>
      <c r="GV31">
        <f t="shared" si="53"/>
        <v>0</v>
      </c>
      <c r="GW31">
        <v>1</v>
      </c>
      <c r="GX31">
        <f t="shared" si="54"/>
        <v>0</v>
      </c>
      <c r="HA31">
        <v>0</v>
      </c>
      <c r="HB31">
        <v>0</v>
      </c>
      <c r="HC31">
        <f t="shared" si="55"/>
        <v>0</v>
      </c>
      <c r="IK31">
        <v>0</v>
      </c>
    </row>
    <row r="32" spans="1:245" x14ac:dyDescent="0.2">
      <c r="A32">
        <v>18</v>
      </c>
      <c r="B32">
        <v>1</v>
      </c>
      <c r="C32">
        <v>15</v>
      </c>
      <c r="E32" t="s">
        <v>37</v>
      </c>
      <c r="F32" t="s">
        <v>38</v>
      </c>
      <c r="G32" t="s">
        <v>39</v>
      </c>
      <c r="H32" t="s">
        <v>40</v>
      </c>
      <c r="I32">
        <f>I31*J32</f>
        <v>-2595.2850000000003</v>
      </c>
      <c r="J32">
        <v>-735.00000000000011</v>
      </c>
      <c r="O32">
        <f t="shared" si="21"/>
        <v>-46118.21</v>
      </c>
      <c r="P32">
        <f t="shared" si="22"/>
        <v>-46118.21</v>
      </c>
      <c r="Q32">
        <f t="shared" si="23"/>
        <v>0</v>
      </c>
      <c r="R32">
        <f t="shared" si="2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15805332</v>
      </c>
      <c r="AB32">
        <f t="shared" si="32"/>
        <v>17.77</v>
      </c>
      <c r="AC32">
        <f t="shared" ref="AC32:AC37" si="56">ROUND((ES32),6)</f>
        <v>17.77</v>
      </c>
      <c r="AD32">
        <f t="shared" ref="AD32:AD37" si="57">ROUND((((ET32)-(EU32))+AE32),6)</f>
        <v>0</v>
      </c>
      <c r="AE32">
        <f t="shared" ref="AE32:AF37" si="58">ROUND((EU32),6)</f>
        <v>0</v>
      </c>
      <c r="AF32">
        <f t="shared" si="58"/>
        <v>0</v>
      </c>
      <c r="AG32">
        <f t="shared" si="34"/>
        <v>0</v>
      </c>
      <c r="AH32">
        <f t="shared" ref="AH32:AI37" si="59">(EW32)</f>
        <v>0</v>
      </c>
      <c r="AI32">
        <f t="shared" si="59"/>
        <v>0</v>
      </c>
      <c r="AJ32">
        <f t="shared" si="36"/>
        <v>0</v>
      </c>
      <c r="AK32">
        <v>17.77</v>
      </c>
      <c r="AL32">
        <v>17.77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3</v>
      </c>
      <c r="BI32">
        <v>4</v>
      </c>
      <c r="BJ32" t="s">
        <v>41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7"/>
        <v>-46118.21</v>
      </c>
      <c r="CQ32">
        <f t="shared" si="38"/>
        <v>17.77</v>
      </c>
      <c r="CR32">
        <f t="shared" ref="CR32:CR37" si="60">((((ET32)*BB32-(EU32)*BS32)+AE32*BS32)*AV32)</f>
        <v>0</v>
      </c>
      <c r="CS32">
        <f t="shared" si="39"/>
        <v>0</v>
      </c>
      <c r="CT32">
        <f t="shared" si="40"/>
        <v>0</v>
      </c>
      <c r="CU32">
        <f t="shared" si="41"/>
        <v>0</v>
      </c>
      <c r="CV32">
        <f t="shared" si="42"/>
        <v>0</v>
      </c>
      <c r="CW32">
        <f t="shared" si="43"/>
        <v>0</v>
      </c>
      <c r="CX32">
        <f t="shared" si="44"/>
        <v>0</v>
      </c>
      <c r="CY32">
        <f t="shared" si="45"/>
        <v>0</v>
      </c>
      <c r="CZ32">
        <f t="shared" si="46"/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1009</v>
      </c>
      <c r="DV32" t="s">
        <v>40</v>
      </c>
      <c r="DW32" t="s">
        <v>40</v>
      </c>
      <c r="DX32">
        <v>1</v>
      </c>
      <c r="EE32">
        <v>15435499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0</v>
      </c>
      <c r="EL32" t="s">
        <v>21</v>
      </c>
      <c r="EM32" t="s">
        <v>22</v>
      </c>
      <c r="EO32" t="s">
        <v>3</v>
      </c>
      <c r="EQ32">
        <v>0</v>
      </c>
      <c r="ER32">
        <v>17.77</v>
      </c>
      <c r="ES32">
        <v>17.77</v>
      </c>
      <c r="ET32">
        <v>0</v>
      </c>
      <c r="EU32">
        <v>0</v>
      </c>
      <c r="EV32">
        <v>0</v>
      </c>
      <c r="EW32">
        <v>0</v>
      </c>
      <c r="EX32">
        <v>0</v>
      </c>
      <c r="FQ32">
        <v>0</v>
      </c>
      <c r="FR32">
        <f t="shared" si="47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-78256104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48"/>
        <v>0</v>
      </c>
      <c r="GM32">
        <f t="shared" si="49"/>
        <v>-46118.21</v>
      </c>
      <c r="GN32">
        <f t="shared" si="50"/>
        <v>0</v>
      </c>
      <c r="GO32">
        <f t="shared" si="51"/>
        <v>0</v>
      </c>
      <c r="GP32">
        <f t="shared" si="52"/>
        <v>-46118.21</v>
      </c>
      <c r="GR32">
        <v>0</v>
      </c>
      <c r="GS32">
        <v>3</v>
      </c>
      <c r="GT32">
        <v>0</v>
      </c>
      <c r="GU32" t="s">
        <v>3</v>
      </c>
      <c r="GV32">
        <f t="shared" si="53"/>
        <v>0</v>
      </c>
      <c r="GW32">
        <v>1</v>
      </c>
      <c r="GX32">
        <f t="shared" si="54"/>
        <v>0</v>
      </c>
      <c r="HA32">
        <v>0</v>
      </c>
      <c r="HB32">
        <v>0</v>
      </c>
      <c r="HC32">
        <f t="shared" si="55"/>
        <v>0</v>
      </c>
      <c r="IK32">
        <v>0</v>
      </c>
    </row>
    <row r="33" spans="1:245" x14ac:dyDescent="0.2">
      <c r="A33">
        <v>18</v>
      </c>
      <c r="B33">
        <v>1</v>
      </c>
      <c r="C33">
        <v>16</v>
      </c>
      <c r="E33" t="s">
        <v>42</v>
      </c>
      <c r="F33" t="s">
        <v>43</v>
      </c>
      <c r="G33" t="s">
        <v>44</v>
      </c>
      <c r="H33" t="s">
        <v>40</v>
      </c>
      <c r="I33">
        <f>I31*J33</f>
        <v>2595.2849999999999</v>
      </c>
      <c r="J33">
        <v>734.99999999999989</v>
      </c>
      <c r="O33">
        <f t="shared" si="21"/>
        <v>245825.4</v>
      </c>
      <c r="P33">
        <f t="shared" si="22"/>
        <v>245825.4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15805332</v>
      </c>
      <c r="AB33">
        <f t="shared" si="32"/>
        <v>94.72</v>
      </c>
      <c r="AC33">
        <f t="shared" si="56"/>
        <v>94.72</v>
      </c>
      <c r="AD33">
        <f t="shared" si="57"/>
        <v>0</v>
      </c>
      <c r="AE33">
        <f t="shared" si="58"/>
        <v>0</v>
      </c>
      <c r="AF33">
        <f t="shared" si="58"/>
        <v>0</v>
      </c>
      <c r="AG33">
        <f t="shared" si="34"/>
        <v>0</v>
      </c>
      <c r="AH33">
        <f t="shared" si="59"/>
        <v>0</v>
      </c>
      <c r="AI33">
        <f t="shared" si="59"/>
        <v>0</v>
      </c>
      <c r="AJ33">
        <f t="shared" si="36"/>
        <v>0</v>
      </c>
      <c r="AK33">
        <v>94.72</v>
      </c>
      <c r="AL33">
        <v>94.72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3</v>
      </c>
      <c r="BI33">
        <v>4</v>
      </c>
      <c r="BJ33" t="s">
        <v>45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7"/>
        <v>245825.4</v>
      </c>
      <c r="CQ33">
        <f t="shared" si="38"/>
        <v>94.72</v>
      </c>
      <c r="CR33">
        <f t="shared" si="60"/>
        <v>0</v>
      </c>
      <c r="CS33">
        <f t="shared" si="39"/>
        <v>0</v>
      </c>
      <c r="CT33">
        <f t="shared" si="40"/>
        <v>0</v>
      </c>
      <c r="CU33">
        <f t="shared" si="41"/>
        <v>0</v>
      </c>
      <c r="CV33">
        <f t="shared" si="42"/>
        <v>0</v>
      </c>
      <c r="CW33">
        <f t="shared" si="43"/>
        <v>0</v>
      </c>
      <c r="CX33">
        <f t="shared" si="44"/>
        <v>0</v>
      </c>
      <c r="CY33">
        <f t="shared" si="45"/>
        <v>0</v>
      </c>
      <c r="CZ33">
        <f t="shared" si="46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40</v>
      </c>
      <c r="DW33" t="s">
        <v>40</v>
      </c>
      <c r="DX33">
        <v>1</v>
      </c>
      <c r="EE33">
        <v>15435499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0</v>
      </c>
      <c r="EL33" t="s">
        <v>21</v>
      </c>
      <c r="EM33" t="s">
        <v>22</v>
      </c>
      <c r="EO33" t="s">
        <v>3</v>
      </c>
      <c r="EQ33">
        <v>0</v>
      </c>
      <c r="ER33">
        <v>94.72</v>
      </c>
      <c r="ES33">
        <v>94.72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47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-229590560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48"/>
        <v>0</v>
      </c>
      <c r="GM33">
        <f t="shared" si="49"/>
        <v>245825.4</v>
      </c>
      <c r="GN33">
        <f t="shared" si="50"/>
        <v>0</v>
      </c>
      <c r="GO33">
        <f t="shared" si="51"/>
        <v>0</v>
      </c>
      <c r="GP33">
        <f t="shared" si="52"/>
        <v>245825.4</v>
      </c>
      <c r="GR33">
        <v>0</v>
      </c>
      <c r="GS33">
        <v>3</v>
      </c>
      <c r="GT33">
        <v>0</v>
      </c>
      <c r="GU33" t="s">
        <v>3</v>
      </c>
      <c r="GV33">
        <f t="shared" si="53"/>
        <v>0</v>
      </c>
      <c r="GW33">
        <v>1</v>
      </c>
      <c r="GX33">
        <f t="shared" si="54"/>
        <v>0</v>
      </c>
      <c r="HA33">
        <v>0</v>
      </c>
      <c r="HB33">
        <v>0</v>
      </c>
      <c r="HC33">
        <f t="shared" si="55"/>
        <v>0</v>
      </c>
      <c r="IK33">
        <v>0</v>
      </c>
    </row>
    <row r="34" spans="1:245" x14ac:dyDescent="0.2">
      <c r="A34">
        <v>17</v>
      </c>
      <c r="B34">
        <v>1</v>
      </c>
      <c r="C34">
        <f>ROW(SmtRes!A19)</f>
        <v>19</v>
      </c>
      <c r="D34">
        <f>ROW(EtalonRes!A18)</f>
        <v>18</v>
      </c>
      <c r="E34" t="s">
        <v>46</v>
      </c>
      <c r="F34" t="s">
        <v>47</v>
      </c>
      <c r="G34" t="s">
        <v>48</v>
      </c>
      <c r="H34" t="s">
        <v>30</v>
      </c>
      <c r="I34">
        <f>ROUND(I38*0.9,9)</f>
        <v>6.1064999999999996</v>
      </c>
      <c r="J34">
        <v>0</v>
      </c>
      <c r="O34">
        <f t="shared" si="21"/>
        <v>490.05</v>
      </c>
      <c r="P34">
        <f t="shared" si="22"/>
        <v>0</v>
      </c>
      <c r="Q34">
        <f t="shared" si="23"/>
        <v>490.05</v>
      </c>
      <c r="R34">
        <f t="shared" si="24"/>
        <v>157.79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0</v>
      </c>
      <c r="W34">
        <f t="shared" si="29"/>
        <v>0</v>
      </c>
      <c r="X34">
        <f t="shared" si="30"/>
        <v>0</v>
      </c>
      <c r="Y34">
        <f t="shared" si="31"/>
        <v>0</v>
      </c>
      <c r="AA34">
        <v>15805332</v>
      </c>
      <c r="AB34">
        <f t="shared" si="32"/>
        <v>80.25</v>
      </c>
      <c r="AC34">
        <f t="shared" si="56"/>
        <v>0</v>
      </c>
      <c r="AD34">
        <f t="shared" si="57"/>
        <v>80.25</v>
      </c>
      <c r="AE34">
        <f t="shared" si="58"/>
        <v>25.84</v>
      </c>
      <c r="AF34">
        <f t="shared" si="58"/>
        <v>0</v>
      </c>
      <c r="AG34">
        <f t="shared" si="34"/>
        <v>0</v>
      </c>
      <c r="AH34">
        <f t="shared" si="59"/>
        <v>0</v>
      </c>
      <c r="AI34">
        <f t="shared" si="59"/>
        <v>0</v>
      </c>
      <c r="AJ34">
        <f t="shared" si="36"/>
        <v>0</v>
      </c>
      <c r="AK34">
        <v>80.25</v>
      </c>
      <c r="AL34">
        <v>0</v>
      </c>
      <c r="AM34">
        <v>80.25</v>
      </c>
      <c r="AN34">
        <v>25.84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49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7"/>
        <v>490.05</v>
      </c>
      <c r="CQ34">
        <f t="shared" si="38"/>
        <v>0</v>
      </c>
      <c r="CR34">
        <f t="shared" si="60"/>
        <v>80.25</v>
      </c>
      <c r="CS34">
        <f t="shared" si="39"/>
        <v>25.84</v>
      </c>
      <c r="CT34">
        <f t="shared" si="40"/>
        <v>0</v>
      </c>
      <c r="CU34">
        <f t="shared" si="41"/>
        <v>0</v>
      </c>
      <c r="CV34">
        <f t="shared" si="42"/>
        <v>0</v>
      </c>
      <c r="CW34">
        <f t="shared" si="43"/>
        <v>0</v>
      </c>
      <c r="CX34">
        <f t="shared" si="44"/>
        <v>0</v>
      </c>
      <c r="CY34">
        <f t="shared" si="45"/>
        <v>0</v>
      </c>
      <c r="CZ34">
        <f t="shared" si="46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30</v>
      </c>
      <c r="DW34" t="s">
        <v>30</v>
      </c>
      <c r="DX34">
        <v>1000</v>
      </c>
      <c r="EE34">
        <v>15435499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0</v>
      </c>
      <c r="ER34">
        <v>80.25</v>
      </c>
      <c r="ES34">
        <v>0</v>
      </c>
      <c r="ET34">
        <v>80.25</v>
      </c>
      <c r="EU34">
        <v>25.84</v>
      </c>
      <c r="EV34">
        <v>0</v>
      </c>
      <c r="EW34">
        <v>0</v>
      </c>
      <c r="EX34">
        <v>0</v>
      </c>
      <c r="EY34">
        <v>0</v>
      </c>
      <c r="FQ34">
        <v>0</v>
      </c>
      <c r="FR34">
        <f t="shared" si="47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-706956719</v>
      </c>
      <c r="GG34">
        <v>2</v>
      </c>
      <c r="GH34">
        <v>1</v>
      </c>
      <c r="GI34">
        <v>-2</v>
      </c>
      <c r="GJ34">
        <v>0</v>
      </c>
      <c r="GK34">
        <f>ROUND(R34*(R12)/100,2)</f>
        <v>170.41</v>
      </c>
      <c r="GL34">
        <f t="shared" si="48"/>
        <v>0</v>
      </c>
      <c r="GM34">
        <f t="shared" si="49"/>
        <v>660.46</v>
      </c>
      <c r="GN34">
        <f t="shared" si="50"/>
        <v>0</v>
      </c>
      <c r="GO34">
        <f t="shared" si="51"/>
        <v>0</v>
      </c>
      <c r="GP34">
        <f t="shared" si="52"/>
        <v>660.46</v>
      </c>
      <c r="GR34">
        <v>0</v>
      </c>
      <c r="GS34">
        <v>3</v>
      </c>
      <c r="GT34">
        <v>0</v>
      </c>
      <c r="GU34" t="s">
        <v>3</v>
      </c>
      <c r="GV34">
        <f t="shared" si="53"/>
        <v>0</v>
      </c>
      <c r="GW34">
        <v>1</v>
      </c>
      <c r="GX34">
        <f t="shared" si="54"/>
        <v>0</v>
      </c>
      <c r="HA34">
        <v>0</v>
      </c>
      <c r="HB34">
        <v>0</v>
      </c>
      <c r="HC34">
        <f t="shared" si="55"/>
        <v>0</v>
      </c>
      <c r="IK34">
        <v>0</v>
      </c>
    </row>
    <row r="35" spans="1:245" x14ac:dyDescent="0.2">
      <c r="A35">
        <v>17</v>
      </c>
      <c r="B35">
        <v>1</v>
      </c>
      <c r="C35">
        <f>ROW(SmtRes!A20)</f>
        <v>20</v>
      </c>
      <c r="D35">
        <f>ROW(EtalonRes!A19)</f>
        <v>19</v>
      </c>
      <c r="E35" t="s">
        <v>50</v>
      </c>
      <c r="F35" t="s">
        <v>51</v>
      </c>
      <c r="G35" t="s">
        <v>52</v>
      </c>
      <c r="H35" t="s">
        <v>30</v>
      </c>
      <c r="I35">
        <f>ROUND(I38*0.1,9)</f>
        <v>0.67849999999999999</v>
      </c>
      <c r="J35">
        <v>0</v>
      </c>
      <c r="O35">
        <f t="shared" si="21"/>
        <v>84.74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84.74</v>
      </c>
      <c r="T35">
        <f t="shared" si="26"/>
        <v>0</v>
      </c>
      <c r="U35">
        <f t="shared" si="27"/>
        <v>0.69206999999999996</v>
      </c>
      <c r="V35">
        <f t="shared" si="28"/>
        <v>0</v>
      </c>
      <c r="W35">
        <f t="shared" si="29"/>
        <v>0</v>
      </c>
      <c r="X35">
        <f t="shared" si="30"/>
        <v>59.32</v>
      </c>
      <c r="Y35">
        <f t="shared" si="31"/>
        <v>8.4700000000000006</v>
      </c>
      <c r="AA35">
        <v>15805332</v>
      </c>
      <c r="AB35">
        <f t="shared" si="32"/>
        <v>124.9</v>
      </c>
      <c r="AC35">
        <f t="shared" si="56"/>
        <v>0</v>
      </c>
      <c r="AD35">
        <f t="shared" si="57"/>
        <v>0</v>
      </c>
      <c r="AE35">
        <f t="shared" si="58"/>
        <v>0</v>
      </c>
      <c r="AF35">
        <f t="shared" si="58"/>
        <v>124.9</v>
      </c>
      <c r="AG35">
        <f t="shared" si="34"/>
        <v>0</v>
      </c>
      <c r="AH35">
        <f t="shared" si="59"/>
        <v>1.02</v>
      </c>
      <c r="AI35">
        <f t="shared" si="59"/>
        <v>0</v>
      </c>
      <c r="AJ35">
        <f t="shared" si="36"/>
        <v>0</v>
      </c>
      <c r="AK35">
        <v>124.9</v>
      </c>
      <c r="AL35">
        <v>0</v>
      </c>
      <c r="AM35">
        <v>0</v>
      </c>
      <c r="AN35">
        <v>0</v>
      </c>
      <c r="AO35">
        <v>124.9</v>
      </c>
      <c r="AP35">
        <v>0</v>
      </c>
      <c r="AQ35">
        <v>1.02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53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7"/>
        <v>84.74</v>
      </c>
      <c r="CQ35">
        <f t="shared" si="38"/>
        <v>0</v>
      </c>
      <c r="CR35">
        <f t="shared" si="60"/>
        <v>0</v>
      </c>
      <c r="CS35">
        <f t="shared" si="39"/>
        <v>0</v>
      </c>
      <c r="CT35">
        <f t="shared" si="40"/>
        <v>124.9</v>
      </c>
      <c r="CU35">
        <f t="shared" si="41"/>
        <v>0</v>
      </c>
      <c r="CV35">
        <f t="shared" si="42"/>
        <v>1.02</v>
      </c>
      <c r="CW35">
        <f t="shared" si="43"/>
        <v>0</v>
      </c>
      <c r="CX35">
        <f t="shared" si="44"/>
        <v>0</v>
      </c>
      <c r="CY35">
        <f t="shared" si="45"/>
        <v>59.317999999999991</v>
      </c>
      <c r="CZ35">
        <f t="shared" si="46"/>
        <v>8.4740000000000002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30</v>
      </c>
      <c r="DW35" t="s">
        <v>30</v>
      </c>
      <c r="DX35">
        <v>1000</v>
      </c>
      <c r="EE35">
        <v>15435499</v>
      </c>
      <c r="EF35">
        <v>1</v>
      </c>
      <c r="EG35" t="s">
        <v>20</v>
      </c>
      <c r="EH35">
        <v>0</v>
      </c>
      <c r="EI35" t="s">
        <v>3</v>
      </c>
      <c r="EJ35">
        <v>4</v>
      </c>
      <c r="EK35">
        <v>0</v>
      </c>
      <c r="EL35" t="s">
        <v>21</v>
      </c>
      <c r="EM35" t="s">
        <v>22</v>
      </c>
      <c r="EO35" t="s">
        <v>3</v>
      </c>
      <c r="EQ35">
        <v>0</v>
      </c>
      <c r="ER35">
        <v>124.9</v>
      </c>
      <c r="ES35">
        <v>0</v>
      </c>
      <c r="ET35">
        <v>0</v>
      </c>
      <c r="EU35">
        <v>0</v>
      </c>
      <c r="EV35">
        <v>124.9</v>
      </c>
      <c r="EW35">
        <v>1.02</v>
      </c>
      <c r="EX35">
        <v>0</v>
      </c>
      <c r="EY35">
        <v>0</v>
      </c>
      <c r="FQ35">
        <v>0</v>
      </c>
      <c r="FR35">
        <f t="shared" si="4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44828971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48"/>
        <v>0</v>
      </c>
      <c r="GM35">
        <f t="shared" si="49"/>
        <v>152.53</v>
      </c>
      <c r="GN35">
        <f t="shared" si="50"/>
        <v>0</v>
      </c>
      <c r="GO35">
        <f t="shared" si="51"/>
        <v>0</v>
      </c>
      <c r="GP35">
        <f t="shared" si="52"/>
        <v>152.53</v>
      </c>
      <c r="GR35">
        <v>0</v>
      </c>
      <c r="GS35">
        <v>3</v>
      </c>
      <c r="GT35">
        <v>0</v>
      </c>
      <c r="GU35" t="s">
        <v>3</v>
      </c>
      <c r="GV35">
        <f t="shared" si="53"/>
        <v>0</v>
      </c>
      <c r="GW35">
        <v>1</v>
      </c>
      <c r="GX35">
        <f t="shared" si="54"/>
        <v>0</v>
      </c>
      <c r="HA35">
        <v>0</v>
      </c>
      <c r="HB35">
        <v>0</v>
      </c>
      <c r="HC35">
        <f t="shared" si="55"/>
        <v>0</v>
      </c>
      <c r="IK35">
        <v>0</v>
      </c>
    </row>
    <row r="36" spans="1:245" x14ac:dyDescent="0.2">
      <c r="A36">
        <v>17</v>
      </c>
      <c r="B36">
        <v>1</v>
      </c>
      <c r="C36">
        <f>ROW(SmtRes!A22)</f>
        <v>22</v>
      </c>
      <c r="D36">
        <f>ROW(EtalonRes!A21)</f>
        <v>21</v>
      </c>
      <c r="E36" t="s">
        <v>54</v>
      </c>
      <c r="F36" t="s">
        <v>55</v>
      </c>
      <c r="G36" t="s">
        <v>56</v>
      </c>
      <c r="H36" t="s">
        <v>30</v>
      </c>
      <c r="I36">
        <f>ROUND(I38*0.1,9)</f>
        <v>0.67849999999999999</v>
      </c>
      <c r="J36">
        <v>0</v>
      </c>
      <c r="O36">
        <f t="shared" si="21"/>
        <v>112.57</v>
      </c>
      <c r="P36">
        <f t="shared" si="22"/>
        <v>0</v>
      </c>
      <c r="Q36">
        <f t="shared" si="23"/>
        <v>112.57</v>
      </c>
      <c r="R36">
        <f t="shared" si="24"/>
        <v>61.19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15805332</v>
      </c>
      <c r="AB36">
        <f t="shared" si="32"/>
        <v>165.91</v>
      </c>
      <c r="AC36">
        <f t="shared" si="56"/>
        <v>0</v>
      </c>
      <c r="AD36">
        <f t="shared" si="57"/>
        <v>165.91</v>
      </c>
      <c r="AE36">
        <f t="shared" si="58"/>
        <v>90.18</v>
      </c>
      <c r="AF36">
        <f t="shared" si="58"/>
        <v>0</v>
      </c>
      <c r="AG36">
        <f t="shared" si="34"/>
        <v>0</v>
      </c>
      <c r="AH36">
        <f t="shared" si="59"/>
        <v>0</v>
      </c>
      <c r="AI36">
        <f t="shared" si="59"/>
        <v>0</v>
      </c>
      <c r="AJ36">
        <f t="shared" si="36"/>
        <v>0</v>
      </c>
      <c r="AK36">
        <v>165.91</v>
      </c>
      <c r="AL36">
        <v>0</v>
      </c>
      <c r="AM36">
        <v>165.91</v>
      </c>
      <c r="AN36">
        <v>90.18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57</v>
      </c>
      <c r="BM36">
        <v>1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7"/>
        <v>112.57</v>
      </c>
      <c r="CQ36">
        <f t="shared" si="38"/>
        <v>0</v>
      </c>
      <c r="CR36">
        <f t="shared" si="60"/>
        <v>165.91</v>
      </c>
      <c r="CS36">
        <f t="shared" si="39"/>
        <v>90.18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30</v>
      </c>
      <c r="DW36" t="s">
        <v>30</v>
      </c>
      <c r="DX36">
        <v>1000</v>
      </c>
      <c r="EE36">
        <v>15435501</v>
      </c>
      <c r="EF36">
        <v>1</v>
      </c>
      <c r="EG36" t="s">
        <v>20</v>
      </c>
      <c r="EH36">
        <v>0</v>
      </c>
      <c r="EI36" t="s">
        <v>3</v>
      </c>
      <c r="EJ36">
        <v>4</v>
      </c>
      <c r="EK36">
        <v>1</v>
      </c>
      <c r="EL36" t="s">
        <v>58</v>
      </c>
      <c r="EM36" t="s">
        <v>22</v>
      </c>
      <c r="EO36" t="s">
        <v>3</v>
      </c>
      <c r="EQ36">
        <v>0</v>
      </c>
      <c r="ER36">
        <v>165.91</v>
      </c>
      <c r="ES36">
        <v>0</v>
      </c>
      <c r="ET36">
        <v>165.91</v>
      </c>
      <c r="EU36">
        <v>90.18</v>
      </c>
      <c r="EV36">
        <v>0</v>
      </c>
      <c r="EW36">
        <v>0</v>
      </c>
      <c r="EX36">
        <v>0</v>
      </c>
      <c r="EY36">
        <v>0</v>
      </c>
      <c r="FQ36">
        <v>0</v>
      </c>
      <c r="FR36">
        <f t="shared" si="47"/>
        <v>0</v>
      </c>
      <c r="FS36">
        <v>0</v>
      </c>
      <c r="FX36">
        <v>0</v>
      </c>
      <c r="FY36">
        <v>0</v>
      </c>
      <c r="GA36" t="s">
        <v>3</v>
      </c>
      <c r="GD36">
        <v>1</v>
      </c>
      <c r="GF36">
        <v>1912105629</v>
      </c>
      <c r="GG36">
        <v>2</v>
      </c>
      <c r="GH36">
        <v>1</v>
      </c>
      <c r="GI36">
        <v>-2</v>
      </c>
      <c r="GJ36">
        <v>0</v>
      </c>
      <c r="GK36">
        <v>0</v>
      </c>
      <c r="GL36">
        <f t="shared" si="48"/>
        <v>0</v>
      </c>
      <c r="GM36">
        <f>ROUND(O36+X36+Y36,2)+GX36</f>
        <v>112.57</v>
      </c>
      <c r="GN36">
        <f>IF(OR(BI36=0,BI36=1),ROUND(O36+X36+Y36,2),0)</f>
        <v>0</v>
      </c>
      <c r="GO36">
        <f>IF(BI36=2,ROUND(O36+X36+Y36,2),0)</f>
        <v>0</v>
      </c>
      <c r="GP36">
        <f>IF(BI36=4,ROUND(O36+X36+Y36,2)+GX36,0)</f>
        <v>112.57</v>
      </c>
      <c r="GR36">
        <v>0</v>
      </c>
      <c r="GS36">
        <v>3</v>
      </c>
      <c r="GT36">
        <v>0</v>
      </c>
      <c r="GU36" t="s">
        <v>3</v>
      </c>
      <c r="GV36">
        <f t="shared" si="53"/>
        <v>0</v>
      </c>
      <c r="GW36">
        <v>1</v>
      </c>
      <c r="GX36">
        <f t="shared" si="54"/>
        <v>0</v>
      </c>
      <c r="HA36">
        <v>0</v>
      </c>
      <c r="HB36">
        <v>0</v>
      </c>
      <c r="HC36">
        <f t="shared" si="55"/>
        <v>0</v>
      </c>
      <c r="IK36">
        <v>0</v>
      </c>
    </row>
    <row r="37" spans="1:245" x14ac:dyDescent="0.2">
      <c r="A37">
        <v>17</v>
      </c>
      <c r="B37">
        <v>1</v>
      </c>
      <c r="C37">
        <f>ROW(SmtRes!A24)</f>
        <v>24</v>
      </c>
      <c r="D37">
        <f>ROW(EtalonRes!A23)</f>
        <v>23</v>
      </c>
      <c r="E37" t="s">
        <v>59</v>
      </c>
      <c r="F37" t="s">
        <v>60</v>
      </c>
      <c r="G37" t="s">
        <v>61</v>
      </c>
      <c r="H37" t="s">
        <v>30</v>
      </c>
      <c r="I37">
        <f>ROUND(I38*0.9,9)</f>
        <v>6.1064999999999996</v>
      </c>
      <c r="J37">
        <v>0</v>
      </c>
      <c r="O37">
        <f t="shared" si="21"/>
        <v>353.14</v>
      </c>
      <c r="P37">
        <f t="shared" si="22"/>
        <v>0</v>
      </c>
      <c r="Q37">
        <f t="shared" si="23"/>
        <v>353.14</v>
      </c>
      <c r="R37">
        <f t="shared" si="24"/>
        <v>191.99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15805332</v>
      </c>
      <c r="AB37">
        <f t="shared" si="32"/>
        <v>57.83</v>
      </c>
      <c r="AC37">
        <f t="shared" si="56"/>
        <v>0</v>
      </c>
      <c r="AD37">
        <f t="shared" si="57"/>
        <v>57.83</v>
      </c>
      <c r="AE37">
        <f t="shared" si="58"/>
        <v>31.44</v>
      </c>
      <c r="AF37">
        <f t="shared" si="58"/>
        <v>0</v>
      </c>
      <c r="AG37">
        <f t="shared" si="34"/>
        <v>0</v>
      </c>
      <c r="AH37">
        <f t="shared" si="59"/>
        <v>0</v>
      </c>
      <c r="AI37">
        <f t="shared" si="59"/>
        <v>0</v>
      </c>
      <c r="AJ37">
        <f t="shared" si="36"/>
        <v>0</v>
      </c>
      <c r="AK37">
        <v>57.83</v>
      </c>
      <c r="AL37">
        <v>0</v>
      </c>
      <c r="AM37">
        <v>57.83</v>
      </c>
      <c r="AN37">
        <v>31.44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62</v>
      </c>
      <c r="BM37">
        <v>1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0</v>
      </c>
      <c r="CA37">
        <v>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7"/>
        <v>353.14</v>
      </c>
      <c r="CQ37">
        <f t="shared" si="38"/>
        <v>0</v>
      </c>
      <c r="CR37">
        <f t="shared" si="60"/>
        <v>57.83</v>
      </c>
      <c r="CS37">
        <f t="shared" si="39"/>
        <v>31.44</v>
      </c>
      <c r="CT37">
        <f t="shared" si="40"/>
        <v>0</v>
      </c>
      <c r="CU37">
        <f t="shared" si="41"/>
        <v>0</v>
      </c>
      <c r="CV37">
        <f t="shared" si="42"/>
        <v>0</v>
      </c>
      <c r="CW37">
        <f t="shared" si="43"/>
        <v>0</v>
      </c>
      <c r="CX37">
        <f t="shared" si="44"/>
        <v>0</v>
      </c>
      <c r="CY37">
        <f t="shared" si="45"/>
        <v>0</v>
      </c>
      <c r="CZ37">
        <f t="shared" si="46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30</v>
      </c>
      <c r="DW37" t="s">
        <v>30</v>
      </c>
      <c r="DX37">
        <v>1000</v>
      </c>
      <c r="EE37">
        <v>15435501</v>
      </c>
      <c r="EF37">
        <v>1</v>
      </c>
      <c r="EG37" t="s">
        <v>20</v>
      </c>
      <c r="EH37">
        <v>0</v>
      </c>
      <c r="EI37" t="s">
        <v>3</v>
      </c>
      <c r="EJ37">
        <v>4</v>
      </c>
      <c r="EK37">
        <v>1</v>
      </c>
      <c r="EL37" t="s">
        <v>58</v>
      </c>
      <c r="EM37" t="s">
        <v>22</v>
      </c>
      <c r="EO37" t="s">
        <v>3</v>
      </c>
      <c r="EQ37">
        <v>0</v>
      </c>
      <c r="ER37">
        <v>57.83</v>
      </c>
      <c r="ES37">
        <v>0</v>
      </c>
      <c r="ET37">
        <v>57.83</v>
      </c>
      <c r="EU37">
        <v>31.44</v>
      </c>
      <c r="EV37">
        <v>0</v>
      </c>
      <c r="EW37">
        <v>0</v>
      </c>
      <c r="EX37">
        <v>0</v>
      </c>
      <c r="EY37">
        <v>0</v>
      </c>
      <c r="FQ37">
        <v>0</v>
      </c>
      <c r="FR37">
        <f t="shared" si="47"/>
        <v>0</v>
      </c>
      <c r="FS37">
        <v>0</v>
      </c>
      <c r="FX37">
        <v>0</v>
      </c>
      <c r="FY37">
        <v>0</v>
      </c>
      <c r="GA37" t="s">
        <v>3</v>
      </c>
      <c r="GD37">
        <v>1</v>
      </c>
      <c r="GF37">
        <v>-1870736679</v>
      </c>
      <c r="GG37">
        <v>2</v>
      </c>
      <c r="GH37">
        <v>1</v>
      </c>
      <c r="GI37">
        <v>-2</v>
      </c>
      <c r="GJ37">
        <v>0</v>
      </c>
      <c r="GK37">
        <v>0</v>
      </c>
      <c r="GL37">
        <f t="shared" si="48"/>
        <v>0</v>
      </c>
      <c r="GM37">
        <f>ROUND(O37+X37+Y37,2)+GX37</f>
        <v>353.14</v>
      </c>
      <c r="GN37">
        <f>IF(OR(BI37=0,BI37=1),ROUND(O37+X37+Y37,2),0)</f>
        <v>0</v>
      </c>
      <c r="GO37">
        <f>IF(BI37=2,ROUND(O37+X37+Y37,2),0)</f>
        <v>0</v>
      </c>
      <c r="GP37">
        <f>IF(BI37=4,ROUND(O37+X37+Y37,2)+GX37,0)</f>
        <v>353.14</v>
      </c>
      <c r="GR37">
        <v>0</v>
      </c>
      <c r="GS37">
        <v>3</v>
      </c>
      <c r="GT37">
        <v>0</v>
      </c>
      <c r="GU37" t="s">
        <v>3</v>
      </c>
      <c r="GV37">
        <f t="shared" si="53"/>
        <v>0</v>
      </c>
      <c r="GW37">
        <v>1</v>
      </c>
      <c r="GX37">
        <f t="shared" si="54"/>
        <v>0</v>
      </c>
      <c r="HA37">
        <v>0</v>
      </c>
      <c r="HB37">
        <v>0</v>
      </c>
      <c r="HC37">
        <f t="shared" si="55"/>
        <v>0</v>
      </c>
      <c r="IK37">
        <v>0</v>
      </c>
    </row>
    <row r="38" spans="1:245" x14ac:dyDescent="0.2">
      <c r="A38">
        <v>17</v>
      </c>
      <c r="B38">
        <v>1</v>
      </c>
      <c r="C38">
        <f>ROW(SmtRes!A26)</f>
        <v>26</v>
      </c>
      <c r="D38">
        <f>ROW(EtalonRes!A25)</f>
        <v>25</v>
      </c>
      <c r="E38" t="s">
        <v>63</v>
      </c>
      <c r="F38" t="s">
        <v>64</v>
      </c>
      <c r="G38" t="s">
        <v>65</v>
      </c>
      <c r="H38" t="s">
        <v>30</v>
      </c>
      <c r="I38">
        <v>6.7850000000000001</v>
      </c>
      <c r="J38">
        <v>0</v>
      </c>
      <c r="O38">
        <f t="shared" si="21"/>
        <v>9106.2199999999993</v>
      </c>
      <c r="P38">
        <f t="shared" si="22"/>
        <v>0</v>
      </c>
      <c r="Q38">
        <f t="shared" si="23"/>
        <v>9106.2199999999993</v>
      </c>
      <c r="R38">
        <f t="shared" si="24"/>
        <v>4950.3999999999996</v>
      </c>
      <c r="S38">
        <f t="shared" si="25"/>
        <v>0</v>
      </c>
      <c r="T38">
        <f t="shared" si="26"/>
        <v>0</v>
      </c>
      <c r="U38">
        <f t="shared" si="27"/>
        <v>0</v>
      </c>
      <c r="V38">
        <f t="shared" si="28"/>
        <v>0</v>
      </c>
      <c r="W38">
        <f t="shared" si="29"/>
        <v>0</v>
      </c>
      <c r="X38">
        <f t="shared" si="30"/>
        <v>0</v>
      </c>
      <c r="Y38">
        <f t="shared" si="31"/>
        <v>0</v>
      </c>
      <c r="AA38">
        <v>15805332</v>
      </c>
      <c r="AB38">
        <f t="shared" si="32"/>
        <v>1342.11</v>
      </c>
      <c r="AC38">
        <f>ROUND(((ES38*49)),6)</f>
        <v>0</v>
      </c>
      <c r="AD38">
        <f>ROUND(((((ET38*49))-((EU38*49)))+AE38),6)</f>
        <v>1342.11</v>
      </c>
      <c r="AE38">
        <f>ROUND(((EU38*49)),6)</f>
        <v>729.61</v>
      </c>
      <c r="AF38">
        <f>ROUND(((EV38*49)),6)</f>
        <v>0</v>
      </c>
      <c r="AG38">
        <f t="shared" si="34"/>
        <v>0</v>
      </c>
      <c r="AH38">
        <f>((EW38*49))</f>
        <v>0</v>
      </c>
      <c r="AI38">
        <f>((EX38*49))</f>
        <v>0</v>
      </c>
      <c r="AJ38">
        <f t="shared" si="36"/>
        <v>0</v>
      </c>
      <c r="AK38">
        <v>27.39</v>
      </c>
      <c r="AL38">
        <v>0</v>
      </c>
      <c r="AM38">
        <v>27.39</v>
      </c>
      <c r="AN38">
        <v>14.89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66</v>
      </c>
      <c r="BM38">
        <v>1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0</v>
      </c>
      <c r="CA38">
        <v>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7"/>
        <v>9106.2199999999993</v>
      </c>
      <c r="CQ38">
        <f t="shared" si="38"/>
        <v>0</v>
      </c>
      <c r="CR38">
        <f>(((((ET38*49))*BB38-((EU38*49))*BS38)+AE38*BS38)*AV38)</f>
        <v>1342.1100000000001</v>
      </c>
      <c r="CS38">
        <f t="shared" si="39"/>
        <v>729.61</v>
      </c>
      <c r="CT38">
        <f t="shared" si="40"/>
        <v>0</v>
      </c>
      <c r="CU38">
        <f t="shared" si="41"/>
        <v>0</v>
      </c>
      <c r="CV38">
        <f t="shared" si="42"/>
        <v>0</v>
      </c>
      <c r="CW38">
        <f t="shared" si="43"/>
        <v>0</v>
      </c>
      <c r="CX38">
        <f t="shared" si="44"/>
        <v>0</v>
      </c>
      <c r="CY38">
        <f t="shared" si="45"/>
        <v>0</v>
      </c>
      <c r="CZ38">
        <f t="shared" si="46"/>
        <v>0</v>
      </c>
      <c r="DC38" t="s">
        <v>3</v>
      </c>
      <c r="DD38" t="s">
        <v>67</v>
      </c>
      <c r="DE38" t="s">
        <v>67</v>
      </c>
      <c r="DF38" t="s">
        <v>67</v>
      </c>
      <c r="DG38" t="s">
        <v>67</v>
      </c>
      <c r="DH38" t="s">
        <v>3</v>
      </c>
      <c r="DI38" t="s">
        <v>67</v>
      </c>
      <c r="DJ38" t="s">
        <v>67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30</v>
      </c>
      <c r="DW38" t="s">
        <v>30</v>
      </c>
      <c r="DX38">
        <v>1000</v>
      </c>
      <c r="EE38">
        <v>15435501</v>
      </c>
      <c r="EF38">
        <v>1</v>
      </c>
      <c r="EG38" t="s">
        <v>20</v>
      </c>
      <c r="EH38">
        <v>0</v>
      </c>
      <c r="EI38" t="s">
        <v>3</v>
      </c>
      <c r="EJ38">
        <v>4</v>
      </c>
      <c r="EK38">
        <v>1</v>
      </c>
      <c r="EL38" t="s">
        <v>58</v>
      </c>
      <c r="EM38" t="s">
        <v>22</v>
      </c>
      <c r="EO38" t="s">
        <v>3</v>
      </c>
      <c r="EQ38">
        <v>0</v>
      </c>
      <c r="ER38">
        <v>27.39</v>
      </c>
      <c r="ES38">
        <v>0</v>
      </c>
      <c r="ET38">
        <v>27.39</v>
      </c>
      <c r="EU38">
        <v>14.89</v>
      </c>
      <c r="EV38">
        <v>0</v>
      </c>
      <c r="EW38">
        <v>0</v>
      </c>
      <c r="EX38">
        <v>0</v>
      </c>
      <c r="EY38">
        <v>0</v>
      </c>
      <c r="FQ38">
        <v>0</v>
      </c>
      <c r="FR38">
        <f t="shared" si="47"/>
        <v>0</v>
      </c>
      <c r="FS38">
        <v>0</v>
      </c>
      <c r="FX38">
        <v>0</v>
      </c>
      <c r="FY38">
        <v>0</v>
      </c>
      <c r="GA38" t="s">
        <v>3</v>
      </c>
      <c r="GD38">
        <v>1</v>
      </c>
      <c r="GF38">
        <v>972108674</v>
      </c>
      <c r="GG38">
        <v>2</v>
      </c>
      <c r="GH38">
        <v>1</v>
      </c>
      <c r="GI38">
        <v>-2</v>
      </c>
      <c r="GJ38">
        <v>0</v>
      </c>
      <c r="GK38">
        <v>0</v>
      </c>
      <c r="GL38">
        <f t="shared" si="48"/>
        <v>0</v>
      </c>
      <c r="GM38">
        <f>ROUND(O38+X38+Y38,2)+GX38</f>
        <v>9106.2199999999993</v>
      </c>
      <c r="GN38">
        <f>IF(OR(BI38=0,BI38=1),ROUND(O38+X38+Y38,2),0)</f>
        <v>0</v>
      </c>
      <c r="GO38">
        <f>IF(BI38=2,ROUND(O38+X38+Y38,2),0)</f>
        <v>0</v>
      </c>
      <c r="GP38">
        <f>IF(BI38=4,ROUND(O38+X38+Y38,2)+GX38,0)</f>
        <v>9106.2199999999993</v>
      </c>
      <c r="GR38">
        <v>0</v>
      </c>
      <c r="GS38">
        <v>3</v>
      </c>
      <c r="GT38">
        <v>0</v>
      </c>
      <c r="GU38" t="s">
        <v>3</v>
      </c>
      <c r="GV38">
        <f t="shared" si="53"/>
        <v>0</v>
      </c>
      <c r="GW38">
        <v>1</v>
      </c>
      <c r="GX38">
        <f t="shared" si="54"/>
        <v>0</v>
      </c>
      <c r="HA38">
        <v>0</v>
      </c>
      <c r="HB38">
        <v>0</v>
      </c>
      <c r="HC38">
        <f t="shared" si="55"/>
        <v>0</v>
      </c>
      <c r="IK38">
        <v>0</v>
      </c>
    </row>
    <row r="40" spans="1:245" x14ac:dyDescent="0.2">
      <c r="A40" s="2">
        <v>51</v>
      </c>
      <c r="B40" s="2">
        <f>B24</f>
        <v>1</v>
      </c>
      <c r="C40" s="2">
        <f>A24</f>
        <v>4</v>
      </c>
      <c r="D40" s="2">
        <f>ROW(A24)</f>
        <v>24</v>
      </c>
      <c r="E40" s="2"/>
      <c r="F40" s="2" t="str">
        <f>IF(F24&lt;&gt;"",F24,"")</f>
        <v>Новый раздел</v>
      </c>
      <c r="G40" s="2" t="str">
        <f>IF(G24&lt;&gt;"",G24,"")</f>
        <v>Детская площадка на сквере вдоль шоссе Энтузиастов (353,1 м2)</v>
      </c>
      <c r="H40" s="2">
        <v>0</v>
      </c>
      <c r="I40" s="2"/>
      <c r="J40" s="2"/>
      <c r="K40" s="2"/>
      <c r="L40" s="2"/>
      <c r="M40" s="2"/>
      <c r="N40" s="2"/>
      <c r="O40" s="2">
        <f t="shared" ref="O40:T40" si="61">ROUND(AB40,2)</f>
        <v>812561.01</v>
      </c>
      <c r="P40" s="2">
        <f t="shared" si="61"/>
        <v>757294.04</v>
      </c>
      <c r="Q40" s="2">
        <f t="shared" si="61"/>
        <v>28004.93</v>
      </c>
      <c r="R40" s="2">
        <f t="shared" si="61"/>
        <v>19526.189999999999</v>
      </c>
      <c r="S40" s="2">
        <f t="shared" si="61"/>
        <v>27262.04</v>
      </c>
      <c r="T40" s="2">
        <f t="shared" si="61"/>
        <v>0</v>
      </c>
      <c r="U40" s="2">
        <f>AH40</f>
        <v>124.24176</v>
      </c>
      <c r="V40" s="2">
        <f>AI40</f>
        <v>0</v>
      </c>
      <c r="W40" s="2">
        <f>ROUND(AJ40,2)</f>
        <v>0</v>
      </c>
      <c r="X40" s="2">
        <f>ROUND(AK40,2)</f>
        <v>19083.439999999999</v>
      </c>
      <c r="Y40" s="2">
        <f>ROUND(AL40,2)</f>
        <v>2726.2</v>
      </c>
      <c r="Z40" s="2"/>
      <c r="AA40" s="2"/>
      <c r="AB40" s="2">
        <f>ROUND(SUMIF(AA28:AA38,"=15805332",O28:O38),2)</f>
        <v>812561.01</v>
      </c>
      <c r="AC40" s="2">
        <f>ROUND(SUMIF(AA28:AA38,"=15805332",P28:P38),2)</f>
        <v>757294.04</v>
      </c>
      <c r="AD40" s="2">
        <f>ROUND(SUMIF(AA28:AA38,"=15805332",Q28:Q38),2)</f>
        <v>28004.93</v>
      </c>
      <c r="AE40" s="2">
        <f>ROUND(SUMIF(AA28:AA38,"=15805332",R28:R38),2)</f>
        <v>19526.189999999999</v>
      </c>
      <c r="AF40" s="2">
        <f>ROUND(SUMIF(AA28:AA38,"=15805332",S28:S38),2)</f>
        <v>27262.04</v>
      </c>
      <c r="AG40" s="2">
        <f>ROUND(SUMIF(AA28:AA38,"=15805332",T28:T38),2)</f>
        <v>0</v>
      </c>
      <c r="AH40" s="2">
        <f>SUMIF(AA28:AA38,"=15805332",U28:U38)</f>
        <v>124.24176</v>
      </c>
      <c r="AI40" s="2">
        <f>SUMIF(AA28:AA38,"=15805332",V28:V38)</f>
        <v>0</v>
      </c>
      <c r="AJ40" s="2">
        <f>ROUND(SUMIF(AA28:AA38,"=15805332",W28:W38),2)</f>
        <v>0</v>
      </c>
      <c r="AK40" s="2">
        <f>ROUND(SUMIF(AA28:AA38,"=15805332",X28:X38),2)</f>
        <v>19083.439999999999</v>
      </c>
      <c r="AL40" s="2">
        <f>ROUND(SUMIF(AA28:AA38,"=15805332",Y28:Y38),2)</f>
        <v>2726.2</v>
      </c>
      <c r="AM40" s="2"/>
      <c r="AN40" s="2"/>
      <c r="AO40" s="2">
        <f t="shared" ref="AO40:BC40" si="62">ROUND(BX40,2)</f>
        <v>0</v>
      </c>
      <c r="AP40" s="2">
        <f t="shared" si="62"/>
        <v>0</v>
      </c>
      <c r="AQ40" s="2">
        <f t="shared" si="62"/>
        <v>0</v>
      </c>
      <c r="AR40" s="2">
        <f t="shared" si="62"/>
        <v>849839.07</v>
      </c>
      <c r="AS40" s="2">
        <f t="shared" si="62"/>
        <v>0</v>
      </c>
      <c r="AT40" s="2">
        <f t="shared" si="62"/>
        <v>0</v>
      </c>
      <c r="AU40" s="2">
        <f t="shared" si="62"/>
        <v>849839.07</v>
      </c>
      <c r="AV40" s="2">
        <f t="shared" si="62"/>
        <v>757294.04</v>
      </c>
      <c r="AW40" s="2">
        <f t="shared" si="62"/>
        <v>757294.04</v>
      </c>
      <c r="AX40" s="2">
        <f t="shared" si="62"/>
        <v>0</v>
      </c>
      <c r="AY40" s="2">
        <f t="shared" si="62"/>
        <v>757294.04</v>
      </c>
      <c r="AZ40" s="2">
        <f t="shared" si="62"/>
        <v>0</v>
      </c>
      <c r="BA40" s="2">
        <f t="shared" si="62"/>
        <v>0</v>
      </c>
      <c r="BB40" s="2">
        <f t="shared" si="62"/>
        <v>0</v>
      </c>
      <c r="BC40" s="2">
        <f t="shared" si="62"/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>
        <f>ROUND(SUMIF(AA28:AA38,"=15805332",FQ28:FQ38),2)</f>
        <v>0</v>
      </c>
      <c r="BY40" s="2">
        <f>ROUND(SUMIF(AA28:AA38,"=15805332",FR28:FR38),2)</f>
        <v>0</v>
      </c>
      <c r="BZ40" s="2">
        <f>ROUND(SUMIF(AA28:AA38,"=15805332",GL28:GL38),2)</f>
        <v>0</v>
      </c>
      <c r="CA40" s="2">
        <f>ROUND(SUMIF(AA28:AA38,"=15805332",GM28:GM38),2)</f>
        <v>849839.07</v>
      </c>
      <c r="CB40" s="2">
        <f>ROUND(SUMIF(AA28:AA38,"=15805332",GN28:GN38),2)</f>
        <v>0</v>
      </c>
      <c r="CC40" s="2">
        <f>ROUND(SUMIF(AA28:AA38,"=15805332",GO28:GO38),2)</f>
        <v>0</v>
      </c>
      <c r="CD40" s="2">
        <f>ROUND(SUMIF(AA28:AA38,"=15805332",GP28:GP38),2)</f>
        <v>849839.07</v>
      </c>
      <c r="CE40" s="2">
        <f>AC40-BX40</f>
        <v>757294.04</v>
      </c>
      <c r="CF40" s="2">
        <f>AC40-BY40</f>
        <v>757294.04</v>
      </c>
      <c r="CG40" s="2">
        <f>BX40-BZ40</f>
        <v>0</v>
      </c>
      <c r="CH40" s="2">
        <f>AC40-BX40-BY40+BZ40</f>
        <v>757294.04</v>
      </c>
      <c r="CI40" s="2">
        <f>BY40-BZ40</f>
        <v>0</v>
      </c>
      <c r="CJ40" s="2">
        <f>ROUND(SUMIF(AA28:AA38,"=15805332",GX28:GX38),2)</f>
        <v>0</v>
      </c>
      <c r="CK40" s="2">
        <f>ROUND(SUMIF(AA28:AA38,"=15805332",GY28:GY38),2)</f>
        <v>0</v>
      </c>
      <c r="CL40" s="2">
        <f>ROUND(SUMIF(AA28:AA38,"=15805332",GZ28:GZ38),2)</f>
        <v>0</v>
      </c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>
        <v>0</v>
      </c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201</v>
      </c>
      <c r="F42" s="4">
        <f>ROUND(Source!O40,O42)</f>
        <v>812561.01</v>
      </c>
      <c r="G42" s="4" t="s">
        <v>68</v>
      </c>
      <c r="H42" s="4" t="s">
        <v>69</v>
      </c>
      <c r="I42" s="4"/>
      <c r="J42" s="4"/>
      <c r="K42" s="4">
        <v>201</v>
      </c>
      <c r="L42" s="4">
        <v>1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202</v>
      </c>
      <c r="F43" s="4">
        <f>ROUND(Source!P40,O43)</f>
        <v>757294.04</v>
      </c>
      <c r="G43" s="4" t="s">
        <v>70</v>
      </c>
      <c r="H43" s="4" t="s">
        <v>71</v>
      </c>
      <c r="I43" s="4"/>
      <c r="J43" s="4"/>
      <c r="K43" s="4">
        <v>202</v>
      </c>
      <c r="L43" s="4">
        <v>2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222</v>
      </c>
      <c r="F44" s="4">
        <f>ROUND(Source!AO40,O44)</f>
        <v>0</v>
      </c>
      <c r="G44" s="4" t="s">
        <v>72</v>
      </c>
      <c r="H44" s="4" t="s">
        <v>73</v>
      </c>
      <c r="I44" s="4"/>
      <c r="J44" s="4"/>
      <c r="K44" s="4">
        <v>222</v>
      </c>
      <c r="L44" s="4">
        <v>3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225</v>
      </c>
      <c r="F45" s="4">
        <f>ROUND(Source!AV40,O45)</f>
        <v>757294.04</v>
      </c>
      <c r="G45" s="4" t="s">
        <v>74</v>
      </c>
      <c r="H45" s="4" t="s">
        <v>75</v>
      </c>
      <c r="I45" s="4"/>
      <c r="J45" s="4"/>
      <c r="K45" s="4">
        <v>225</v>
      </c>
      <c r="L45" s="4">
        <v>4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226</v>
      </c>
      <c r="F46" s="4">
        <f>ROUND(Source!AW40,O46)</f>
        <v>757294.04</v>
      </c>
      <c r="G46" s="4" t="s">
        <v>76</v>
      </c>
      <c r="H46" s="4" t="s">
        <v>77</v>
      </c>
      <c r="I46" s="4"/>
      <c r="J46" s="4"/>
      <c r="K46" s="4">
        <v>226</v>
      </c>
      <c r="L46" s="4">
        <v>5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227</v>
      </c>
      <c r="F47" s="4">
        <f>ROUND(Source!AX40,O47)</f>
        <v>0</v>
      </c>
      <c r="G47" s="4" t="s">
        <v>78</v>
      </c>
      <c r="H47" s="4" t="s">
        <v>79</v>
      </c>
      <c r="I47" s="4"/>
      <c r="J47" s="4"/>
      <c r="K47" s="4">
        <v>227</v>
      </c>
      <c r="L47" s="4">
        <v>6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228</v>
      </c>
      <c r="F48" s="4">
        <f>ROUND(Source!AY40,O48)</f>
        <v>757294.04</v>
      </c>
      <c r="G48" s="4" t="s">
        <v>80</v>
      </c>
      <c r="H48" s="4" t="s">
        <v>81</v>
      </c>
      <c r="I48" s="4"/>
      <c r="J48" s="4"/>
      <c r="K48" s="4">
        <v>228</v>
      </c>
      <c r="L48" s="4">
        <v>7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216</v>
      </c>
      <c r="F49" s="4">
        <f>ROUND(Source!AP40,O49)</f>
        <v>0</v>
      </c>
      <c r="G49" s="4" t="s">
        <v>82</v>
      </c>
      <c r="H49" s="4" t="s">
        <v>83</v>
      </c>
      <c r="I49" s="4"/>
      <c r="J49" s="4"/>
      <c r="K49" s="4">
        <v>216</v>
      </c>
      <c r="L49" s="4">
        <v>8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223</v>
      </c>
      <c r="F50" s="4">
        <f>ROUND(Source!AQ40,O50)</f>
        <v>0</v>
      </c>
      <c r="G50" s="4" t="s">
        <v>84</v>
      </c>
      <c r="H50" s="4" t="s">
        <v>85</v>
      </c>
      <c r="I50" s="4"/>
      <c r="J50" s="4"/>
      <c r="K50" s="4">
        <v>223</v>
      </c>
      <c r="L50" s="4">
        <v>9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229</v>
      </c>
      <c r="F51" s="4">
        <f>ROUND(Source!AZ40,O51)</f>
        <v>0</v>
      </c>
      <c r="G51" s="4" t="s">
        <v>86</v>
      </c>
      <c r="H51" s="4" t="s">
        <v>87</v>
      </c>
      <c r="I51" s="4"/>
      <c r="J51" s="4"/>
      <c r="K51" s="4">
        <v>229</v>
      </c>
      <c r="L51" s="4">
        <v>10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203</v>
      </c>
      <c r="F52" s="4">
        <f>ROUND(Source!Q40,O52)</f>
        <v>28004.93</v>
      </c>
      <c r="G52" s="4" t="s">
        <v>88</v>
      </c>
      <c r="H52" s="4" t="s">
        <v>89</v>
      </c>
      <c r="I52" s="4"/>
      <c r="J52" s="4"/>
      <c r="K52" s="4">
        <v>203</v>
      </c>
      <c r="L52" s="4">
        <v>11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231</v>
      </c>
      <c r="F53" s="4">
        <f>ROUND(Source!BB40,O53)</f>
        <v>0</v>
      </c>
      <c r="G53" s="4" t="s">
        <v>90</v>
      </c>
      <c r="H53" s="4" t="s">
        <v>91</v>
      </c>
      <c r="I53" s="4"/>
      <c r="J53" s="4"/>
      <c r="K53" s="4">
        <v>231</v>
      </c>
      <c r="L53" s="4">
        <v>12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204</v>
      </c>
      <c r="F54" s="4">
        <f>ROUND(Source!R40,O54)</f>
        <v>19526.189999999999</v>
      </c>
      <c r="G54" s="4" t="s">
        <v>92</v>
      </c>
      <c r="H54" s="4" t="s">
        <v>93</v>
      </c>
      <c r="I54" s="4"/>
      <c r="J54" s="4"/>
      <c r="K54" s="4">
        <v>204</v>
      </c>
      <c r="L54" s="4">
        <v>13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205</v>
      </c>
      <c r="F55" s="4">
        <f>ROUND(Source!S40,O55)</f>
        <v>27262.04</v>
      </c>
      <c r="G55" s="4" t="s">
        <v>94</v>
      </c>
      <c r="H55" s="4" t="s">
        <v>95</v>
      </c>
      <c r="I55" s="4"/>
      <c r="J55" s="4"/>
      <c r="K55" s="4">
        <v>205</v>
      </c>
      <c r="L55" s="4">
        <v>14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232</v>
      </c>
      <c r="F56" s="4">
        <f>ROUND(Source!BC40,O56)</f>
        <v>0</v>
      </c>
      <c r="G56" s="4" t="s">
        <v>96</v>
      </c>
      <c r="H56" s="4" t="s">
        <v>97</v>
      </c>
      <c r="I56" s="4"/>
      <c r="J56" s="4"/>
      <c r="K56" s="4">
        <v>232</v>
      </c>
      <c r="L56" s="4">
        <v>15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214</v>
      </c>
      <c r="F57" s="4">
        <f>ROUND(Source!AS40,O57)</f>
        <v>0</v>
      </c>
      <c r="G57" s="4" t="s">
        <v>98</v>
      </c>
      <c r="H57" s="4" t="s">
        <v>99</v>
      </c>
      <c r="I57" s="4"/>
      <c r="J57" s="4"/>
      <c r="K57" s="4">
        <v>214</v>
      </c>
      <c r="L57" s="4">
        <v>16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215</v>
      </c>
      <c r="F58" s="4">
        <f>ROUND(Source!AT40,O58)</f>
        <v>0</v>
      </c>
      <c r="G58" s="4" t="s">
        <v>100</v>
      </c>
      <c r="H58" s="4" t="s">
        <v>101</v>
      </c>
      <c r="I58" s="4"/>
      <c r="J58" s="4"/>
      <c r="K58" s="4">
        <v>215</v>
      </c>
      <c r="L58" s="4">
        <v>17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217</v>
      </c>
      <c r="F59" s="4">
        <f>ROUND(Source!AU40,O59)</f>
        <v>849839.07</v>
      </c>
      <c r="G59" s="4" t="s">
        <v>102</v>
      </c>
      <c r="H59" s="4" t="s">
        <v>103</v>
      </c>
      <c r="I59" s="4"/>
      <c r="J59" s="4"/>
      <c r="K59" s="4">
        <v>217</v>
      </c>
      <c r="L59" s="4">
        <v>18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230</v>
      </c>
      <c r="F60" s="4">
        <f>ROUND(Source!BA40,O60)</f>
        <v>0</v>
      </c>
      <c r="G60" s="4" t="s">
        <v>104</v>
      </c>
      <c r="H60" s="4" t="s">
        <v>105</v>
      </c>
      <c r="I60" s="4"/>
      <c r="J60" s="4"/>
      <c r="K60" s="4">
        <v>230</v>
      </c>
      <c r="L60" s="4">
        <v>19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206</v>
      </c>
      <c r="F61" s="4">
        <f>ROUND(Source!T40,O61)</f>
        <v>0</v>
      </c>
      <c r="G61" s="4" t="s">
        <v>106</v>
      </c>
      <c r="H61" s="4" t="s">
        <v>107</v>
      </c>
      <c r="I61" s="4"/>
      <c r="J61" s="4"/>
      <c r="K61" s="4">
        <v>206</v>
      </c>
      <c r="L61" s="4">
        <v>20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207</v>
      </c>
      <c r="F62" s="4">
        <f>Source!U40</f>
        <v>124.24176</v>
      </c>
      <c r="G62" s="4" t="s">
        <v>108</v>
      </c>
      <c r="H62" s="4" t="s">
        <v>109</v>
      </c>
      <c r="I62" s="4"/>
      <c r="J62" s="4"/>
      <c r="K62" s="4">
        <v>207</v>
      </c>
      <c r="L62" s="4">
        <v>21</v>
      </c>
      <c r="M62" s="4">
        <v>3</v>
      </c>
      <c r="N62" s="4" t="s">
        <v>3</v>
      </c>
      <c r="O62" s="4">
        <v>-1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208</v>
      </c>
      <c r="F63" s="4">
        <f>Source!V40</f>
        <v>0</v>
      </c>
      <c r="G63" s="4" t="s">
        <v>110</v>
      </c>
      <c r="H63" s="4" t="s">
        <v>111</v>
      </c>
      <c r="I63" s="4"/>
      <c r="J63" s="4"/>
      <c r="K63" s="4">
        <v>208</v>
      </c>
      <c r="L63" s="4">
        <v>22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209</v>
      </c>
      <c r="F64" s="4">
        <f>ROUND(Source!W40,O64)</f>
        <v>0</v>
      </c>
      <c r="G64" s="4" t="s">
        <v>112</v>
      </c>
      <c r="H64" s="4" t="s">
        <v>113</v>
      </c>
      <c r="I64" s="4"/>
      <c r="J64" s="4"/>
      <c r="K64" s="4">
        <v>209</v>
      </c>
      <c r="L64" s="4">
        <v>23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210</v>
      </c>
      <c r="F65" s="4">
        <f>ROUND(Source!X40,O65)</f>
        <v>19083.439999999999</v>
      </c>
      <c r="G65" s="4" t="s">
        <v>114</v>
      </c>
      <c r="H65" s="4" t="s">
        <v>115</v>
      </c>
      <c r="I65" s="4"/>
      <c r="J65" s="4"/>
      <c r="K65" s="4">
        <v>210</v>
      </c>
      <c r="L65" s="4">
        <v>24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211</v>
      </c>
      <c r="F66" s="4">
        <f>ROUND(Source!Y40,O66)</f>
        <v>2726.2</v>
      </c>
      <c r="G66" s="4" t="s">
        <v>116</v>
      </c>
      <c r="H66" s="4" t="s">
        <v>117</v>
      </c>
      <c r="I66" s="4"/>
      <c r="J66" s="4"/>
      <c r="K66" s="4">
        <v>211</v>
      </c>
      <c r="L66" s="4">
        <v>25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224</v>
      </c>
      <c r="F67" s="4">
        <f>ROUND(Source!AR40,O67)</f>
        <v>849839.07</v>
      </c>
      <c r="G67" s="4" t="s">
        <v>118</v>
      </c>
      <c r="H67" s="4" t="s">
        <v>119</v>
      </c>
      <c r="I67" s="4"/>
      <c r="J67" s="4"/>
      <c r="K67" s="4">
        <v>224</v>
      </c>
      <c r="L67" s="4">
        <v>26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1</v>
      </c>
      <c r="C68" s="4">
        <v>0</v>
      </c>
      <c r="D68" s="4">
        <v>2</v>
      </c>
      <c r="E68" s="4">
        <v>0</v>
      </c>
      <c r="F68" s="4">
        <f>ROUND(F67*0.2,O68)</f>
        <v>169967.81</v>
      </c>
      <c r="G68" s="4" t="s">
        <v>120</v>
      </c>
      <c r="H68" s="4" t="s">
        <v>121</v>
      </c>
      <c r="I68" s="4"/>
      <c r="J68" s="4"/>
      <c r="K68" s="4">
        <v>212</v>
      </c>
      <c r="L68" s="4">
        <v>27</v>
      </c>
      <c r="M68" s="4">
        <v>0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45" x14ac:dyDescent="0.2">
      <c r="A69" s="4">
        <v>50</v>
      </c>
      <c r="B69" s="4">
        <v>1</v>
      </c>
      <c r="C69" s="4">
        <v>0</v>
      </c>
      <c r="D69" s="4">
        <v>2</v>
      </c>
      <c r="E69" s="4">
        <v>0</v>
      </c>
      <c r="F69" s="4">
        <f>ROUND(F67+F68,O69)</f>
        <v>1019806.88</v>
      </c>
      <c r="G69" s="4" t="s">
        <v>122</v>
      </c>
      <c r="H69" s="4" t="s">
        <v>123</v>
      </c>
      <c r="I69" s="4"/>
      <c r="J69" s="4"/>
      <c r="K69" s="4">
        <v>212</v>
      </c>
      <c r="L69" s="4">
        <v>28</v>
      </c>
      <c r="M69" s="4">
        <v>0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1" spans="1:245" x14ac:dyDescent="0.2">
      <c r="A71" s="1">
        <v>4</v>
      </c>
      <c r="B71" s="1">
        <v>1</v>
      </c>
      <c r="C71" s="1"/>
      <c r="D71" s="1">
        <f>ROW(A87)</f>
        <v>87</v>
      </c>
      <c r="E71" s="1"/>
      <c r="F71" s="1" t="s">
        <v>13</v>
      </c>
      <c r="G71" s="1" t="s">
        <v>124</v>
      </c>
      <c r="H71" s="1" t="s">
        <v>3</v>
      </c>
      <c r="I71" s="1">
        <v>0</v>
      </c>
      <c r="J71" s="1"/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 t="s">
        <v>3</v>
      </c>
      <c r="V71" s="1">
        <v>0</v>
      </c>
      <c r="W71" s="1"/>
      <c r="X71" s="1"/>
      <c r="Y71" s="1"/>
      <c r="Z71" s="1"/>
      <c r="AA71" s="1"/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/>
      <c r="AI71" s="1"/>
      <c r="AJ71" s="1"/>
      <c r="AK71" s="1"/>
      <c r="AL71" s="1"/>
      <c r="AM71" s="1"/>
      <c r="AN71" s="1"/>
      <c r="AO71" s="1"/>
      <c r="AP71" s="1" t="s">
        <v>3</v>
      </c>
      <c r="AQ71" s="1" t="s">
        <v>3</v>
      </c>
      <c r="AR71" s="1" t="s">
        <v>3</v>
      </c>
      <c r="AS71" s="1"/>
      <c r="AT71" s="1"/>
      <c r="AU71" s="1"/>
      <c r="AV71" s="1"/>
      <c r="AW71" s="1"/>
      <c r="AX71" s="1"/>
      <c r="AY71" s="1"/>
      <c r="AZ71" s="1" t="s">
        <v>3</v>
      </c>
      <c r="BA71" s="1"/>
      <c r="BB71" s="1" t="s">
        <v>3</v>
      </c>
      <c r="BC71" s="1" t="s">
        <v>3</v>
      </c>
      <c r="BD71" s="1" t="s">
        <v>3</v>
      </c>
      <c r="BE71" s="1" t="s">
        <v>3</v>
      </c>
      <c r="BF71" s="1" t="s">
        <v>3</v>
      </c>
      <c r="BG71" s="1" t="s">
        <v>3</v>
      </c>
      <c r="BH71" s="1" t="s">
        <v>3</v>
      </c>
      <c r="BI71" s="1" t="s">
        <v>3</v>
      </c>
      <c r="BJ71" s="1" t="s">
        <v>3</v>
      </c>
      <c r="BK71" s="1" t="s">
        <v>3</v>
      </c>
      <c r="BL71" s="1" t="s">
        <v>3</v>
      </c>
      <c r="BM71" s="1" t="s">
        <v>3</v>
      </c>
      <c r="BN71" s="1" t="s">
        <v>3</v>
      </c>
      <c r="BO71" s="1" t="s">
        <v>3</v>
      </c>
      <c r="BP71" s="1" t="s">
        <v>3</v>
      </c>
      <c r="BQ71" s="1"/>
      <c r="BR71" s="1"/>
      <c r="BS71" s="1"/>
      <c r="BT71" s="1"/>
      <c r="BU71" s="1"/>
      <c r="BV71" s="1"/>
      <c r="BW71" s="1"/>
      <c r="BX71" s="1"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>
        <v>0</v>
      </c>
    </row>
    <row r="73" spans="1:245" x14ac:dyDescent="0.2">
      <c r="A73" s="2">
        <v>52</v>
      </c>
      <c r="B73" s="2">
        <f t="shared" ref="B73:G73" si="63">B87</f>
        <v>1</v>
      </c>
      <c r="C73" s="2">
        <f t="shared" si="63"/>
        <v>4</v>
      </c>
      <c r="D73" s="2">
        <f t="shared" si="63"/>
        <v>71</v>
      </c>
      <c r="E73" s="2">
        <f t="shared" si="63"/>
        <v>0</v>
      </c>
      <c r="F73" s="2" t="str">
        <f t="shared" si="63"/>
        <v>Новый раздел</v>
      </c>
      <c r="G73" s="2" t="str">
        <f t="shared" si="63"/>
        <v>Детская площадка в северной части парка (500,9 м2)</v>
      </c>
      <c r="H73" s="2"/>
      <c r="I73" s="2"/>
      <c r="J73" s="2"/>
      <c r="K73" s="2"/>
      <c r="L73" s="2"/>
      <c r="M73" s="2"/>
      <c r="N73" s="2"/>
      <c r="O73" s="2">
        <f t="shared" ref="O73:AT73" si="64">O87</f>
        <v>1152679.98</v>
      </c>
      <c r="P73" s="2">
        <f t="shared" si="64"/>
        <v>1074281.04</v>
      </c>
      <c r="Q73" s="2">
        <f t="shared" si="64"/>
        <v>39725.620000000003</v>
      </c>
      <c r="R73" s="2">
        <f t="shared" si="64"/>
        <v>27698.6</v>
      </c>
      <c r="S73" s="2">
        <f t="shared" si="64"/>
        <v>38673.32</v>
      </c>
      <c r="T73" s="2">
        <f t="shared" si="64"/>
        <v>0</v>
      </c>
      <c r="U73" s="2">
        <f t="shared" si="64"/>
        <v>176.24655800000005</v>
      </c>
      <c r="V73" s="2">
        <f t="shared" si="64"/>
        <v>0</v>
      </c>
      <c r="W73" s="2">
        <f t="shared" si="64"/>
        <v>0</v>
      </c>
      <c r="X73" s="2">
        <f t="shared" si="64"/>
        <v>27071.32</v>
      </c>
      <c r="Y73" s="2">
        <f t="shared" si="64"/>
        <v>3867.33</v>
      </c>
      <c r="Z73" s="2">
        <f t="shared" si="64"/>
        <v>0</v>
      </c>
      <c r="AA73" s="2">
        <f t="shared" si="64"/>
        <v>0</v>
      </c>
      <c r="AB73" s="2">
        <f t="shared" si="64"/>
        <v>1152679.98</v>
      </c>
      <c r="AC73" s="2">
        <f t="shared" si="64"/>
        <v>1074281.04</v>
      </c>
      <c r="AD73" s="2">
        <f t="shared" si="64"/>
        <v>39725.620000000003</v>
      </c>
      <c r="AE73" s="2">
        <f t="shared" si="64"/>
        <v>27698.6</v>
      </c>
      <c r="AF73" s="2">
        <f t="shared" si="64"/>
        <v>38673.32</v>
      </c>
      <c r="AG73" s="2">
        <f t="shared" si="64"/>
        <v>0</v>
      </c>
      <c r="AH73" s="2">
        <f t="shared" si="64"/>
        <v>176.24655800000005</v>
      </c>
      <c r="AI73" s="2">
        <f t="shared" si="64"/>
        <v>0</v>
      </c>
      <c r="AJ73" s="2">
        <f t="shared" si="64"/>
        <v>0</v>
      </c>
      <c r="AK73" s="2">
        <f t="shared" si="64"/>
        <v>27071.32</v>
      </c>
      <c r="AL73" s="2">
        <f t="shared" si="64"/>
        <v>3867.33</v>
      </c>
      <c r="AM73" s="2">
        <f t="shared" si="64"/>
        <v>0</v>
      </c>
      <c r="AN73" s="2">
        <f t="shared" si="64"/>
        <v>0</v>
      </c>
      <c r="AO73" s="2">
        <f t="shared" si="64"/>
        <v>0</v>
      </c>
      <c r="AP73" s="2">
        <f t="shared" si="64"/>
        <v>0</v>
      </c>
      <c r="AQ73" s="2">
        <f t="shared" si="64"/>
        <v>0</v>
      </c>
      <c r="AR73" s="2">
        <f t="shared" si="64"/>
        <v>1205561.77</v>
      </c>
      <c r="AS73" s="2">
        <f t="shared" si="64"/>
        <v>0</v>
      </c>
      <c r="AT73" s="2">
        <f t="shared" si="64"/>
        <v>0</v>
      </c>
      <c r="AU73" s="2">
        <f t="shared" ref="AU73:BZ73" si="65">AU87</f>
        <v>1205561.77</v>
      </c>
      <c r="AV73" s="2">
        <f t="shared" si="65"/>
        <v>1074281.04</v>
      </c>
      <c r="AW73" s="2">
        <f t="shared" si="65"/>
        <v>1074281.04</v>
      </c>
      <c r="AX73" s="2">
        <f t="shared" si="65"/>
        <v>0</v>
      </c>
      <c r="AY73" s="2">
        <f t="shared" si="65"/>
        <v>1074281.04</v>
      </c>
      <c r="AZ73" s="2">
        <f t="shared" si="65"/>
        <v>0</v>
      </c>
      <c r="BA73" s="2">
        <f t="shared" si="65"/>
        <v>0</v>
      </c>
      <c r="BB73" s="2">
        <f t="shared" si="65"/>
        <v>0</v>
      </c>
      <c r="BC73" s="2">
        <f t="shared" si="65"/>
        <v>0</v>
      </c>
      <c r="BD73" s="2">
        <f t="shared" si="65"/>
        <v>0</v>
      </c>
      <c r="BE73" s="2">
        <f t="shared" si="65"/>
        <v>0</v>
      </c>
      <c r="BF73" s="2">
        <f t="shared" si="65"/>
        <v>0</v>
      </c>
      <c r="BG73" s="2">
        <f t="shared" si="65"/>
        <v>0</v>
      </c>
      <c r="BH73" s="2">
        <f t="shared" si="65"/>
        <v>0</v>
      </c>
      <c r="BI73" s="2">
        <f t="shared" si="65"/>
        <v>0</v>
      </c>
      <c r="BJ73" s="2">
        <f t="shared" si="65"/>
        <v>0</v>
      </c>
      <c r="BK73" s="2">
        <f t="shared" si="65"/>
        <v>0</v>
      </c>
      <c r="BL73" s="2">
        <f t="shared" si="65"/>
        <v>0</v>
      </c>
      <c r="BM73" s="2">
        <f t="shared" si="65"/>
        <v>0</v>
      </c>
      <c r="BN73" s="2">
        <f t="shared" si="65"/>
        <v>0</v>
      </c>
      <c r="BO73" s="2">
        <f t="shared" si="65"/>
        <v>0</v>
      </c>
      <c r="BP73" s="2">
        <f t="shared" si="65"/>
        <v>0</v>
      </c>
      <c r="BQ73" s="2">
        <f t="shared" si="65"/>
        <v>0</v>
      </c>
      <c r="BR73" s="2">
        <f t="shared" si="65"/>
        <v>0</v>
      </c>
      <c r="BS73" s="2">
        <f t="shared" si="65"/>
        <v>0</v>
      </c>
      <c r="BT73" s="2">
        <f t="shared" si="65"/>
        <v>0</v>
      </c>
      <c r="BU73" s="2">
        <f t="shared" si="65"/>
        <v>0</v>
      </c>
      <c r="BV73" s="2">
        <f t="shared" si="65"/>
        <v>0</v>
      </c>
      <c r="BW73" s="2">
        <f t="shared" si="65"/>
        <v>0</v>
      </c>
      <c r="BX73" s="2">
        <f t="shared" si="65"/>
        <v>0</v>
      </c>
      <c r="BY73" s="2">
        <f t="shared" si="65"/>
        <v>0</v>
      </c>
      <c r="BZ73" s="2">
        <f t="shared" si="65"/>
        <v>0</v>
      </c>
      <c r="CA73" s="2">
        <f t="shared" ref="CA73:DF73" si="66">CA87</f>
        <v>1205561.77</v>
      </c>
      <c r="CB73" s="2">
        <f t="shared" si="66"/>
        <v>0</v>
      </c>
      <c r="CC73" s="2">
        <f t="shared" si="66"/>
        <v>0</v>
      </c>
      <c r="CD73" s="2">
        <f t="shared" si="66"/>
        <v>1205561.77</v>
      </c>
      <c r="CE73" s="2">
        <f t="shared" si="66"/>
        <v>1074281.04</v>
      </c>
      <c r="CF73" s="2">
        <f t="shared" si="66"/>
        <v>1074281.04</v>
      </c>
      <c r="CG73" s="2">
        <f t="shared" si="66"/>
        <v>0</v>
      </c>
      <c r="CH73" s="2">
        <f t="shared" si="66"/>
        <v>1074281.04</v>
      </c>
      <c r="CI73" s="2">
        <f t="shared" si="66"/>
        <v>0</v>
      </c>
      <c r="CJ73" s="2">
        <f t="shared" si="66"/>
        <v>0</v>
      </c>
      <c r="CK73" s="2">
        <f t="shared" si="66"/>
        <v>0</v>
      </c>
      <c r="CL73" s="2">
        <f t="shared" si="66"/>
        <v>0</v>
      </c>
      <c r="CM73" s="2">
        <f t="shared" si="66"/>
        <v>0</v>
      </c>
      <c r="CN73" s="2">
        <f t="shared" si="66"/>
        <v>0</v>
      </c>
      <c r="CO73" s="2">
        <f t="shared" si="66"/>
        <v>0</v>
      </c>
      <c r="CP73" s="2">
        <f t="shared" si="66"/>
        <v>0</v>
      </c>
      <c r="CQ73" s="2">
        <f t="shared" si="66"/>
        <v>0</v>
      </c>
      <c r="CR73" s="2">
        <f t="shared" si="66"/>
        <v>0</v>
      </c>
      <c r="CS73" s="2">
        <f t="shared" si="66"/>
        <v>0</v>
      </c>
      <c r="CT73" s="2">
        <f t="shared" si="66"/>
        <v>0</v>
      </c>
      <c r="CU73" s="2">
        <f t="shared" si="66"/>
        <v>0</v>
      </c>
      <c r="CV73" s="2">
        <f t="shared" si="66"/>
        <v>0</v>
      </c>
      <c r="CW73" s="2">
        <f t="shared" si="66"/>
        <v>0</v>
      </c>
      <c r="CX73" s="2">
        <f t="shared" si="66"/>
        <v>0</v>
      </c>
      <c r="CY73" s="2">
        <f t="shared" si="66"/>
        <v>0</v>
      </c>
      <c r="CZ73" s="2">
        <f t="shared" si="66"/>
        <v>0</v>
      </c>
      <c r="DA73" s="2">
        <f t="shared" si="66"/>
        <v>0</v>
      </c>
      <c r="DB73" s="2">
        <f t="shared" si="66"/>
        <v>0</v>
      </c>
      <c r="DC73" s="2">
        <f t="shared" si="66"/>
        <v>0</v>
      </c>
      <c r="DD73" s="2">
        <f t="shared" si="66"/>
        <v>0</v>
      </c>
      <c r="DE73" s="2">
        <f t="shared" si="66"/>
        <v>0</v>
      </c>
      <c r="DF73" s="2">
        <f t="shared" si="66"/>
        <v>0</v>
      </c>
      <c r="DG73" s="3">
        <f t="shared" ref="DG73:EL73" si="67">DG87</f>
        <v>0</v>
      </c>
      <c r="DH73" s="3">
        <f t="shared" si="67"/>
        <v>0</v>
      </c>
      <c r="DI73" s="3">
        <f t="shared" si="67"/>
        <v>0</v>
      </c>
      <c r="DJ73" s="3">
        <f t="shared" si="67"/>
        <v>0</v>
      </c>
      <c r="DK73" s="3">
        <f t="shared" si="67"/>
        <v>0</v>
      </c>
      <c r="DL73" s="3">
        <f t="shared" si="67"/>
        <v>0</v>
      </c>
      <c r="DM73" s="3">
        <f t="shared" si="67"/>
        <v>0</v>
      </c>
      <c r="DN73" s="3">
        <f t="shared" si="67"/>
        <v>0</v>
      </c>
      <c r="DO73" s="3">
        <f t="shared" si="67"/>
        <v>0</v>
      </c>
      <c r="DP73" s="3">
        <f t="shared" si="67"/>
        <v>0</v>
      </c>
      <c r="DQ73" s="3">
        <f t="shared" si="67"/>
        <v>0</v>
      </c>
      <c r="DR73" s="3">
        <f t="shared" si="67"/>
        <v>0</v>
      </c>
      <c r="DS73" s="3">
        <f t="shared" si="67"/>
        <v>0</v>
      </c>
      <c r="DT73" s="3">
        <f t="shared" si="67"/>
        <v>0</v>
      </c>
      <c r="DU73" s="3">
        <f t="shared" si="67"/>
        <v>0</v>
      </c>
      <c r="DV73" s="3">
        <f t="shared" si="67"/>
        <v>0</v>
      </c>
      <c r="DW73" s="3">
        <f t="shared" si="67"/>
        <v>0</v>
      </c>
      <c r="DX73" s="3">
        <f t="shared" si="67"/>
        <v>0</v>
      </c>
      <c r="DY73" s="3">
        <f t="shared" si="67"/>
        <v>0</v>
      </c>
      <c r="DZ73" s="3">
        <f t="shared" si="67"/>
        <v>0</v>
      </c>
      <c r="EA73" s="3">
        <f t="shared" si="67"/>
        <v>0</v>
      </c>
      <c r="EB73" s="3">
        <f t="shared" si="67"/>
        <v>0</v>
      </c>
      <c r="EC73" s="3">
        <f t="shared" si="67"/>
        <v>0</v>
      </c>
      <c r="ED73" s="3">
        <f t="shared" si="67"/>
        <v>0</v>
      </c>
      <c r="EE73" s="3">
        <f t="shared" si="67"/>
        <v>0</v>
      </c>
      <c r="EF73" s="3">
        <f t="shared" si="67"/>
        <v>0</v>
      </c>
      <c r="EG73" s="3">
        <f t="shared" si="67"/>
        <v>0</v>
      </c>
      <c r="EH73" s="3">
        <f t="shared" si="67"/>
        <v>0</v>
      </c>
      <c r="EI73" s="3">
        <f t="shared" si="67"/>
        <v>0</v>
      </c>
      <c r="EJ73" s="3">
        <f t="shared" si="67"/>
        <v>0</v>
      </c>
      <c r="EK73" s="3">
        <f t="shared" si="67"/>
        <v>0</v>
      </c>
      <c r="EL73" s="3">
        <f t="shared" si="67"/>
        <v>0</v>
      </c>
      <c r="EM73" s="3">
        <f t="shared" ref="EM73:FR73" si="68">EM87</f>
        <v>0</v>
      </c>
      <c r="EN73" s="3">
        <f t="shared" si="68"/>
        <v>0</v>
      </c>
      <c r="EO73" s="3">
        <f t="shared" si="68"/>
        <v>0</v>
      </c>
      <c r="EP73" s="3">
        <f t="shared" si="68"/>
        <v>0</v>
      </c>
      <c r="EQ73" s="3">
        <f t="shared" si="68"/>
        <v>0</v>
      </c>
      <c r="ER73" s="3">
        <f t="shared" si="68"/>
        <v>0</v>
      </c>
      <c r="ES73" s="3">
        <f t="shared" si="68"/>
        <v>0</v>
      </c>
      <c r="ET73" s="3">
        <f t="shared" si="68"/>
        <v>0</v>
      </c>
      <c r="EU73" s="3">
        <f t="shared" si="68"/>
        <v>0</v>
      </c>
      <c r="EV73" s="3">
        <f t="shared" si="68"/>
        <v>0</v>
      </c>
      <c r="EW73" s="3">
        <f t="shared" si="68"/>
        <v>0</v>
      </c>
      <c r="EX73" s="3">
        <f t="shared" si="68"/>
        <v>0</v>
      </c>
      <c r="EY73" s="3">
        <f t="shared" si="68"/>
        <v>0</v>
      </c>
      <c r="EZ73" s="3">
        <f t="shared" si="68"/>
        <v>0</v>
      </c>
      <c r="FA73" s="3">
        <f t="shared" si="68"/>
        <v>0</v>
      </c>
      <c r="FB73" s="3">
        <f t="shared" si="68"/>
        <v>0</v>
      </c>
      <c r="FC73" s="3">
        <f t="shared" si="68"/>
        <v>0</v>
      </c>
      <c r="FD73" s="3">
        <f t="shared" si="68"/>
        <v>0</v>
      </c>
      <c r="FE73" s="3">
        <f t="shared" si="68"/>
        <v>0</v>
      </c>
      <c r="FF73" s="3">
        <f t="shared" si="68"/>
        <v>0</v>
      </c>
      <c r="FG73" s="3">
        <f t="shared" si="68"/>
        <v>0</v>
      </c>
      <c r="FH73" s="3">
        <f t="shared" si="68"/>
        <v>0</v>
      </c>
      <c r="FI73" s="3">
        <f t="shared" si="68"/>
        <v>0</v>
      </c>
      <c r="FJ73" s="3">
        <f t="shared" si="68"/>
        <v>0</v>
      </c>
      <c r="FK73" s="3">
        <f t="shared" si="68"/>
        <v>0</v>
      </c>
      <c r="FL73" s="3">
        <f t="shared" si="68"/>
        <v>0</v>
      </c>
      <c r="FM73" s="3">
        <f t="shared" si="68"/>
        <v>0</v>
      </c>
      <c r="FN73" s="3">
        <f t="shared" si="68"/>
        <v>0</v>
      </c>
      <c r="FO73" s="3">
        <f t="shared" si="68"/>
        <v>0</v>
      </c>
      <c r="FP73" s="3">
        <f t="shared" si="68"/>
        <v>0</v>
      </c>
      <c r="FQ73" s="3">
        <f t="shared" si="68"/>
        <v>0</v>
      </c>
      <c r="FR73" s="3">
        <f t="shared" si="68"/>
        <v>0</v>
      </c>
      <c r="FS73" s="3">
        <f t="shared" ref="FS73:GX73" si="69">FS87</f>
        <v>0</v>
      </c>
      <c r="FT73" s="3">
        <f t="shared" si="69"/>
        <v>0</v>
      </c>
      <c r="FU73" s="3">
        <f t="shared" si="69"/>
        <v>0</v>
      </c>
      <c r="FV73" s="3">
        <f t="shared" si="69"/>
        <v>0</v>
      </c>
      <c r="FW73" s="3">
        <f t="shared" si="69"/>
        <v>0</v>
      </c>
      <c r="FX73" s="3">
        <f t="shared" si="69"/>
        <v>0</v>
      </c>
      <c r="FY73" s="3">
        <f t="shared" si="69"/>
        <v>0</v>
      </c>
      <c r="FZ73" s="3">
        <f t="shared" si="69"/>
        <v>0</v>
      </c>
      <c r="GA73" s="3">
        <f t="shared" si="69"/>
        <v>0</v>
      </c>
      <c r="GB73" s="3">
        <f t="shared" si="69"/>
        <v>0</v>
      </c>
      <c r="GC73" s="3">
        <f t="shared" si="69"/>
        <v>0</v>
      </c>
      <c r="GD73" s="3">
        <f t="shared" si="69"/>
        <v>0</v>
      </c>
      <c r="GE73" s="3">
        <f t="shared" si="69"/>
        <v>0</v>
      </c>
      <c r="GF73" s="3">
        <f t="shared" si="69"/>
        <v>0</v>
      </c>
      <c r="GG73" s="3">
        <f t="shared" si="69"/>
        <v>0</v>
      </c>
      <c r="GH73" s="3">
        <f t="shared" si="69"/>
        <v>0</v>
      </c>
      <c r="GI73" s="3">
        <f t="shared" si="69"/>
        <v>0</v>
      </c>
      <c r="GJ73" s="3">
        <f t="shared" si="69"/>
        <v>0</v>
      </c>
      <c r="GK73" s="3">
        <f t="shared" si="69"/>
        <v>0</v>
      </c>
      <c r="GL73" s="3">
        <f t="shared" si="69"/>
        <v>0</v>
      </c>
      <c r="GM73" s="3">
        <f t="shared" si="69"/>
        <v>0</v>
      </c>
      <c r="GN73" s="3">
        <f t="shared" si="69"/>
        <v>0</v>
      </c>
      <c r="GO73" s="3">
        <f t="shared" si="69"/>
        <v>0</v>
      </c>
      <c r="GP73" s="3">
        <f t="shared" si="69"/>
        <v>0</v>
      </c>
      <c r="GQ73" s="3">
        <f t="shared" si="69"/>
        <v>0</v>
      </c>
      <c r="GR73" s="3">
        <f t="shared" si="69"/>
        <v>0</v>
      </c>
      <c r="GS73" s="3">
        <f t="shared" si="69"/>
        <v>0</v>
      </c>
      <c r="GT73" s="3">
        <f t="shared" si="69"/>
        <v>0</v>
      </c>
      <c r="GU73" s="3">
        <f t="shared" si="69"/>
        <v>0</v>
      </c>
      <c r="GV73" s="3">
        <f t="shared" si="69"/>
        <v>0</v>
      </c>
      <c r="GW73" s="3">
        <f t="shared" si="69"/>
        <v>0</v>
      </c>
      <c r="GX73" s="3">
        <f t="shared" si="69"/>
        <v>0</v>
      </c>
    </row>
    <row r="75" spans="1:245" x14ac:dyDescent="0.2">
      <c r="A75">
        <v>17</v>
      </c>
      <c r="B75">
        <v>1</v>
      </c>
      <c r="E75" t="s">
        <v>125</v>
      </c>
      <c r="F75" t="s">
        <v>16</v>
      </c>
      <c r="G75" t="s">
        <v>126</v>
      </c>
      <c r="H75" t="s">
        <v>18</v>
      </c>
      <c r="I75">
        <f>ROUND(500.9/100,9)</f>
        <v>5.0090000000000003</v>
      </c>
      <c r="J75">
        <v>0</v>
      </c>
      <c r="O75">
        <f t="shared" ref="O75:O85" si="70">ROUND(CP75,2)</f>
        <v>3040.16</v>
      </c>
      <c r="P75">
        <f t="shared" ref="P75:P85" si="71">ROUND(CQ75*I75,2)</f>
        <v>0</v>
      </c>
      <c r="Q75">
        <f t="shared" ref="Q75:Q85" si="72">ROUND(CR75*I75,2)</f>
        <v>0</v>
      </c>
      <c r="R75">
        <f t="shared" ref="R75:R85" si="73">ROUND(CS75*I75,2)</f>
        <v>0</v>
      </c>
      <c r="S75">
        <f t="shared" ref="S75:S85" si="74">ROUND(CT75*I75,2)</f>
        <v>3040.16</v>
      </c>
      <c r="T75">
        <f t="shared" ref="T75:T85" si="75">ROUND(CU75*I75,2)</f>
        <v>0</v>
      </c>
      <c r="U75">
        <f t="shared" ref="U75:U85" si="76">CV75*I75</f>
        <v>16.529700000000002</v>
      </c>
      <c r="V75">
        <f t="shared" ref="V75:V85" si="77">CW75*I75</f>
        <v>0</v>
      </c>
      <c r="W75">
        <f t="shared" ref="W75:W85" si="78">ROUND(CX75*I75,2)</f>
        <v>0</v>
      </c>
      <c r="X75">
        <f t="shared" ref="X75:X85" si="79">ROUND(CY75,2)</f>
        <v>2128.11</v>
      </c>
      <c r="Y75">
        <f t="shared" ref="Y75:Y85" si="80">ROUND(CZ75,2)</f>
        <v>304.02</v>
      </c>
      <c r="AA75">
        <v>15805332</v>
      </c>
      <c r="AB75">
        <f t="shared" ref="AB75:AB85" si="81">ROUND((AC75+AD75+AF75),6)</f>
        <v>606.94000000000005</v>
      </c>
      <c r="AC75">
        <f>ROUND((ES75),6)</f>
        <v>0</v>
      </c>
      <c r="AD75">
        <f>ROUND((((ET75)-(EU75))+AE75),6)</f>
        <v>0</v>
      </c>
      <c r="AE75">
        <f t="shared" ref="AE75:AF77" si="82">ROUND((EU75),6)</f>
        <v>0</v>
      </c>
      <c r="AF75">
        <f t="shared" si="82"/>
        <v>606.94000000000005</v>
      </c>
      <c r="AG75">
        <f t="shared" ref="AG75:AG85" si="83">ROUND((AP75),6)</f>
        <v>0</v>
      </c>
      <c r="AH75">
        <f t="shared" ref="AH75:AI77" si="84">(EW75)</f>
        <v>3.3</v>
      </c>
      <c r="AI75">
        <f t="shared" si="84"/>
        <v>0</v>
      </c>
      <c r="AJ75">
        <f t="shared" ref="AJ75:AJ85" si="85">(AS75)</f>
        <v>0</v>
      </c>
      <c r="AK75">
        <v>606.94000000000005</v>
      </c>
      <c r="AL75">
        <v>0</v>
      </c>
      <c r="AM75">
        <v>0</v>
      </c>
      <c r="AN75">
        <v>0</v>
      </c>
      <c r="AO75">
        <v>606.94000000000005</v>
      </c>
      <c r="AP75">
        <v>0</v>
      </c>
      <c r="AQ75">
        <v>3.3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0</v>
      </c>
      <c r="BI75">
        <v>4</v>
      </c>
      <c r="BJ75" t="s">
        <v>19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 t="shared" ref="CP75:CP85" si="86">(P75+Q75+S75)</f>
        <v>3040.16</v>
      </c>
      <c r="CQ75">
        <f t="shared" ref="CQ75:CQ85" si="87">(AC75*BC75*AW75)</f>
        <v>0</v>
      </c>
      <c r="CR75">
        <f>((((ET75)*BB75-(EU75)*BS75)+AE75*BS75)*AV75)</f>
        <v>0</v>
      </c>
      <c r="CS75">
        <f t="shared" ref="CS75:CS85" si="88">(AE75*BS75*AV75)</f>
        <v>0</v>
      </c>
      <c r="CT75">
        <f t="shared" ref="CT75:CT85" si="89">(AF75*BA75*AV75)</f>
        <v>606.94000000000005</v>
      </c>
      <c r="CU75">
        <f t="shared" ref="CU75:CU85" si="90">AG75</f>
        <v>0</v>
      </c>
      <c r="CV75">
        <f t="shared" ref="CV75:CV85" si="91">(AH75*AV75)</f>
        <v>3.3</v>
      </c>
      <c r="CW75">
        <f t="shared" ref="CW75:CW85" si="92">AI75</f>
        <v>0</v>
      </c>
      <c r="CX75">
        <f t="shared" ref="CX75:CX85" si="93">AJ75</f>
        <v>0</v>
      </c>
      <c r="CY75">
        <f t="shared" ref="CY75:CY85" si="94">((S75*BZ75)/100)</f>
        <v>2128.1119999999996</v>
      </c>
      <c r="CZ75">
        <f t="shared" ref="CZ75:CZ85" si="95">((S75*CA75)/100)</f>
        <v>304.01599999999996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1005</v>
      </c>
      <c r="DV75" t="s">
        <v>18</v>
      </c>
      <c r="DW75" t="s">
        <v>18</v>
      </c>
      <c r="DX75">
        <v>100</v>
      </c>
      <c r="EE75">
        <v>15435499</v>
      </c>
      <c r="EF75">
        <v>1</v>
      </c>
      <c r="EG75" t="s">
        <v>20</v>
      </c>
      <c r="EH75">
        <v>0</v>
      </c>
      <c r="EI75" t="s">
        <v>3</v>
      </c>
      <c r="EJ75">
        <v>4</v>
      </c>
      <c r="EK75">
        <v>0</v>
      </c>
      <c r="EL75" t="s">
        <v>21</v>
      </c>
      <c r="EM75" t="s">
        <v>22</v>
      </c>
      <c r="EO75" t="s">
        <v>3</v>
      </c>
      <c r="EQ75">
        <v>0</v>
      </c>
      <c r="ER75">
        <v>606.94000000000005</v>
      </c>
      <c r="ES75">
        <v>0</v>
      </c>
      <c r="ET75">
        <v>0</v>
      </c>
      <c r="EU75">
        <v>0</v>
      </c>
      <c r="EV75">
        <v>606.94000000000005</v>
      </c>
      <c r="EW75">
        <v>3.3</v>
      </c>
      <c r="EX75">
        <v>0</v>
      </c>
      <c r="EY75">
        <v>0</v>
      </c>
      <c r="FQ75">
        <v>0</v>
      </c>
      <c r="FR75">
        <f t="shared" ref="FR75:FR85" si="96">ROUND(IF(AND(BH75=3,BI75=3),P75,0),2)</f>
        <v>0</v>
      </c>
      <c r="FS75">
        <v>0</v>
      </c>
      <c r="FX75">
        <v>70</v>
      </c>
      <c r="FY75">
        <v>10</v>
      </c>
      <c r="GA75" t="s">
        <v>3</v>
      </c>
      <c r="GD75">
        <v>0</v>
      </c>
      <c r="GF75">
        <v>-1293082991</v>
      </c>
      <c r="GG75">
        <v>2</v>
      </c>
      <c r="GH75">
        <v>1</v>
      </c>
      <c r="GI75">
        <v>-2</v>
      </c>
      <c r="GJ75">
        <v>0</v>
      </c>
      <c r="GK75">
        <f>ROUND(R75*(R12)/100,2)</f>
        <v>0</v>
      </c>
      <c r="GL75">
        <f t="shared" ref="GL75:GL85" si="97">ROUND(IF(AND(BH75=3,BI75=3,FS75&lt;&gt;0),P75,0),2)</f>
        <v>0</v>
      </c>
      <c r="GM75">
        <f t="shared" ref="GM75:GM82" si="98">ROUND(O75+X75+Y75+GK75,2)+GX75</f>
        <v>5472.29</v>
      </c>
      <c r="GN75">
        <f t="shared" ref="GN75:GN82" si="99">IF(OR(BI75=0,BI75=1),ROUND(O75+X75+Y75+GK75,2),0)</f>
        <v>0</v>
      </c>
      <c r="GO75">
        <f t="shared" ref="GO75:GO82" si="100">IF(BI75=2,ROUND(O75+X75+Y75+GK75,2),0)</f>
        <v>0</v>
      </c>
      <c r="GP75">
        <f t="shared" ref="GP75:GP82" si="101">IF(BI75=4,ROUND(O75+X75+Y75+GK75,2)+GX75,0)</f>
        <v>5472.29</v>
      </c>
      <c r="GR75">
        <v>0</v>
      </c>
      <c r="GS75">
        <v>0</v>
      </c>
      <c r="GT75">
        <v>0</v>
      </c>
      <c r="GU75" t="s">
        <v>3</v>
      </c>
      <c r="GV75">
        <f t="shared" ref="GV75:GV85" si="102">ROUND((GT75),6)</f>
        <v>0</v>
      </c>
      <c r="GW75">
        <v>1</v>
      </c>
      <c r="GX75">
        <f t="shared" ref="GX75:GX85" si="103">ROUND(HC75*I75,2)</f>
        <v>0</v>
      </c>
      <c r="HA75">
        <v>0</v>
      </c>
      <c r="HB75">
        <v>0</v>
      </c>
      <c r="HC75">
        <f t="shared" ref="HC75:HC85" si="104">GV75*GW75</f>
        <v>0</v>
      </c>
      <c r="IK75">
        <v>0</v>
      </c>
    </row>
    <row r="76" spans="1:245" x14ac:dyDescent="0.2">
      <c r="A76">
        <v>17</v>
      </c>
      <c r="B76">
        <v>1</v>
      </c>
      <c r="C76">
        <f>ROW(SmtRes!A36)</f>
        <v>36</v>
      </c>
      <c r="D76">
        <f>ROW(EtalonRes!A35)</f>
        <v>35</v>
      </c>
      <c r="E76" t="s">
        <v>127</v>
      </c>
      <c r="F76" t="s">
        <v>24</v>
      </c>
      <c r="G76" t="s">
        <v>25</v>
      </c>
      <c r="H76" t="s">
        <v>18</v>
      </c>
      <c r="I76">
        <f>ROUND(500.9/100,9)</f>
        <v>5.0090000000000003</v>
      </c>
      <c r="J76">
        <v>0</v>
      </c>
      <c r="O76">
        <f t="shared" si="70"/>
        <v>546248.99</v>
      </c>
      <c r="P76">
        <f t="shared" si="71"/>
        <v>512719.34</v>
      </c>
      <c r="Q76">
        <f t="shared" si="72"/>
        <v>13109.81</v>
      </c>
      <c r="R76">
        <f t="shared" si="73"/>
        <v>10335.870000000001</v>
      </c>
      <c r="S76">
        <f t="shared" si="74"/>
        <v>20419.84</v>
      </c>
      <c r="T76">
        <f t="shared" si="75"/>
        <v>0</v>
      </c>
      <c r="U76">
        <f t="shared" si="76"/>
        <v>92.365960000000015</v>
      </c>
      <c r="V76">
        <f t="shared" si="77"/>
        <v>0</v>
      </c>
      <c r="W76">
        <f t="shared" si="78"/>
        <v>0</v>
      </c>
      <c r="X76">
        <f t="shared" si="79"/>
        <v>14293.89</v>
      </c>
      <c r="Y76">
        <f t="shared" si="80"/>
        <v>2041.98</v>
      </c>
      <c r="AA76">
        <v>15805332</v>
      </c>
      <c r="AB76">
        <f t="shared" si="81"/>
        <v>109053.5</v>
      </c>
      <c r="AC76">
        <f>ROUND((ES76),6)</f>
        <v>102359.62</v>
      </c>
      <c r="AD76">
        <f>ROUND((((ET76)-(EU76))+AE76),6)</f>
        <v>2617.25</v>
      </c>
      <c r="AE76">
        <f t="shared" si="82"/>
        <v>2063.46</v>
      </c>
      <c r="AF76">
        <f t="shared" si="82"/>
        <v>4076.63</v>
      </c>
      <c r="AG76">
        <f t="shared" si="83"/>
        <v>0</v>
      </c>
      <c r="AH76">
        <f t="shared" si="84"/>
        <v>18.440000000000001</v>
      </c>
      <c r="AI76">
        <f t="shared" si="84"/>
        <v>0</v>
      </c>
      <c r="AJ76">
        <f t="shared" si="85"/>
        <v>0</v>
      </c>
      <c r="AK76">
        <v>109053.5</v>
      </c>
      <c r="AL76">
        <v>102359.62</v>
      </c>
      <c r="AM76">
        <v>2617.25</v>
      </c>
      <c r="AN76">
        <v>2063.46</v>
      </c>
      <c r="AO76">
        <v>4076.63</v>
      </c>
      <c r="AP76">
        <v>0</v>
      </c>
      <c r="AQ76">
        <v>18.440000000000001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0</v>
      </c>
      <c r="BI76">
        <v>4</v>
      </c>
      <c r="BJ76" t="s">
        <v>26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86"/>
        <v>546248.99</v>
      </c>
      <c r="CQ76">
        <f t="shared" si="87"/>
        <v>102359.62</v>
      </c>
      <c r="CR76">
        <f>((((ET76)*BB76-(EU76)*BS76)+AE76*BS76)*AV76)</f>
        <v>2617.25</v>
      </c>
      <c r="CS76">
        <f t="shared" si="88"/>
        <v>2063.46</v>
      </c>
      <c r="CT76">
        <f t="shared" si="89"/>
        <v>4076.63</v>
      </c>
      <c r="CU76">
        <f t="shared" si="90"/>
        <v>0</v>
      </c>
      <c r="CV76">
        <f t="shared" si="91"/>
        <v>18.440000000000001</v>
      </c>
      <c r="CW76">
        <f t="shared" si="92"/>
        <v>0</v>
      </c>
      <c r="CX76">
        <f t="shared" si="93"/>
        <v>0</v>
      </c>
      <c r="CY76">
        <f t="shared" si="94"/>
        <v>14293.888000000001</v>
      </c>
      <c r="CZ76">
        <f t="shared" si="95"/>
        <v>2041.9839999999999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1005</v>
      </c>
      <c r="DV76" t="s">
        <v>18</v>
      </c>
      <c r="DW76" t="s">
        <v>18</v>
      </c>
      <c r="DX76">
        <v>100</v>
      </c>
      <c r="EE76">
        <v>15435499</v>
      </c>
      <c r="EF76">
        <v>1</v>
      </c>
      <c r="EG76" t="s">
        <v>20</v>
      </c>
      <c r="EH76">
        <v>0</v>
      </c>
      <c r="EI76" t="s">
        <v>3</v>
      </c>
      <c r="EJ76">
        <v>4</v>
      </c>
      <c r="EK76">
        <v>0</v>
      </c>
      <c r="EL76" t="s">
        <v>21</v>
      </c>
      <c r="EM76" t="s">
        <v>22</v>
      </c>
      <c r="EO76" t="s">
        <v>3</v>
      </c>
      <c r="EQ76">
        <v>0</v>
      </c>
      <c r="ER76">
        <v>109053.5</v>
      </c>
      <c r="ES76">
        <v>102359.62</v>
      </c>
      <c r="ET76">
        <v>2617.25</v>
      </c>
      <c r="EU76">
        <v>2063.46</v>
      </c>
      <c r="EV76">
        <v>4076.63</v>
      </c>
      <c r="EW76">
        <v>18.440000000000001</v>
      </c>
      <c r="EX76">
        <v>0</v>
      </c>
      <c r="EY76">
        <v>0</v>
      </c>
      <c r="FQ76">
        <v>0</v>
      </c>
      <c r="FR76">
        <f t="shared" si="96"/>
        <v>0</v>
      </c>
      <c r="FS76">
        <v>0</v>
      </c>
      <c r="FX76">
        <v>70</v>
      </c>
      <c r="FY76">
        <v>10</v>
      </c>
      <c r="GA76" t="s">
        <v>3</v>
      </c>
      <c r="GD76">
        <v>0</v>
      </c>
      <c r="GF76">
        <v>1018568157</v>
      </c>
      <c r="GG76">
        <v>2</v>
      </c>
      <c r="GH76">
        <v>1</v>
      </c>
      <c r="GI76">
        <v>-2</v>
      </c>
      <c r="GJ76">
        <v>0</v>
      </c>
      <c r="GK76">
        <f>ROUND(R76*(R12)/100,2)</f>
        <v>11162.74</v>
      </c>
      <c r="GL76">
        <f t="shared" si="97"/>
        <v>0</v>
      </c>
      <c r="GM76">
        <f t="shared" si="98"/>
        <v>573747.6</v>
      </c>
      <c r="GN76">
        <f t="shared" si="99"/>
        <v>0</v>
      </c>
      <c r="GO76">
        <f t="shared" si="100"/>
        <v>0</v>
      </c>
      <c r="GP76">
        <f t="shared" si="101"/>
        <v>573747.6</v>
      </c>
      <c r="GR76">
        <v>0</v>
      </c>
      <c r="GS76">
        <v>3</v>
      </c>
      <c r="GT76">
        <v>0</v>
      </c>
      <c r="GU76" t="s">
        <v>3</v>
      </c>
      <c r="GV76">
        <f t="shared" si="102"/>
        <v>0</v>
      </c>
      <c r="GW76">
        <v>1</v>
      </c>
      <c r="GX76">
        <f t="shared" si="103"/>
        <v>0</v>
      </c>
      <c r="HA76">
        <v>0</v>
      </c>
      <c r="HB76">
        <v>0</v>
      </c>
      <c r="HC76">
        <f t="shared" si="104"/>
        <v>0</v>
      </c>
      <c r="IK76">
        <v>0</v>
      </c>
    </row>
    <row r="77" spans="1:245" x14ac:dyDescent="0.2">
      <c r="A77">
        <v>18</v>
      </c>
      <c r="B77">
        <v>1</v>
      </c>
      <c r="C77">
        <v>36</v>
      </c>
      <c r="E77" t="s">
        <v>128</v>
      </c>
      <c r="F77" t="s">
        <v>28</v>
      </c>
      <c r="G77" t="s">
        <v>29</v>
      </c>
      <c r="H77" t="s">
        <v>30</v>
      </c>
      <c r="I77">
        <f>I76*J77</f>
        <v>-0.26297300000000001</v>
      </c>
      <c r="J77">
        <v>-5.2500099820323415E-2</v>
      </c>
      <c r="O77">
        <f t="shared" si="70"/>
        <v>-196782.61</v>
      </c>
      <c r="P77">
        <f t="shared" si="71"/>
        <v>-196782.61</v>
      </c>
      <c r="Q77">
        <f t="shared" si="72"/>
        <v>0</v>
      </c>
      <c r="R77">
        <f t="shared" si="73"/>
        <v>0</v>
      </c>
      <c r="S77">
        <f t="shared" si="74"/>
        <v>0</v>
      </c>
      <c r="T77">
        <f t="shared" si="75"/>
        <v>0</v>
      </c>
      <c r="U77">
        <f t="shared" si="76"/>
        <v>0</v>
      </c>
      <c r="V77">
        <f t="shared" si="77"/>
        <v>0</v>
      </c>
      <c r="W77">
        <f t="shared" si="78"/>
        <v>0</v>
      </c>
      <c r="X77">
        <f t="shared" si="79"/>
        <v>0</v>
      </c>
      <c r="Y77">
        <f t="shared" si="80"/>
        <v>0</v>
      </c>
      <c r="AA77">
        <v>15805332</v>
      </c>
      <c r="AB77">
        <f t="shared" si="81"/>
        <v>748299.67</v>
      </c>
      <c r="AC77">
        <f>ROUND((ES77),6)</f>
        <v>748299.67</v>
      </c>
      <c r="AD77">
        <f>ROUND((((ET77)-(EU77))+AE77),6)</f>
        <v>0</v>
      </c>
      <c r="AE77">
        <f t="shared" si="82"/>
        <v>0</v>
      </c>
      <c r="AF77">
        <f t="shared" si="82"/>
        <v>0</v>
      </c>
      <c r="AG77">
        <f t="shared" si="83"/>
        <v>0</v>
      </c>
      <c r="AH77">
        <f t="shared" si="84"/>
        <v>0</v>
      </c>
      <c r="AI77">
        <f t="shared" si="84"/>
        <v>0</v>
      </c>
      <c r="AJ77">
        <f t="shared" si="85"/>
        <v>0</v>
      </c>
      <c r="AK77">
        <v>748299.67</v>
      </c>
      <c r="AL77">
        <v>748299.67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3</v>
      </c>
      <c r="BI77">
        <v>4</v>
      </c>
      <c r="BJ77" t="s">
        <v>31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si="86"/>
        <v>-196782.61</v>
      </c>
      <c r="CQ77">
        <f t="shared" si="87"/>
        <v>748299.67</v>
      </c>
      <c r="CR77">
        <f>((((ET77)*BB77-(EU77)*BS77)+AE77*BS77)*AV77)</f>
        <v>0</v>
      </c>
      <c r="CS77">
        <f t="shared" si="88"/>
        <v>0</v>
      </c>
      <c r="CT77">
        <f t="shared" si="89"/>
        <v>0</v>
      </c>
      <c r="CU77">
        <f t="shared" si="90"/>
        <v>0</v>
      </c>
      <c r="CV77">
        <f t="shared" si="91"/>
        <v>0</v>
      </c>
      <c r="CW77">
        <f t="shared" si="92"/>
        <v>0</v>
      </c>
      <c r="CX77">
        <f t="shared" si="93"/>
        <v>0</v>
      </c>
      <c r="CY77">
        <f t="shared" si="94"/>
        <v>0</v>
      </c>
      <c r="CZ77">
        <f t="shared" si="95"/>
        <v>0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1009</v>
      </c>
      <c r="DV77" t="s">
        <v>30</v>
      </c>
      <c r="DW77" t="s">
        <v>30</v>
      </c>
      <c r="DX77">
        <v>1000</v>
      </c>
      <c r="EE77">
        <v>15435499</v>
      </c>
      <c r="EF77">
        <v>1</v>
      </c>
      <c r="EG77" t="s">
        <v>20</v>
      </c>
      <c r="EH77">
        <v>0</v>
      </c>
      <c r="EI77" t="s">
        <v>3</v>
      </c>
      <c r="EJ77">
        <v>4</v>
      </c>
      <c r="EK77">
        <v>0</v>
      </c>
      <c r="EL77" t="s">
        <v>21</v>
      </c>
      <c r="EM77" t="s">
        <v>22</v>
      </c>
      <c r="EO77" t="s">
        <v>3</v>
      </c>
      <c r="EQ77">
        <v>0</v>
      </c>
      <c r="ER77">
        <v>748299.67</v>
      </c>
      <c r="ES77">
        <v>748299.67</v>
      </c>
      <c r="ET77">
        <v>0</v>
      </c>
      <c r="EU77">
        <v>0</v>
      </c>
      <c r="EV77">
        <v>0</v>
      </c>
      <c r="EW77">
        <v>0</v>
      </c>
      <c r="EX77">
        <v>0</v>
      </c>
      <c r="FQ77">
        <v>0</v>
      </c>
      <c r="FR77">
        <f t="shared" si="96"/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-629368275</v>
      </c>
      <c r="GG77">
        <v>2</v>
      </c>
      <c r="GH77">
        <v>1</v>
      </c>
      <c r="GI77">
        <v>-2</v>
      </c>
      <c r="GJ77">
        <v>0</v>
      </c>
      <c r="GK77">
        <f>ROUND(R77*(R12)/100,2)</f>
        <v>0</v>
      </c>
      <c r="GL77">
        <f t="shared" si="97"/>
        <v>0</v>
      </c>
      <c r="GM77">
        <f t="shared" si="98"/>
        <v>-196782.61</v>
      </c>
      <c r="GN77">
        <f t="shared" si="99"/>
        <v>0</v>
      </c>
      <c r="GO77">
        <f t="shared" si="100"/>
        <v>0</v>
      </c>
      <c r="GP77">
        <f t="shared" si="101"/>
        <v>-196782.61</v>
      </c>
      <c r="GR77">
        <v>0</v>
      </c>
      <c r="GS77">
        <v>3</v>
      </c>
      <c r="GT77">
        <v>0</v>
      </c>
      <c r="GU77" t="s">
        <v>3</v>
      </c>
      <c r="GV77">
        <f t="shared" si="102"/>
        <v>0</v>
      </c>
      <c r="GW77">
        <v>1</v>
      </c>
      <c r="GX77">
        <f t="shared" si="103"/>
        <v>0</v>
      </c>
      <c r="HA77">
        <v>0</v>
      </c>
      <c r="HB77">
        <v>0</v>
      </c>
      <c r="HC77">
        <f t="shared" si="104"/>
        <v>0</v>
      </c>
      <c r="IK77">
        <v>0</v>
      </c>
    </row>
    <row r="78" spans="1:245" x14ac:dyDescent="0.2">
      <c r="A78">
        <v>17</v>
      </c>
      <c r="B78">
        <v>1</v>
      </c>
      <c r="C78">
        <f>ROW(SmtRes!A43)</f>
        <v>43</v>
      </c>
      <c r="D78">
        <f>ROW(EtalonRes!A41)</f>
        <v>41</v>
      </c>
      <c r="E78" t="s">
        <v>129</v>
      </c>
      <c r="F78" t="s">
        <v>33</v>
      </c>
      <c r="G78" t="s">
        <v>34</v>
      </c>
      <c r="H78" t="s">
        <v>18</v>
      </c>
      <c r="I78">
        <f>ROUND(500.9/100,9)</f>
        <v>5.0090000000000003</v>
      </c>
      <c r="J78">
        <v>0</v>
      </c>
      <c r="O78">
        <f t="shared" si="70"/>
        <v>502480.84</v>
      </c>
      <c r="P78">
        <f t="shared" si="71"/>
        <v>475044.04</v>
      </c>
      <c r="Q78">
        <f t="shared" si="72"/>
        <v>12343.68</v>
      </c>
      <c r="R78">
        <f t="shared" si="73"/>
        <v>9758.0300000000007</v>
      </c>
      <c r="S78">
        <f t="shared" si="74"/>
        <v>15093.12</v>
      </c>
      <c r="T78">
        <f t="shared" si="75"/>
        <v>0</v>
      </c>
      <c r="U78">
        <f t="shared" si="76"/>
        <v>66.369250000000008</v>
      </c>
      <c r="V78">
        <f t="shared" si="77"/>
        <v>0</v>
      </c>
      <c r="W78">
        <f t="shared" si="78"/>
        <v>0</v>
      </c>
      <c r="X78">
        <f t="shared" si="79"/>
        <v>10565.18</v>
      </c>
      <c r="Y78">
        <f t="shared" si="80"/>
        <v>1509.31</v>
      </c>
      <c r="AA78">
        <v>15805332</v>
      </c>
      <c r="AB78">
        <f t="shared" si="81"/>
        <v>100315.6</v>
      </c>
      <c r="AC78">
        <f>ROUND(((ES78*5)),6)</f>
        <v>94838.1</v>
      </c>
      <c r="AD78">
        <f>ROUND(((((ET78*5))-((EU78*5)))+AE78),6)</f>
        <v>2464.3000000000002</v>
      </c>
      <c r="AE78">
        <f>ROUND(((EU78*5)),6)</f>
        <v>1948.1</v>
      </c>
      <c r="AF78">
        <f>ROUND(((EV78*5)),6)</f>
        <v>3013.2</v>
      </c>
      <c r="AG78">
        <f t="shared" si="83"/>
        <v>0</v>
      </c>
      <c r="AH78">
        <f>((EW78*5))</f>
        <v>13.25</v>
      </c>
      <c r="AI78">
        <f>((EX78*5))</f>
        <v>0</v>
      </c>
      <c r="AJ78">
        <f t="shared" si="85"/>
        <v>0</v>
      </c>
      <c r="AK78">
        <v>20063.12</v>
      </c>
      <c r="AL78">
        <v>18967.62</v>
      </c>
      <c r="AM78">
        <v>492.86</v>
      </c>
      <c r="AN78">
        <v>389.62</v>
      </c>
      <c r="AO78">
        <v>602.64</v>
      </c>
      <c r="AP78">
        <v>0</v>
      </c>
      <c r="AQ78">
        <v>2.65</v>
      </c>
      <c r="AR78">
        <v>0</v>
      </c>
      <c r="AS78">
        <v>0</v>
      </c>
      <c r="AT78">
        <v>70</v>
      </c>
      <c r="AU78">
        <v>10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0</v>
      </c>
      <c r="BI78">
        <v>4</v>
      </c>
      <c r="BJ78" t="s">
        <v>35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10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86"/>
        <v>502480.83999999997</v>
      </c>
      <c r="CQ78">
        <f t="shared" si="87"/>
        <v>94838.1</v>
      </c>
      <c r="CR78">
        <f>(((((ET78*5))*BB78-((EU78*5))*BS78)+AE78*BS78)*AV78)</f>
        <v>2464.3000000000002</v>
      </c>
      <c r="CS78">
        <f t="shared" si="88"/>
        <v>1948.1</v>
      </c>
      <c r="CT78">
        <f t="shared" si="89"/>
        <v>3013.2</v>
      </c>
      <c r="CU78">
        <f t="shared" si="90"/>
        <v>0</v>
      </c>
      <c r="CV78">
        <f t="shared" si="91"/>
        <v>13.25</v>
      </c>
      <c r="CW78">
        <f t="shared" si="92"/>
        <v>0</v>
      </c>
      <c r="CX78">
        <f t="shared" si="93"/>
        <v>0</v>
      </c>
      <c r="CY78">
        <f t="shared" si="94"/>
        <v>10565.184000000001</v>
      </c>
      <c r="CZ78">
        <f t="shared" si="95"/>
        <v>1509.3120000000001</v>
      </c>
      <c r="DC78" t="s">
        <v>3</v>
      </c>
      <c r="DD78" t="s">
        <v>36</v>
      </c>
      <c r="DE78" t="s">
        <v>36</v>
      </c>
      <c r="DF78" t="s">
        <v>36</v>
      </c>
      <c r="DG78" t="s">
        <v>36</v>
      </c>
      <c r="DH78" t="s">
        <v>3</v>
      </c>
      <c r="DI78" t="s">
        <v>36</v>
      </c>
      <c r="DJ78" t="s">
        <v>36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1005</v>
      </c>
      <c r="DV78" t="s">
        <v>18</v>
      </c>
      <c r="DW78" t="s">
        <v>18</v>
      </c>
      <c r="DX78">
        <v>100</v>
      </c>
      <c r="EE78">
        <v>15435499</v>
      </c>
      <c r="EF78">
        <v>1</v>
      </c>
      <c r="EG78" t="s">
        <v>20</v>
      </c>
      <c r="EH78">
        <v>0</v>
      </c>
      <c r="EI78" t="s">
        <v>3</v>
      </c>
      <c r="EJ78">
        <v>4</v>
      </c>
      <c r="EK78">
        <v>0</v>
      </c>
      <c r="EL78" t="s">
        <v>21</v>
      </c>
      <c r="EM78" t="s">
        <v>22</v>
      </c>
      <c r="EO78" t="s">
        <v>3</v>
      </c>
      <c r="EQ78">
        <v>0</v>
      </c>
      <c r="ER78">
        <v>20063.12</v>
      </c>
      <c r="ES78">
        <v>18967.62</v>
      </c>
      <c r="ET78">
        <v>492.86</v>
      </c>
      <c r="EU78">
        <v>389.62</v>
      </c>
      <c r="EV78">
        <v>602.64</v>
      </c>
      <c r="EW78">
        <v>2.65</v>
      </c>
      <c r="EX78">
        <v>0</v>
      </c>
      <c r="EY78">
        <v>0</v>
      </c>
      <c r="FQ78">
        <v>0</v>
      </c>
      <c r="FR78">
        <f t="shared" si="96"/>
        <v>0</v>
      </c>
      <c r="FS78">
        <v>0</v>
      </c>
      <c r="FX78">
        <v>70</v>
      </c>
      <c r="FY78">
        <v>10</v>
      </c>
      <c r="GA78" t="s">
        <v>3</v>
      </c>
      <c r="GD78">
        <v>0</v>
      </c>
      <c r="GF78">
        <v>181524343</v>
      </c>
      <c r="GG78">
        <v>2</v>
      </c>
      <c r="GH78">
        <v>1</v>
      </c>
      <c r="GI78">
        <v>-2</v>
      </c>
      <c r="GJ78">
        <v>0</v>
      </c>
      <c r="GK78">
        <f>ROUND(R78*(R12)/100,2)</f>
        <v>10538.67</v>
      </c>
      <c r="GL78">
        <f t="shared" si="97"/>
        <v>0</v>
      </c>
      <c r="GM78">
        <f t="shared" si="98"/>
        <v>525094</v>
      </c>
      <c r="GN78">
        <f t="shared" si="99"/>
        <v>0</v>
      </c>
      <c r="GO78">
        <f t="shared" si="100"/>
        <v>0</v>
      </c>
      <c r="GP78">
        <f t="shared" si="101"/>
        <v>525094</v>
      </c>
      <c r="GR78">
        <v>0</v>
      </c>
      <c r="GS78">
        <v>3</v>
      </c>
      <c r="GT78">
        <v>0</v>
      </c>
      <c r="GU78" t="s">
        <v>3</v>
      </c>
      <c r="GV78">
        <f t="shared" si="102"/>
        <v>0</v>
      </c>
      <c r="GW78">
        <v>1</v>
      </c>
      <c r="GX78">
        <f t="shared" si="103"/>
        <v>0</v>
      </c>
      <c r="HA78">
        <v>0</v>
      </c>
      <c r="HB78">
        <v>0</v>
      </c>
      <c r="HC78">
        <f t="shared" si="104"/>
        <v>0</v>
      </c>
      <c r="IK78">
        <v>0</v>
      </c>
    </row>
    <row r="79" spans="1:245" x14ac:dyDescent="0.2">
      <c r="A79">
        <v>18</v>
      </c>
      <c r="B79">
        <v>1</v>
      </c>
      <c r="C79">
        <v>40</v>
      </c>
      <c r="E79" t="s">
        <v>130</v>
      </c>
      <c r="F79" t="s">
        <v>38</v>
      </c>
      <c r="G79" t="s">
        <v>39</v>
      </c>
      <c r="H79" t="s">
        <v>40</v>
      </c>
      <c r="I79">
        <f>I78*J79</f>
        <v>-3681.6150000000002</v>
      </c>
      <c r="J79">
        <v>-735</v>
      </c>
      <c r="O79">
        <f t="shared" si="70"/>
        <v>-65422.3</v>
      </c>
      <c r="P79">
        <f t="shared" si="71"/>
        <v>-65422.3</v>
      </c>
      <c r="Q79">
        <f t="shared" si="72"/>
        <v>0</v>
      </c>
      <c r="R79">
        <f t="shared" si="73"/>
        <v>0</v>
      </c>
      <c r="S79">
        <f t="shared" si="74"/>
        <v>0</v>
      </c>
      <c r="T79">
        <f t="shared" si="75"/>
        <v>0</v>
      </c>
      <c r="U79">
        <f t="shared" si="76"/>
        <v>0</v>
      </c>
      <c r="V79">
        <f t="shared" si="77"/>
        <v>0</v>
      </c>
      <c r="W79">
        <f t="shared" si="78"/>
        <v>0</v>
      </c>
      <c r="X79">
        <f t="shared" si="79"/>
        <v>0</v>
      </c>
      <c r="Y79">
        <f t="shared" si="80"/>
        <v>0</v>
      </c>
      <c r="AA79">
        <v>15805332</v>
      </c>
      <c r="AB79">
        <f t="shared" si="81"/>
        <v>17.77</v>
      </c>
      <c r="AC79">
        <f t="shared" ref="AC79:AC84" si="105">ROUND((ES79),6)</f>
        <v>17.77</v>
      </c>
      <c r="AD79">
        <f t="shared" ref="AD79:AD84" si="106">ROUND((((ET79)-(EU79))+AE79),6)</f>
        <v>0</v>
      </c>
      <c r="AE79">
        <f t="shared" ref="AE79:AF84" si="107">ROUND((EU79),6)</f>
        <v>0</v>
      </c>
      <c r="AF79">
        <f t="shared" si="107"/>
        <v>0</v>
      </c>
      <c r="AG79">
        <f t="shared" si="83"/>
        <v>0</v>
      </c>
      <c r="AH79">
        <f t="shared" ref="AH79:AI84" si="108">(EW79)</f>
        <v>0</v>
      </c>
      <c r="AI79">
        <f t="shared" si="108"/>
        <v>0</v>
      </c>
      <c r="AJ79">
        <f t="shared" si="85"/>
        <v>0</v>
      </c>
      <c r="AK79">
        <v>17.77</v>
      </c>
      <c r="AL79">
        <v>17.77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3</v>
      </c>
      <c r="BI79">
        <v>4</v>
      </c>
      <c r="BJ79" t="s">
        <v>41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86"/>
        <v>-65422.3</v>
      </c>
      <c r="CQ79">
        <f t="shared" si="87"/>
        <v>17.77</v>
      </c>
      <c r="CR79">
        <f t="shared" ref="CR79:CR84" si="109">((((ET79)*BB79-(EU79)*BS79)+AE79*BS79)*AV79)</f>
        <v>0</v>
      </c>
      <c r="CS79">
        <f t="shared" si="88"/>
        <v>0</v>
      </c>
      <c r="CT79">
        <f t="shared" si="89"/>
        <v>0</v>
      </c>
      <c r="CU79">
        <f t="shared" si="90"/>
        <v>0</v>
      </c>
      <c r="CV79">
        <f t="shared" si="91"/>
        <v>0</v>
      </c>
      <c r="CW79">
        <f t="shared" si="92"/>
        <v>0</v>
      </c>
      <c r="CX79">
        <f t="shared" si="93"/>
        <v>0</v>
      </c>
      <c r="CY79">
        <f t="shared" si="94"/>
        <v>0</v>
      </c>
      <c r="CZ79">
        <f t="shared" si="95"/>
        <v>0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1009</v>
      </c>
      <c r="DV79" t="s">
        <v>40</v>
      </c>
      <c r="DW79" t="s">
        <v>40</v>
      </c>
      <c r="DX79">
        <v>1</v>
      </c>
      <c r="EE79">
        <v>15435499</v>
      </c>
      <c r="EF79">
        <v>1</v>
      </c>
      <c r="EG79" t="s">
        <v>20</v>
      </c>
      <c r="EH79">
        <v>0</v>
      </c>
      <c r="EI79" t="s">
        <v>3</v>
      </c>
      <c r="EJ79">
        <v>4</v>
      </c>
      <c r="EK79">
        <v>0</v>
      </c>
      <c r="EL79" t="s">
        <v>21</v>
      </c>
      <c r="EM79" t="s">
        <v>22</v>
      </c>
      <c r="EO79" t="s">
        <v>3</v>
      </c>
      <c r="EQ79">
        <v>0</v>
      </c>
      <c r="ER79">
        <v>17.77</v>
      </c>
      <c r="ES79">
        <v>17.77</v>
      </c>
      <c r="ET79">
        <v>0</v>
      </c>
      <c r="EU79">
        <v>0</v>
      </c>
      <c r="EV79">
        <v>0</v>
      </c>
      <c r="EW79">
        <v>0</v>
      </c>
      <c r="EX79">
        <v>0</v>
      </c>
      <c r="FQ79">
        <v>0</v>
      </c>
      <c r="FR79">
        <f t="shared" si="96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-78256104</v>
      </c>
      <c r="GG79">
        <v>2</v>
      </c>
      <c r="GH79">
        <v>1</v>
      </c>
      <c r="GI79">
        <v>-2</v>
      </c>
      <c r="GJ79">
        <v>0</v>
      </c>
      <c r="GK79">
        <f>ROUND(R79*(R12)/100,2)</f>
        <v>0</v>
      </c>
      <c r="GL79">
        <f t="shared" si="97"/>
        <v>0</v>
      </c>
      <c r="GM79">
        <f t="shared" si="98"/>
        <v>-65422.3</v>
      </c>
      <c r="GN79">
        <f t="shared" si="99"/>
        <v>0</v>
      </c>
      <c r="GO79">
        <f t="shared" si="100"/>
        <v>0</v>
      </c>
      <c r="GP79">
        <f t="shared" si="101"/>
        <v>-65422.3</v>
      </c>
      <c r="GR79">
        <v>0</v>
      </c>
      <c r="GS79">
        <v>3</v>
      </c>
      <c r="GT79">
        <v>0</v>
      </c>
      <c r="GU79" t="s">
        <v>3</v>
      </c>
      <c r="GV79">
        <f t="shared" si="102"/>
        <v>0</v>
      </c>
      <c r="GW79">
        <v>1</v>
      </c>
      <c r="GX79">
        <f t="shared" si="103"/>
        <v>0</v>
      </c>
      <c r="HA79">
        <v>0</v>
      </c>
      <c r="HB79">
        <v>0</v>
      </c>
      <c r="HC79">
        <f t="shared" si="104"/>
        <v>0</v>
      </c>
      <c r="IK79">
        <v>0</v>
      </c>
    </row>
    <row r="80" spans="1:245" x14ac:dyDescent="0.2">
      <c r="A80">
        <v>18</v>
      </c>
      <c r="B80">
        <v>1</v>
      </c>
      <c r="C80">
        <v>41</v>
      </c>
      <c r="E80" t="s">
        <v>131</v>
      </c>
      <c r="F80" t="s">
        <v>43</v>
      </c>
      <c r="G80" t="s">
        <v>44</v>
      </c>
      <c r="H80" t="s">
        <v>40</v>
      </c>
      <c r="I80">
        <f>I78*J80</f>
        <v>3681.6149999999998</v>
      </c>
      <c r="J80">
        <v>734.99999999999989</v>
      </c>
      <c r="O80">
        <f t="shared" si="70"/>
        <v>348722.57</v>
      </c>
      <c r="P80">
        <f t="shared" si="71"/>
        <v>348722.57</v>
      </c>
      <c r="Q80">
        <f t="shared" si="72"/>
        <v>0</v>
      </c>
      <c r="R80">
        <f t="shared" si="73"/>
        <v>0</v>
      </c>
      <c r="S80">
        <f t="shared" si="74"/>
        <v>0</v>
      </c>
      <c r="T80">
        <f t="shared" si="75"/>
        <v>0</v>
      </c>
      <c r="U80">
        <f t="shared" si="76"/>
        <v>0</v>
      </c>
      <c r="V80">
        <f t="shared" si="77"/>
        <v>0</v>
      </c>
      <c r="W80">
        <f t="shared" si="78"/>
        <v>0</v>
      </c>
      <c r="X80">
        <f t="shared" si="79"/>
        <v>0</v>
      </c>
      <c r="Y80">
        <f t="shared" si="80"/>
        <v>0</v>
      </c>
      <c r="AA80">
        <v>15805332</v>
      </c>
      <c r="AB80">
        <f t="shared" si="81"/>
        <v>94.72</v>
      </c>
      <c r="AC80">
        <f t="shared" si="105"/>
        <v>94.72</v>
      </c>
      <c r="AD80">
        <f t="shared" si="106"/>
        <v>0</v>
      </c>
      <c r="AE80">
        <f t="shared" si="107"/>
        <v>0</v>
      </c>
      <c r="AF80">
        <f t="shared" si="107"/>
        <v>0</v>
      </c>
      <c r="AG80">
        <f t="shared" si="83"/>
        <v>0</v>
      </c>
      <c r="AH80">
        <f t="shared" si="108"/>
        <v>0</v>
      </c>
      <c r="AI80">
        <f t="shared" si="108"/>
        <v>0</v>
      </c>
      <c r="AJ80">
        <f t="shared" si="85"/>
        <v>0</v>
      </c>
      <c r="AK80">
        <v>94.72</v>
      </c>
      <c r="AL80">
        <v>94.72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3</v>
      </c>
      <c r="BI80">
        <v>4</v>
      </c>
      <c r="BJ80" t="s">
        <v>45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86"/>
        <v>348722.57</v>
      </c>
      <c r="CQ80">
        <f t="shared" si="87"/>
        <v>94.72</v>
      </c>
      <c r="CR80">
        <f t="shared" si="109"/>
        <v>0</v>
      </c>
      <c r="CS80">
        <f t="shared" si="88"/>
        <v>0</v>
      </c>
      <c r="CT80">
        <f t="shared" si="89"/>
        <v>0</v>
      </c>
      <c r="CU80">
        <f t="shared" si="90"/>
        <v>0</v>
      </c>
      <c r="CV80">
        <f t="shared" si="91"/>
        <v>0</v>
      </c>
      <c r="CW80">
        <f t="shared" si="92"/>
        <v>0</v>
      </c>
      <c r="CX80">
        <f t="shared" si="93"/>
        <v>0</v>
      </c>
      <c r="CY80">
        <f t="shared" si="94"/>
        <v>0</v>
      </c>
      <c r="CZ80">
        <f t="shared" si="95"/>
        <v>0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1009</v>
      </c>
      <c r="DV80" t="s">
        <v>40</v>
      </c>
      <c r="DW80" t="s">
        <v>40</v>
      </c>
      <c r="DX80">
        <v>1</v>
      </c>
      <c r="EE80">
        <v>15435499</v>
      </c>
      <c r="EF80">
        <v>1</v>
      </c>
      <c r="EG80" t="s">
        <v>20</v>
      </c>
      <c r="EH80">
        <v>0</v>
      </c>
      <c r="EI80" t="s">
        <v>3</v>
      </c>
      <c r="EJ80">
        <v>4</v>
      </c>
      <c r="EK80">
        <v>0</v>
      </c>
      <c r="EL80" t="s">
        <v>21</v>
      </c>
      <c r="EM80" t="s">
        <v>22</v>
      </c>
      <c r="EO80" t="s">
        <v>3</v>
      </c>
      <c r="EQ80">
        <v>0</v>
      </c>
      <c r="ER80">
        <v>94.72</v>
      </c>
      <c r="ES80">
        <v>94.72</v>
      </c>
      <c r="ET80">
        <v>0</v>
      </c>
      <c r="EU80">
        <v>0</v>
      </c>
      <c r="EV80">
        <v>0</v>
      </c>
      <c r="EW80">
        <v>0</v>
      </c>
      <c r="EX80">
        <v>0</v>
      </c>
      <c r="FQ80">
        <v>0</v>
      </c>
      <c r="FR80">
        <f t="shared" si="96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-229590560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 t="shared" si="97"/>
        <v>0</v>
      </c>
      <c r="GM80">
        <f t="shared" si="98"/>
        <v>348722.57</v>
      </c>
      <c r="GN80">
        <f t="shared" si="99"/>
        <v>0</v>
      </c>
      <c r="GO80">
        <f t="shared" si="100"/>
        <v>0</v>
      </c>
      <c r="GP80">
        <f t="shared" si="101"/>
        <v>348722.57</v>
      </c>
      <c r="GR80">
        <v>0</v>
      </c>
      <c r="GS80">
        <v>3</v>
      </c>
      <c r="GT80">
        <v>0</v>
      </c>
      <c r="GU80" t="s">
        <v>3</v>
      </c>
      <c r="GV80">
        <f t="shared" si="102"/>
        <v>0</v>
      </c>
      <c r="GW80">
        <v>1</v>
      </c>
      <c r="GX80">
        <f t="shared" si="103"/>
        <v>0</v>
      </c>
      <c r="HA80">
        <v>0</v>
      </c>
      <c r="HB80">
        <v>0</v>
      </c>
      <c r="HC80">
        <f t="shared" si="104"/>
        <v>0</v>
      </c>
      <c r="IK80">
        <v>0</v>
      </c>
    </row>
    <row r="81" spans="1:245" x14ac:dyDescent="0.2">
      <c r="A81">
        <v>17</v>
      </c>
      <c r="B81">
        <v>1</v>
      </c>
      <c r="E81" t="s">
        <v>132</v>
      </c>
      <c r="F81" t="s">
        <v>47</v>
      </c>
      <c r="G81" t="s">
        <v>48</v>
      </c>
      <c r="H81" t="s">
        <v>30</v>
      </c>
      <c r="I81">
        <f>ROUND(I85*0.9,9)</f>
        <v>8.6616</v>
      </c>
      <c r="J81">
        <v>0</v>
      </c>
      <c r="O81">
        <f t="shared" si="70"/>
        <v>695.09</v>
      </c>
      <c r="P81">
        <f t="shared" si="71"/>
        <v>0</v>
      </c>
      <c r="Q81">
        <f t="shared" si="72"/>
        <v>695.09</v>
      </c>
      <c r="R81">
        <f t="shared" si="73"/>
        <v>223.82</v>
      </c>
      <c r="S81">
        <f t="shared" si="74"/>
        <v>0</v>
      </c>
      <c r="T81">
        <f t="shared" si="75"/>
        <v>0</v>
      </c>
      <c r="U81">
        <f t="shared" si="76"/>
        <v>0</v>
      </c>
      <c r="V81">
        <f t="shared" si="77"/>
        <v>0</v>
      </c>
      <c r="W81">
        <f t="shared" si="78"/>
        <v>0</v>
      </c>
      <c r="X81">
        <f t="shared" si="79"/>
        <v>0</v>
      </c>
      <c r="Y81">
        <f t="shared" si="80"/>
        <v>0</v>
      </c>
      <c r="AA81">
        <v>15805332</v>
      </c>
      <c r="AB81">
        <f t="shared" si="81"/>
        <v>80.25</v>
      </c>
      <c r="AC81">
        <f t="shared" si="105"/>
        <v>0</v>
      </c>
      <c r="AD81">
        <f t="shared" si="106"/>
        <v>80.25</v>
      </c>
      <c r="AE81">
        <f t="shared" si="107"/>
        <v>25.84</v>
      </c>
      <c r="AF81">
        <f t="shared" si="107"/>
        <v>0</v>
      </c>
      <c r="AG81">
        <f t="shared" si="83"/>
        <v>0</v>
      </c>
      <c r="AH81">
        <f t="shared" si="108"/>
        <v>0</v>
      </c>
      <c r="AI81">
        <f t="shared" si="108"/>
        <v>0</v>
      </c>
      <c r="AJ81">
        <f t="shared" si="85"/>
        <v>0</v>
      </c>
      <c r="AK81">
        <v>80.25</v>
      </c>
      <c r="AL81">
        <v>0</v>
      </c>
      <c r="AM81">
        <v>80.25</v>
      </c>
      <c r="AN81">
        <v>25.84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49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86"/>
        <v>695.09</v>
      </c>
      <c r="CQ81">
        <f t="shared" si="87"/>
        <v>0</v>
      </c>
      <c r="CR81">
        <f t="shared" si="109"/>
        <v>80.25</v>
      </c>
      <c r="CS81">
        <f t="shared" si="88"/>
        <v>25.84</v>
      </c>
      <c r="CT81">
        <f t="shared" si="89"/>
        <v>0</v>
      </c>
      <c r="CU81">
        <f t="shared" si="90"/>
        <v>0</v>
      </c>
      <c r="CV81">
        <f t="shared" si="91"/>
        <v>0</v>
      </c>
      <c r="CW81">
        <f t="shared" si="92"/>
        <v>0</v>
      </c>
      <c r="CX81">
        <f t="shared" si="93"/>
        <v>0</v>
      </c>
      <c r="CY81">
        <f t="shared" si="94"/>
        <v>0</v>
      </c>
      <c r="CZ81">
        <f t="shared" si="95"/>
        <v>0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1009</v>
      </c>
      <c r="DV81" t="s">
        <v>30</v>
      </c>
      <c r="DW81" t="s">
        <v>30</v>
      </c>
      <c r="DX81">
        <v>1000</v>
      </c>
      <c r="EE81">
        <v>15435499</v>
      </c>
      <c r="EF81">
        <v>1</v>
      </c>
      <c r="EG81" t="s">
        <v>20</v>
      </c>
      <c r="EH81">
        <v>0</v>
      </c>
      <c r="EI81" t="s">
        <v>3</v>
      </c>
      <c r="EJ81">
        <v>4</v>
      </c>
      <c r="EK81">
        <v>0</v>
      </c>
      <c r="EL81" t="s">
        <v>21</v>
      </c>
      <c r="EM81" t="s">
        <v>22</v>
      </c>
      <c r="EO81" t="s">
        <v>3</v>
      </c>
      <c r="EQ81">
        <v>0</v>
      </c>
      <c r="ER81">
        <v>80.25</v>
      </c>
      <c r="ES81">
        <v>0</v>
      </c>
      <c r="ET81">
        <v>80.25</v>
      </c>
      <c r="EU81">
        <v>25.84</v>
      </c>
      <c r="EV81">
        <v>0</v>
      </c>
      <c r="EW81">
        <v>0</v>
      </c>
      <c r="EX81">
        <v>0</v>
      </c>
      <c r="EY81">
        <v>0</v>
      </c>
      <c r="FQ81">
        <v>0</v>
      </c>
      <c r="FR81">
        <f t="shared" si="96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-706956719</v>
      </c>
      <c r="GG81">
        <v>2</v>
      </c>
      <c r="GH81">
        <v>1</v>
      </c>
      <c r="GI81">
        <v>-2</v>
      </c>
      <c r="GJ81">
        <v>0</v>
      </c>
      <c r="GK81">
        <f>ROUND(R81*(R12)/100,2)</f>
        <v>241.73</v>
      </c>
      <c r="GL81">
        <f t="shared" si="97"/>
        <v>0</v>
      </c>
      <c r="GM81">
        <f t="shared" si="98"/>
        <v>936.82</v>
      </c>
      <c r="GN81">
        <f t="shared" si="99"/>
        <v>0</v>
      </c>
      <c r="GO81">
        <f t="shared" si="100"/>
        <v>0</v>
      </c>
      <c r="GP81">
        <f t="shared" si="101"/>
        <v>936.82</v>
      </c>
      <c r="GR81">
        <v>0</v>
      </c>
      <c r="GS81">
        <v>0</v>
      </c>
      <c r="GT81">
        <v>0</v>
      </c>
      <c r="GU81" t="s">
        <v>3</v>
      </c>
      <c r="GV81">
        <f t="shared" si="102"/>
        <v>0</v>
      </c>
      <c r="GW81">
        <v>1</v>
      </c>
      <c r="GX81">
        <f t="shared" si="103"/>
        <v>0</v>
      </c>
      <c r="HA81">
        <v>0</v>
      </c>
      <c r="HB81">
        <v>0</v>
      </c>
      <c r="HC81">
        <f t="shared" si="104"/>
        <v>0</v>
      </c>
      <c r="IK81">
        <v>0</v>
      </c>
    </row>
    <row r="82" spans="1:245" x14ac:dyDescent="0.2">
      <c r="A82">
        <v>17</v>
      </c>
      <c r="B82">
        <v>1</v>
      </c>
      <c r="E82" t="s">
        <v>133</v>
      </c>
      <c r="F82" t="s">
        <v>51</v>
      </c>
      <c r="G82" t="s">
        <v>52</v>
      </c>
      <c r="H82" t="s">
        <v>30</v>
      </c>
      <c r="I82">
        <f>ROUND(I85*0.1,9)</f>
        <v>0.96240000000000003</v>
      </c>
      <c r="J82">
        <v>0</v>
      </c>
      <c r="O82">
        <f t="shared" si="70"/>
        <v>120.2</v>
      </c>
      <c r="P82">
        <f t="shared" si="71"/>
        <v>0</v>
      </c>
      <c r="Q82">
        <f t="shared" si="72"/>
        <v>0</v>
      </c>
      <c r="R82">
        <f t="shared" si="73"/>
        <v>0</v>
      </c>
      <c r="S82">
        <f t="shared" si="74"/>
        <v>120.2</v>
      </c>
      <c r="T82">
        <f t="shared" si="75"/>
        <v>0</v>
      </c>
      <c r="U82">
        <f t="shared" si="76"/>
        <v>0.98164800000000008</v>
      </c>
      <c r="V82">
        <f t="shared" si="77"/>
        <v>0</v>
      </c>
      <c r="W82">
        <f t="shared" si="78"/>
        <v>0</v>
      </c>
      <c r="X82">
        <f t="shared" si="79"/>
        <v>84.14</v>
      </c>
      <c r="Y82">
        <f t="shared" si="80"/>
        <v>12.02</v>
      </c>
      <c r="AA82">
        <v>15805332</v>
      </c>
      <c r="AB82">
        <f t="shared" si="81"/>
        <v>124.9</v>
      </c>
      <c r="AC82">
        <f t="shared" si="105"/>
        <v>0</v>
      </c>
      <c r="AD82">
        <f t="shared" si="106"/>
        <v>0</v>
      </c>
      <c r="AE82">
        <f t="shared" si="107"/>
        <v>0</v>
      </c>
      <c r="AF82">
        <f t="shared" si="107"/>
        <v>124.9</v>
      </c>
      <c r="AG82">
        <f t="shared" si="83"/>
        <v>0</v>
      </c>
      <c r="AH82">
        <f t="shared" si="108"/>
        <v>1.02</v>
      </c>
      <c r="AI82">
        <f t="shared" si="108"/>
        <v>0</v>
      </c>
      <c r="AJ82">
        <f t="shared" si="85"/>
        <v>0</v>
      </c>
      <c r="AK82">
        <v>124.9</v>
      </c>
      <c r="AL82">
        <v>0</v>
      </c>
      <c r="AM82">
        <v>0</v>
      </c>
      <c r="AN82">
        <v>0</v>
      </c>
      <c r="AO82">
        <v>124.9</v>
      </c>
      <c r="AP82">
        <v>0</v>
      </c>
      <c r="AQ82">
        <v>1.02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0</v>
      </c>
      <c r="BI82">
        <v>4</v>
      </c>
      <c r="BJ82" t="s">
        <v>53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6"/>
        <v>120.2</v>
      </c>
      <c r="CQ82">
        <f t="shared" si="87"/>
        <v>0</v>
      </c>
      <c r="CR82">
        <f t="shared" si="109"/>
        <v>0</v>
      </c>
      <c r="CS82">
        <f t="shared" si="88"/>
        <v>0</v>
      </c>
      <c r="CT82">
        <f t="shared" si="89"/>
        <v>124.9</v>
      </c>
      <c r="CU82">
        <f t="shared" si="90"/>
        <v>0</v>
      </c>
      <c r="CV82">
        <f t="shared" si="91"/>
        <v>1.02</v>
      </c>
      <c r="CW82">
        <f t="shared" si="92"/>
        <v>0</v>
      </c>
      <c r="CX82">
        <f t="shared" si="93"/>
        <v>0</v>
      </c>
      <c r="CY82">
        <f t="shared" si="94"/>
        <v>84.14</v>
      </c>
      <c r="CZ82">
        <f t="shared" si="95"/>
        <v>12.02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1009</v>
      </c>
      <c r="DV82" t="s">
        <v>30</v>
      </c>
      <c r="DW82" t="s">
        <v>30</v>
      </c>
      <c r="DX82">
        <v>1000</v>
      </c>
      <c r="EE82">
        <v>15435499</v>
      </c>
      <c r="EF82">
        <v>1</v>
      </c>
      <c r="EG82" t="s">
        <v>20</v>
      </c>
      <c r="EH82">
        <v>0</v>
      </c>
      <c r="EI82" t="s">
        <v>3</v>
      </c>
      <c r="EJ82">
        <v>4</v>
      </c>
      <c r="EK82">
        <v>0</v>
      </c>
      <c r="EL82" t="s">
        <v>21</v>
      </c>
      <c r="EM82" t="s">
        <v>22</v>
      </c>
      <c r="EO82" t="s">
        <v>3</v>
      </c>
      <c r="EQ82">
        <v>0</v>
      </c>
      <c r="ER82">
        <v>124.9</v>
      </c>
      <c r="ES82">
        <v>0</v>
      </c>
      <c r="ET82">
        <v>0</v>
      </c>
      <c r="EU82">
        <v>0</v>
      </c>
      <c r="EV82">
        <v>124.9</v>
      </c>
      <c r="EW82">
        <v>1.02</v>
      </c>
      <c r="EX82">
        <v>0</v>
      </c>
      <c r="EY82">
        <v>0</v>
      </c>
      <c r="FQ82">
        <v>0</v>
      </c>
      <c r="FR82">
        <f t="shared" si="96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44828971</v>
      </c>
      <c r="GG82">
        <v>2</v>
      </c>
      <c r="GH82">
        <v>1</v>
      </c>
      <c r="GI82">
        <v>-2</v>
      </c>
      <c r="GJ82">
        <v>0</v>
      </c>
      <c r="GK82">
        <f>ROUND(R82*(R12)/100,2)</f>
        <v>0</v>
      </c>
      <c r="GL82">
        <f t="shared" si="97"/>
        <v>0</v>
      </c>
      <c r="GM82">
        <f t="shared" si="98"/>
        <v>216.36</v>
      </c>
      <c r="GN82">
        <f t="shared" si="99"/>
        <v>0</v>
      </c>
      <c r="GO82">
        <f t="shared" si="100"/>
        <v>0</v>
      </c>
      <c r="GP82">
        <f t="shared" si="101"/>
        <v>216.36</v>
      </c>
      <c r="GR82">
        <v>0</v>
      </c>
      <c r="GS82">
        <v>0</v>
      </c>
      <c r="GT82">
        <v>0</v>
      </c>
      <c r="GU82" t="s">
        <v>3</v>
      </c>
      <c r="GV82">
        <f t="shared" si="102"/>
        <v>0</v>
      </c>
      <c r="GW82">
        <v>1</v>
      </c>
      <c r="GX82">
        <f t="shared" si="103"/>
        <v>0</v>
      </c>
      <c r="HA82">
        <v>0</v>
      </c>
      <c r="HB82">
        <v>0</v>
      </c>
      <c r="HC82">
        <f t="shared" si="104"/>
        <v>0</v>
      </c>
      <c r="IK82">
        <v>0</v>
      </c>
    </row>
    <row r="83" spans="1:245" x14ac:dyDescent="0.2">
      <c r="A83">
        <v>17</v>
      </c>
      <c r="B83">
        <v>1</v>
      </c>
      <c r="E83" t="s">
        <v>134</v>
      </c>
      <c r="F83" t="s">
        <v>55</v>
      </c>
      <c r="G83" t="s">
        <v>56</v>
      </c>
      <c r="H83" t="s">
        <v>30</v>
      </c>
      <c r="I83">
        <f>ROUND(I85*0.1,9)</f>
        <v>0.96240000000000003</v>
      </c>
      <c r="J83">
        <v>0</v>
      </c>
      <c r="O83">
        <f t="shared" si="70"/>
        <v>159.66999999999999</v>
      </c>
      <c r="P83">
        <f t="shared" si="71"/>
        <v>0</v>
      </c>
      <c r="Q83">
        <f t="shared" si="72"/>
        <v>159.66999999999999</v>
      </c>
      <c r="R83">
        <f t="shared" si="73"/>
        <v>86.79</v>
      </c>
      <c r="S83">
        <f t="shared" si="74"/>
        <v>0</v>
      </c>
      <c r="T83">
        <f t="shared" si="75"/>
        <v>0</v>
      </c>
      <c r="U83">
        <f t="shared" si="76"/>
        <v>0</v>
      </c>
      <c r="V83">
        <f t="shared" si="77"/>
        <v>0</v>
      </c>
      <c r="W83">
        <f t="shared" si="78"/>
        <v>0</v>
      </c>
      <c r="X83">
        <f t="shared" si="79"/>
        <v>0</v>
      </c>
      <c r="Y83">
        <f t="shared" si="80"/>
        <v>0</v>
      </c>
      <c r="AA83">
        <v>15805332</v>
      </c>
      <c r="AB83">
        <f t="shared" si="81"/>
        <v>165.91</v>
      </c>
      <c r="AC83">
        <f t="shared" si="105"/>
        <v>0</v>
      </c>
      <c r="AD83">
        <f t="shared" si="106"/>
        <v>165.91</v>
      </c>
      <c r="AE83">
        <f t="shared" si="107"/>
        <v>90.18</v>
      </c>
      <c r="AF83">
        <f t="shared" si="107"/>
        <v>0</v>
      </c>
      <c r="AG83">
        <f t="shared" si="83"/>
        <v>0</v>
      </c>
      <c r="AH83">
        <f t="shared" si="108"/>
        <v>0</v>
      </c>
      <c r="AI83">
        <f t="shared" si="108"/>
        <v>0</v>
      </c>
      <c r="AJ83">
        <f t="shared" si="85"/>
        <v>0</v>
      </c>
      <c r="AK83">
        <v>165.91</v>
      </c>
      <c r="AL83">
        <v>0</v>
      </c>
      <c r="AM83">
        <v>165.91</v>
      </c>
      <c r="AN83">
        <v>90.18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57</v>
      </c>
      <c r="BM83">
        <v>1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0</v>
      </c>
      <c r="CA83">
        <v>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86"/>
        <v>159.66999999999999</v>
      </c>
      <c r="CQ83">
        <f t="shared" si="87"/>
        <v>0</v>
      </c>
      <c r="CR83">
        <f t="shared" si="109"/>
        <v>165.91</v>
      </c>
      <c r="CS83">
        <f t="shared" si="88"/>
        <v>90.18</v>
      </c>
      <c r="CT83">
        <f t="shared" si="89"/>
        <v>0</v>
      </c>
      <c r="CU83">
        <f t="shared" si="90"/>
        <v>0</v>
      </c>
      <c r="CV83">
        <f t="shared" si="91"/>
        <v>0</v>
      </c>
      <c r="CW83">
        <f t="shared" si="92"/>
        <v>0</v>
      </c>
      <c r="CX83">
        <f t="shared" si="93"/>
        <v>0</v>
      </c>
      <c r="CY83">
        <f t="shared" si="94"/>
        <v>0</v>
      </c>
      <c r="CZ83">
        <f t="shared" si="95"/>
        <v>0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1009</v>
      </c>
      <c r="DV83" t="s">
        <v>30</v>
      </c>
      <c r="DW83" t="s">
        <v>30</v>
      </c>
      <c r="DX83">
        <v>1000</v>
      </c>
      <c r="EE83">
        <v>15435501</v>
      </c>
      <c r="EF83">
        <v>1</v>
      </c>
      <c r="EG83" t="s">
        <v>20</v>
      </c>
      <c r="EH83">
        <v>0</v>
      </c>
      <c r="EI83" t="s">
        <v>3</v>
      </c>
      <c r="EJ83">
        <v>4</v>
      </c>
      <c r="EK83">
        <v>1</v>
      </c>
      <c r="EL83" t="s">
        <v>58</v>
      </c>
      <c r="EM83" t="s">
        <v>22</v>
      </c>
      <c r="EO83" t="s">
        <v>3</v>
      </c>
      <c r="EQ83">
        <v>0</v>
      </c>
      <c r="ER83">
        <v>165.91</v>
      </c>
      <c r="ES83">
        <v>0</v>
      </c>
      <c r="ET83">
        <v>165.91</v>
      </c>
      <c r="EU83">
        <v>90.18</v>
      </c>
      <c r="EV83">
        <v>0</v>
      </c>
      <c r="EW83">
        <v>0</v>
      </c>
      <c r="EX83">
        <v>0</v>
      </c>
      <c r="EY83">
        <v>0</v>
      </c>
      <c r="FQ83">
        <v>0</v>
      </c>
      <c r="FR83">
        <f t="shared" si="96"/>
        <v>0</v>
      </c>
      <c r="FS83">
        <v>0</v>
      </c>
      <c r="FX83">
        <v>0</v>
      </c>
      <c r="FY83">
        <v>0</v>
      </c>
      <c r="GA83" t="s">
        <v>3</v>
      </c>
      <c r="GD83">
        <v>1</v>
      </c>
      <c r="GF83">
        <v>1912105629</v>
      </c>
      <c r="GG83">
        <v>2</v>
      </c>
      <c r="GH83">
        <v>1</v>
      </c>
      <c r="GI83">
        <v>-2</v>
      </c>
      <c r="GJ83">
        <v>0</v>
      </c>
      <c r="GK83">
        <v>0</v>
      </c>
      <c r="GL83">
        <f t="shared" si="97"/>
        <v>0</v>
      </c>
      <c r="GM83">
        <f>ROUND(O83+X83+Y83,2)+GX83</f>
        <v>159.66999999999999</v>
      </c>
      <c r="GN83">
        <f>IF(OR(BI83=0,BI83=1),ROUND(O83+X83+Y83,2),0)</f>
        <v>0</v>
      </c>
      <c r="GO83">
        <f>IF(BI83=2,ROUND(O83+X83+Y83,2),0)</f>
        <v>0</v>
      </c>
      <c r="GP83">
        <f>IF(BI83=4,ROUND(O83+X83+Y83,2)+GX83,0)</f>
        <v>159.66999999999999</v>
      </c>
      <c r="GR83">
        <v>0</v>
      </c>
      <c r="GS83">
        <v>0</v>
      </c>
      <c r="GT83">
        <v>0</v>
      </c>
      <c r="GU83" t="s">
        <v>3</v>
      </c>
      <c r="GV83">
        <f t="shared" si="102"/>
        <v>0</v>
      </c>
      <c r="GW83">
        <v>1</v>
      </c>
      <c r="GX83">
        <f t="shared" si="103"/>
        <v>0</v>
      </c>
      <c r="HA83">
        <v>0</v>
      </c>
      <c r="HB83">
        <v>0</v>
      </c>
      <c r="HC83">
        <f t="shared" si="104"/>
        <v>0</v>
      </c>
      <c r="IK83">
        <v>0</v>
      </c>
    </row>
    <row r="84" spans="1:245" x14ac:dyDescent="0.2">
      <c r="A84">
        <v>17</v>
      </c>
      <c r="B84">
        <v>1</v>
      </c>
      <c r="E84" t="s">
        <v>135</v>
      </c>
      <c r="F84" t="s">
        <v>60</v>
      </c>
      <c r="G84" t="s">
        <v>61</v>
      </c>
      <c r="H84" t="s">
        <v>30</v>
      </c>
      <c r="I84">
        <f>ROUND(I85*0.9,9)</f>
        <v>8.6616</v>
      </c>
      <c r="J84">
        <v>0</v>
      </c>
      <c r="O84">
        <f t="shared" si="70"/>
        <v>500.9</v>
      </c>
      <c r="P84">
        <f t="shared" si="71"/>
        <v>0</v>
      </c>
      <c r="Q84">
        <f t="shared" si="72"/>
        <v>500.9</v>
      </c>
      <c r="R84">
        <f t="shared" si="73"/>
        <v>272.32</v>
      </c>
      <c r="S84">
        <f t="shared" si="74"/>
        <v>0</v>
      </c>
      <c r="T84">
        <f t="shared" si="75"/>
        <v>0</v>
      </c>
      <c r="U84">
        <f t="shared" si="76"/>
        <v>0</v>
      </c>
      <c r="V84">
        <f t="shared" si="77"/>
        <v>0</v>
      </c>
      <c r="W84">
        <f t="shared" si="78"/>
        <v>0</v>
      </c>
      <c r="X84">
        <f t="shared" si="79"/>
        <v>0</v>
      </c>
      <c r="Y84">
        <f t="shared" si="80"/>
        <v>0</v>
      </c>
      <c r="AA84">
        <v>15805332</v>
      </c>
      <c r="AB84">
        <f t="shared" si="81"/>
        <v>57.83</v>
      </c>
      <c r="AC84">
        <f t="shared" si="105"/>
        <v>0</v>
      </c>
      <c r="AD84">
        <f t="shared" si="106"/>
        <v>57.83</v>
      </c>
      <c r="AE84">
        <f t="shared" si="107"/>
        <v>31.44</v>
      </c>
      <c r="AF84">
        <f t="shared" si="107"/>
        <v>0</v>
      </c>
      <c r="AG84">
        <f t="shared" si="83"/>
        <v>0</v>
      </c>
      <c r="AH84">
        <f t="shared" si="108"/>
        <v>0</v>
      </c>
      <c r="AI84">
        <f t="shared" si="108"/>
        <v>0</v>
      </c>
      <c r="AJ84">
        <f t="shared" si="85"/>
        <v>0</v>
      </c>
      <c r="AK84">
        <v>57.83</v>
      </c>
      <c r="AL84">
        <v>0</v>
      </c>
      <c r="AM84">
        <v>57.83</v>
      </c>
      <c r="AN84">
        <v>31.44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0</v>
      </c>
      <c r="BI84">
        <v>4</v>
      </c>
      <c r="BJ84" t="s">
        <v>62</v>
      </c>
      <c r="BM84">
        <v>1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0</v>
      </c>
      <c r="CA84">
        <v>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6"/>
        <v>500.9</v>
      </c>
      <c r="CQ84">
        <f t="shared" si="87"/>
        <v>0</v>
      </c>
      <c r="CR84">
        <f t="shared" si="109"/>
        <v>57.83</v>
      </c>
      <c r="CS84">
        <f t="shared" si="88"/>
        <v>31.44</v>
      </c>
      <c r="CT84">
        <f t="shared" si="89"/>
        <v>0</v>
      </c>
      <c r="CU84">
        <f t="shared" si="90"/>
        <v>0</v>
      </c>
      <c r="CV84">
        <f t="shared" si="91"/>
        <v>0</v>
      </c>
      <c r="CW84">
        <f t="shared" si="92"/>
        <v>0</v>
      </c>
      <c r="CX84">
        <f t="shared" si="93"/>
        <v>0</v>
      </c>
      <c r="CY84">
        <f t="shared" si="94"/>
        <v>0</v>
      </c>
      <c r="CZ84">
        <f t="shared" si="95"/>
        <v>0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1009</v>
      </c>
      <c r="DV84" t="s">
        <v>30</v>
      </c>
      <c r="DW84" t="s">
        <v>30</v>
      </c>
      <c r="DX84">
        <v>1000</v>
      </c>
      <c r="EE84">
        <v>15435501</v>
      </c>
      <c r="EF84">
        <v>1</v>
      </c>
      <c r="EG84" t="s">
        <v>20</v>
      </c>
      <c r="EH84">
        <v>0</v>
      </c>
      <c r="EI84" t="s">
        <v>3</v>
      </c>
      <c r="EJ84">
        <v>4</v>
      </c>
      <c r="EK84">
        <v>1</v>
      </c>
      <c r="EL84" t="s">
        <v>58</v>
      </c>
      <c r="EM84" t="s">
        <v>22</v>
      </c>
      <c r="EO84" t="s">
        <v>3</v>
      </c>
      <c r="EQ84">
        <v>0</v>
      </c>
      <c r="ER84">
        <v>57.83</v>
      </c>
      <c r="ES84">
        <v>0</v>
      </c>
      <c r="ET84">
        <v>57.83</v>
      </c>
      <c r="EU84">
        <v>31.44</v>
      </c>
      <c r="EV84">
        <v>0</v>
      </c>
      <c r="EW84">
        <v>0</v>
      </c>
      <c r="EX84">
        <v>0</v>
      </c>
      <c r="EY84">
        <v>0</v>
      </c>
      <c r="FQ84">
        <v>0</v>
      </c>
      <c r="FR84">
        <f t="shared" si="96"/>
        <v>0</v>
      </c>
      <c r="FS84">
        <v>0</v>
      </c>
      <c r="FX84">
        <v>0</v>
      </c>
      <c r="FY84">
        <v>0</v>
      </c>
      <c r="GA84" t="s">
        <v>3</v>
      </c>
      <c r="GD84">
        <v>1</v>
      </c>
      <c r="GF84">
        <v>-1870736679</v>
      </c>
      <c r="GG84">
        <v>2</v>
      </c>
      <c r="GH84">
        <v>1</v>
      </c>
      <c r="GI84">
        <v>-2</v>
      </c>
      <c r="GJ84">
        <v>0</v>
      </c>
      <c r="GK84">
        <v>0</v>
      </c>
      <c r="GL84">
        <f t="shared" si="97"/>
        <v>0</v>
      </c>
      <c r="GM84">
        <f>ROUND(O84+X84+Y84,2)+GX84</f>
        <v>500.9</v>
      </c>
      <c r="GN84">
        <f>IF(OR(BI84=0,BI84=1),ROUND(O84+X84+Y84,2),0)</f>
        <v>0</v>
      </c>
      <c r="GO84">
        <f>IF(BI84=2,ROUND(O84+X84+Y84,2),0)</f>
        <v>0</v>
      </c>
      <c r="GP84">
        <f>IF(BI84=4,ROUND(O84+X84+Y84,2)+GX84,0)</f>
        <v>500.9</v>
      </c>
      <c r="GR84">
        <v>0</v>
      </c>
      <c r="GS84">
        <v>0</v>
      </c>
      <c r="GT84">
        <v>0</v>
      </c>
      <c r="GU84" t="s">
        <v>3</v>
      </c>
      <c r="GV84">
        <f t="shared" si="102"/>
        <v>0</v>
      </c>
      <c r="GW84">
        <v>1</v>
      </c>
      <c r="GX84">
        <f t="shared" si="103"/>
        <v>0</v>
      </c>
      <c r="HA84">
        <v>0</v>
      </c>
      <c r="HB84">
        <v>0</v>
      </c>
      <c r="HC84">
        <f t="shared" si="104"/>
        <v>0</v>
      </c>
      <c r="IK84">
        <v>0</v>
      </c>
    </row>
    <row r="85" spans="1:245" x14ac:dyDescent="0.2">
      <c r="A85">
        <v>17</v>
      </c>
      <c r="B85">
        <v>1</v>
      </c>
      <c r="E85" t="s">
        <v>136</v>
      </c>
      <c r="F85" t="s">
        <v>64</v>
      </c>
      <c r="G85" t="s">
        <v>65</v>
      </c>
      <c r="H85" t="s">
        <v>30</v>
      </c>
      <c r="I85">
        <v>9.6240000000000006</v>
      </c>
      <c r="J85">
        <v>0</v>
      </c>
      <c r="O85">
        <f t="shared" si="70"/>
        <v>12916.47</v>
      </c>
      <c r="P85">
        <f t="shared" si="71"/>
        <v>0</v>
      </c>
      <c r="Q85">
        <f t="shared" si="72"/>
        <v>12916.47</v>
      </c>
      <c r="R85">
        <f t="shared" si="73"/>
        <v>7021.77</v>
      </c>
      <c r="S85">
        <f t="shared" si="74"/>
        <v>0</v>
      </c>
      <c r="T85">
        <f t="shared" si="75"/>
        <v>0</v>
      </c>
      <c r="U85">
        <f t="shared" si="76"/>
        <v>0</v>
      </c>
      <c r="V85">
        <f t="shared" si="77"/>
        <v>0</v>
      </c>
      <c r="W85">
        <f t="shared" si="78"/>
        <v>0</v>
      </c>
      <c r="X85">
        <f t="shared" si="79"/>
        <v>0</v>
      </c>
      <c r="Y85">
        <f t="shared" si="80"/>
        <v>0</v>
      </c>
      <c r="AA85">
        <v>15805332</v>
      </c>
      <c r="AB85">
        <f t="shared" si="81"/>
        <v>1342.11</v>
      </c>
      <c r="AC85">
        <f>ROUND(((ES85*49)),6)</f>
        <v>0</v>
      </c>
      <c r="AD85">
        <f>ROUND(((((ET85*49))-((EU85*49)))+AE85),6)</f>
        <v>1342.11</v>
      </c>
      <c r="AE85">
        <f>ROUND(((EU85*49)),6)</f>
        <v>729.61</v>
      </c>
      <c r="AF85">
        <f>ROUND(((EV85*49)),6)</f>
        <v>0</v>
      </c>
      <c r="AG85">
        <f t="shared" si="83"/>
        <v>0</v>
      </c>
      <c r="AH85">
        <f>((EW85*49))</f>
        <v>0</v>
      </c>
      <c r="AI85">
        <f>((EX85*49))</f>
        <v>0</v>
      </c>
      <c r="AJ85">
        <f t="shared" si="85"/>
        <v>0</v>
      </c>
      <c r="AK85">
        <v>27.39</v>
      </c>
      <c r="AL85">
        <v>0</v>
      </c>
      <c r="AM85">
        <v>27.39</v>
      </c>
      <c r="AN85">
        <v>14.89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0</v>
      </c>
      <c r="BI85">
        <v>4</v>
      </c>
      <c r="BJ85" t="s">
        <v>66</v>
      </c>
      <c r="BM85">
        <v>1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0</v>
      </c>
      <c r="CA85">
        <v>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6"/>
        <v>12916.47</v>
      </c>
      <c r="CQ85">
        <f t="shared" si="87"/>
        <v>0</v>
      </c>
      <c r="CR85">
        <f>(((((ET85*49))*BB85-((EU85*49))*BS85)+AE85*BS85)*AV85)</f>
        <v>1342.1100000000001</v>
      </c>
      <c r="CS85">
        <f t="shared" si="88"/>
        <v>729.61</v>
      </c>
      <c r="CT85">
        <f t="shared" si="89"/>
        <v>0</v>
      </c>
      <c r="CU85">
        <f t="shared" si="90"/>
        <v>0</v>
      </c>
      <c r="CV85">
        <f t="shared" si="91"/>
        <v>0</v>
      </c>
      <c r="CW85">
        <f t="shared" si="92"/>
        <v>0</v>
      </c>
      <c r="CX85">
        <f t="shared" si="93"/>
        <v>0</v>
      </c>
      <c r="CY85">
        <f t="shared" si="94"/>
        <v>0</v>
      </c>
      <c r="CZ85">
        <f t="shared" si="95"/>
        <v>0</v>
      </c>
      <c r="DC85" t="s">
        <v>3</v>
      </c>
      <c r="DD85" t="s">
        <v>67</v>
      </c>
      <c r="DE85" t="s">
        <v>67</v>
      </c>
      <c r="DF85" t="s">
        <v>67</v>
      </c>
      <c r="DG85" t="s">
        <v>67</v>
      </c>
      <c r="DH85" t="s">
        <v>3</v>
      </c>
      <c r="DI85" t="s">
        <v>67</v>
      </c>
      <c r="DJ85" t="s">
        <v>67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1009</v>
      </c>
      <c r="DV85" t="s">
        <v>30</v>
      </c>
      <c r="DW85" t="s">
        <v>30</v>
      </c>
      <c r="DX85">
        <v>1000</v>
      </c>
      <c r="EE85">
        <v>15435501</v>
      </c>
      <c r="EF85">
        <v>1</v>
      </c>
      <c r="EG85" t="s">
        <v>20</v>
      </c>
      <c r="EH85">
        <v>0</v>
      </c>
      <c r="EI85" t="s">
        <v>3</v>
      </c>
      <c r="EJ85">
        <v>4</v>
      </c>
      <c r="EK85">
        <v>1</v>
      </c>
      <c r="EL85" t="s">
        <v>58</v>
      </c>
      <c r="EM85" t="s">
        <v>22</v>
      </c>
      <c r="EO85" t="s">
        <v>3</v>
      </c>
      <c r="EQ85">
        <v>0</v>
      </c>
      <c r="ER85">
        <v>27.39</v>
      </c>
      <c r="ES85">
        <v>0</v>
      </c>
      <c r="ET85">
        <v>27.39</v>
      </c>
      <c r="EU85">
        <v>14.89</v>
      </c>
      <c r="EV85">
        <v>0</v>
      </c>
      <c r="EW85">
        <v>0</v>
      </c>
      <c r="EX85">
        <v>0</v>
      </c>
      <c r="EY85">
        <v>0</v>
      </c>
      <c r="FQ85">
        <v>0</v>
      </c>
      <c r="FR85">
        <f t="shared" si="96"/>
        <v>0</v>
      </c>
      <c r="FS85">
        <v>0</v>
      </c>
      <c r="FX85">
        <v>0</v>
      </c>
      <c r="FY85">
        <v>0</v>
      </c>
      <c r="GA85" t="s">
        <v>3</v>
      </c>
      <c r="GD85">
        <v>1</v>
      </c>
      <c r="GF85">
        <v>972108674</v>
      </c>
      <c r="GG85">
        <v>2</v>
      </c>
      <c r="GH85">
        <v>1</v>
      </c>
      <c r="GI85">
        <v>-2</v>
      </c>
      <c r="GJ85">
        <v>0</v>
      </c>
      <c r="GK85">
        <v>0</v>
      </c>
      <c r="GL85">
        <f t="shared" si="97"/>
        <v>0</v>
      </c>
      <c r="GM85">
        <f>ROUND(O85+X85+Y85,2)+GX85</f>
        <v>12916.47</v>
      </c>
      <c r="GN85">
        <f>IF(OR(BI85=0,BI85=1),ROUND(O85+X85+Y85,2),0)</f>
        <v>0</v>
      </c>
      <c r="GO85">
        <f>IF(BI85=2,ROUND(O85+X85+Y85,2),0)</f>
        <v>0</v>
      </c>
      <c r="GP85">
        <f>IF(BI85=4,ROUND(O85+X85+Y85,2)+GX85,0)</f>
        <v>12916.47</v>
      </c>
      <c r="GR85">
        <v>0</v>
      </c>
      <c r="GS85">
        <v>0</v>
      </c>
      <c r="GT85">
        <v>0</v>
      </c>
      <c r="GU85" t="s">
        <v>3</v>
      </c>
      <c r="GV85">
        <f t="shared" si="102"/>
        <v>0</v>
      </c>
      <c r="GW85">
        <v>1</v>
      </c>
      <c r="GX85">
        <f t="shared" si="103"/>
        <v>0</v>
      </c>
      <c r="HA85">
        <v>0</v>
      </c>
      <c r="HB85">
        <v>0</v>
      </c>
      <c r="HC85">
        <f t="shared" si="104"/>
        <v>0</v>
      </c>
      <c r="IK85">
        <v>0</v>
      </c>
    </row>
    <row r="87" spans="1:245" x14ac:dyDescent="0.2">
      <c r="A87" s="2">
        <v>51</v>
      </c>
      <c r="B87" s="2">
        <f>B71</f>
        <v>1</v>
      </c>
      <c r="C87" s="2">
        <f>A71</f>
        <v>4</v>
      </c>
      <c r="D87" s="2">
        <f>ROW(A71)</f>
        <v>71</v>
      </c>
      <c r="E87" s="2"/>
      <c r="F87" s="2" t="str">
        <f>IF(F71&lt;&gt;"",F71,"")</f>
        <v>Новый раздел</v>
      </c>
      <c r="G87" s="2" t="str">
        <f>IF(G71&lt;&gt;"",G71,"")</f>
        <v>Детская площадка в северной части парка (500,9 м2)</v>
      </c>
      <c r="H87" s="2">
        <v>0</v>
      </c>
      <c r="I87" s="2"/>
      <c r="J87" s="2"/>
      <c r="K87" s="2"/>
      <c r="L87" s="2"/>
      <c r="M87" s="2"/>
      <c r="N87" s="2"/>
      <c r="O87" s="2">
        <f t="shared" ref="O87:T87" si="110">ROUND(AB87,2)</f>
        <v>1152679.98</v>
      </c>
      <c r="P87" s="2">
        <f t="shared" si="110"/>
        <v>1074281.04</v>
      </c>
      <c r="Q87" s="2">
        <f t="shared" si="110"/>
        <v>39725.620000000003</v>
      </c>
      <c r="R87" s="2">
        <f t="shared" si="110"/>
        <v>27698.6</v>
      </c>
      <c r="S87" s="2">
        <f t="shared" si="110"/>
        <v>38673.32</v>
      </c>
      <c r="T87" s="2">
        <f t="shared" si="110"/>
        <v>0</v>
      </c>
      <c r="U87" s="2">
        <f>AH87</f>
        <v>176.24655800000005</v>
      </c>
      <c r="V87" s="2">
        <f>AI87</f>
        <v>0</v>
      </c>
      <c r="W87" s="2">
        <f>ROUND(AJ87,2)</f>
        <v>0</v>
      </c>
      <c r="X87" s="2">
        <f>ROUND(AK87,2)</f>
        <v>27071.32</v>
      </c>
      <c r="Y87" s="2">
        <f>ROUND(AL87,2)</f>
        <v>3867.33</v>
      </c>
      <c r="Z87" s="2"/>
      <c r="AA87" s="2"/>
      <c r="AB87" s="2">
        <f>ROUND(SUMIF(AA75:AA85,"=15805332",O75:O85),2)</f>
        <v>1152679.98</v>
      </c>
      <c r="AC87" s="2">
        <f>ROUND(SUMIF(AA75:AA85,"=15805332",P75:P85),2)</f>
        <v>1074281.04</v>
      </c>
      <c r="AD87" s="2">
        <f>ROUND(SUMIF(AA75:AA85,"=15805332",Q75:Q85),2)</f>
        <v>39725.620000000003</v>
      </c>
      <c r="AE87" s="2">
        <f>ROUND(SUMIF(AA75:AA85,"=15805332",R75:R85),2)</f>
        <v>27698.6</v>
      </c>
      <c r="AF87" s="2">
        <f>ROUND(SUMIF(AA75:AA85,"=15805332",S75:S85),2)</f>
        <v>38673.32</v>
      </c>
      <c r="AG87" s="2">
        <f>ROUND(SUMIF(AA75:AA85,"=15805332",T75:T85),2)</f>
        <v>0</v>
      </c>
      <c r="AH87" s="2">
        <f>SUMIF(AA75:AA85,"=15805332",U75:U85)</f>
        <v>176.24655800000005</v>
      </c>
      <c r="AI87" s="2">
        <f>SUMIF(AA75:AA85,"=15805332",V75:V85)</f>
        <v>0</v>
      </c>
      <c r="AJ87" s="2">
        <f>ROUND(SUMIF(AA75:AA85,"=15805332",W75:W85),2)</f>
        <v>0</v>
      </c>
      <c r="AK87" s="2">
        <f>ROUND(SUMIF(AA75:AA85,"=15805332",X75:X85),2)</f>
        <v>27071.32</v>
      </c>
      <c r="AL87" s="2">
        <f>ROUND(SUMIF(AA75:AA85,"=15805332",Y75:Y85),2)</f>
        <v>3867.33</v>
      </c>
      <c r="AM87" s="2"/>
      <c r="AN87" s="2"/>
      <c r="AO87" s="2">
        <f t="shared" ref="AO87:BC87" si="111">ROUND(BX87,2)</f>
        <v>0</v>
      </c>
      <c r="AP87" s="2">
        <f t="shared" si="111"/>
        <v>0</v>
      </c>
      <c r="AQ87" s="2">
        <f t="shared" si="111"/>
        <v>0</v>
      </c>
      <c r="AR87" s="2">
        <f t="shared" si="111"/>
        <v>1205561.77</v>
      </c>
      <c r="AS87" s="2">
        <f t="shared" si="111"/>
        <v>0</v>
      </c>
      <c r="AT87" s="2">
        <f t="shared" si="111"/>
        <v>0</v>
      </c>
      <c r="AU87" s="2">
        <f t="shared" si="111"/>
        <v>1205561.77</v>
      </c>
      <c r="AV87" s="2">
        <f t="shared" si="111"/>
        <v>1074281.04</v>
      </c>
      <c r="AW87" s="2">
        <f t="shared" si="111"/>
        <v>1074281.04</v>
      </c>
      <c r="AX87" s="2">
        <f t="shared" si="111"/>
        <v>0</v>
      </c>
      <c r="AY87" s="2">
        <f t="shared" si="111"/>
        <v>1074281.04</v>
      </c>
      <c r="AZ87" s="2">
        <f t="shared" si="111"/>
        <v>0</v>
      </c>
      <c r="BA87" s="2">
        <f t="shared" si="111"/>
        <v>0</v>
      </c>
      <c r="BB87" s="2">
        <f t="shared" si="111"/>
        <v>0</v>
      </c>
      <c r="BC87" s="2">
        <f t="shared" si="111"/>
        <v>0</v>
      </c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>
        <f>ROUND(SUMIF(AA75:AA85,"=15805332",FQ75:FQ85),2)</f>
        <v>0</v>
      </c>
      <c r="BY87" s="2">
        <f>ROUND(SUMIF(AA75:AA85,"=15805332",FR75:FR85),2)</f>
        <v>0</v>
      </c>
      <c r="BZ87" s="2">
        <f>ROUND(SUMIF(AA75:AA85,"=15805332",GL75:GL85),2)</f>
        <v>0</v>
      </c>
      <c r="CA87" s="2">
        <f>ROUND(SUMIF(AA75:AA85,"=15805332",GM75:GM85),2)</f>
        <v>1205561.77</v>
      </c>
      <c r="CB87" s="2">
        <f>ROUND(SUMIF(AA75:AA85,"=15805332",GN75:GN85),2)</f>
        <v>0</v>
      </c>
      <c r="CC87" s="2">
        <f>ROUND(SUMIF(AA75:AA85,"=15805332",GO75:GO85),2)</f>
        <v>0</v>
      </c>
      <c r="CD87" s="2">
        <f>ROUND(SUMIF(AA75:AA85,"=15805332",GP75:GP85),2)</f>
        <v>1205561.77</v>
      </c>
      <c r="CE87" s="2">
        <f>AC87-BX87</f>
        <v>1074281.04</v>
      </c>
      <c r="CF87" s="2">
        <f>AC87-BY87</f>
        <v>1074281.04</v>
      </c>
      <c r="CG87" s="2">
        <f>BX87-BZ87</f>
        <v>0</v>
      </c>
      <c r="CH87" s="2">
        <f>AC87-BX87-BY87+BZ87</f>
        <v>1074281.04</v>
      </c>
      <c r="CI87" s="2">
        <f>BY87-BZ87</f>
        <v>0</v>
      </c>
      <c r="CJ87" s="2">
        <f>ROUND(SUMIF(AA75:AA85,"=15805332",GX75:GX85),2)</f>
        <v>0</v>
      </c>
      <c r="CK87" s="2">
        <f>ROUND(SUMIF(AA75:AA85,"=15805332",GY75:GY85),2)</f>
        <v>0</v>
      </c>
      <c r="CL87" s="2">
        <f>ROUND(SUMIF(AA75:AA85,"=15805332",GZ75:GZ85),2)</f>
        <v>0</v>
      </c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>
        <v>0</v>
      </c>
    </row>
    <row r="89" spans="1:245" x14ac:dyDescent="0.2">
      <c r="A89" s="4">
        <v>50</v>
      </c>
      <c r="B89" s="4">
        <v>0</v>
      </c>
      <c r="C89" s="4">
        <v>0</v>
      </c>
      <c r="D89" s="4">
        <v>1</v>
      </c>
      <c r="E89" s="4">
        <v>201</v>
      </c>
      <c r="F89" s="4">
        <f>ROUND(Source!O87,O89)</f>
        <v>1152679.98</v>
      </c>
      <c r="G89" s="4" t="s">
        <v>68</v>
      </c>
      <c r="H89" s="4" t="s">
        <v>69</v>
      </c>
      <c r="I89" s="4"/>
      <c r="J89" s="4"/>
      <c r="K89" s="4">
        <v>201</v>
      </c>
      <c r="L89" s="4">
        <v>1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45" x14ac:dyDescent="0.2">
      <c r="A90" s="4">
        <v>50</v>
      </c>
      <c r="B90" s="4">
        <v>0</v>
      </c>
      <c r="C90" s="4">
        <v>0</v>
      </c>
      <c r="D90" s="4">
        <v>1</v>
      </c>
      <c r="E90" s="4">
        <v>202</v>
      </c>
      <c r="F90" s="4">
        <f>ROUND(Source!P87,O90)</f>
        <v>1074281.04</v>
      </c>
      <c r="G90" s="4" t="s">
        <v>70</v>
      </c>
      <c r="H90" s="4" t="s">
        <v>71</v>
      </c>
      <c r="I90" s="4"/>
      <c r="J90" s="4"/>
      <c r="K90" s="4">
        <v>202</v>
      </c>
      <c r="L90" s="4">
        <v>2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45" x14ac:dyDescent="0.2">
      <c r="A91" s="4">
        <v>50</v>
      </c>
      <c r="B91" s="4">
        <v>0</v>
      </c>
      <c r="C91" s="4">
        <v>0</v>
      </c>
      <c r="D91" s="4">
        <v>1</v>
      </c>
      <c r="E91" s="4">
        <v>222</v>
      </c>
      <c r="F91" s="4">
        <f>ROUND(Source!AO87,O91)</f>
        <v>0</v>
      </c>
      <c r="G91" s="4" t="s">
        <v>72</v>
      </c>
      <c r="H91" s="4" t="s">
        <v>73</v>
      </c>
      <c r="I91" s="4"/>
      <c r="J91" s="4"/>
      <c r="K91" s="4">
        <v>222</v>
      </c>
      <c r="L91" s="4">
        <v>3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45" x14ac:dyDescent="0.2">
      <c r="A92" s="4">
        <v>50</v>
      </c>
      <c r="B92" s="4">
        <v>0</v>
      </c>
      <c r="C92" s="4">
        <v>0</v>
      </c>
      <c r="D92" s="4">
        <v>1</v>
      </c>
      <c r="E92" s="4">
        <v>225</v>
      </c>
      <c r="F92" s="4">
        <f>ROUND(Source!AV87,O92)</f>
        <v>1074281.04</v>
      </c>
      <c r="G92" s="4" t="s">
        <v>74</v>
      </c>
      <c r="H92" s="4" t="s">
        <v>75</v>
      </c>
      <c r="I92" s="4"/>
      <c r="J92" s="4"/>
      <c r="K92" s="4">
        <v>225</v>
      </c>
      <c r="L92" s="4">
        <v>4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45" x14ac:dyDescent="0.2">
      <c r="A93" s="4">
        <v>50</v>
      </c>
      <c r="B93" s="4">
        <v>0</v>
      </c>
      <c r="C93" s="4">
        <v>0</v>
      </c>
      <c r="D93" s="4">
        <v>1</v>
      </c>
      <c r="E93" s="4">
        <v>226</v>
      </c>
      <c r="F93" s="4">
        <f>ROUND(Source!AW87,O93)</f>
        <v>1074281.04</v>
      </c>
      <c r="G93" s="4" t="s">
        <v>76</v>
      </c>
      <c r="H93" s="4" t="s">
        <v>77</v>
      </c>
      <c r="I93" s="4"/>
      <c r="J93" s="4"/>
      <c r="K93" s="4">
        <v>226</v>
      </c>
      <c r="L93" s="4">
        <v>5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45" x14ac:dyDescent="0.2">
      <c r="A94" s="4">
        <v>50</v>
      </c>
      <c r="B94" s="4">
        <v>0</v>
      </c>
      <c r="C94" s="4">
        <v>0</v>
      </c>
      <c r="D94" s="4">
        <v>1</v>
      </c>
      <c r="E94" s="4">
        <v>227</v>
      </c>
      <c r="F94" s="4">
        <f>ROUND(Source!AX87,O94)</f>
        <v>0</v>
      </c>
      <c r="G94" s="4" t="s">
        <v>78</v>
      </c>
      <c r="H94" s="4" t="s">
        <v>79</v>
      </c>
      <c r="I94" s="4"/>
      <c r="J94" s="4"/>
      <c r="K94" s="4">
        <v>227</v>
      </c>
      <c r="L94" s="4">
        <v>6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45" x14ac:dyDescent="0.2">
      <c r="A95" s="4">
        <v>50</v>
      </c>
      <c r="B95" s="4">
        <v>0</v>
      </c>
      <c r="C95" s="4">
        <v>0</v>
      </c>
      <c r="D95" s="4">
        <v>1</v>
      </c>
      <c r="E95" s="4">
        <v>228</v>
      </c>
      <c r="F95" s="4">
        <f>ROUND(Source!AY87,O95)</f>
        <v>1074281.04</v>
      </c>
      <c r="G95" s="4" t="s">
        <v>80</v>
      </c>
      <c r="H95" s="4" t="s">
        <v>81</v>
      </c>
      <c r="I95" s="4"/>
      <c r="J95" s="4"/>
      <c r="K95" s="4">
        <v>228</v>
      </c>
      <c r="L95" s="4">
        <v>7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216</v>
      </c>
      <c r="F96" s="4">
        <f>ROUND(Source!AP87,O96)</f>
        <v>0</v>
      </c>
      <c r="G96" s="4" t="s">
        <v>82</v>
      </c>
      <c r="H96" s="4" t="s">
        <v>83</v>
      </c>
      <c r="I96" s="4"/>
      <c r="J96" s="4"/>
      <c r="K96" s="4">
        <v>216</v>
      </c>
      <c r="L96" s="4">
        <v>8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>
        <v>50</v>
      </c>
      <c r="B97" s="4">
        <v>0</v>
      </c>
      <c r="C97" s="4">
        <v>0</v>
      </c>
      <c r="D97" s="4">
        <v>1</v>
      </c>
      <c r="E97" s="4">
        <v>223</v>
      </c>
      <c r="F97" s="4">
        <f>ROUND(Source!AQ87,O97)</f>
        <v>0</v>
      </c>
      <c r="G97" s="4" t="s">
        <v>84</v>
      </c>
      <c r="H97" s="4" t="s">
        <v>85</v>
      </c>
      <c r="I97" s="4"/>
      <c r="J97" s="4"/>
      <c r="K97" s="4">
        <v>223</v>
      </c>
      <c r="L97" s="4">
        <v>9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229</v>
      </c>
      <c r="F98" s="4">
        <f>ROUND(Source!AZ87,O98)</f>
        <v>0</v>
      </c>
      <c r="G98" s="4" t="s">
        <v>86</v>
      </c>
      <c r="H98" s="4" t="s">
        <v>87</v>
      </c>
      <c r="I98" s="4"/>
      <c r="J98" s="4"/>
      <c r="K98" s="4">
        <v>229</v>
      </c>
      <c r="L98" s="4">
        <v>10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203</v>
      </c>
      <c r="F99" s="4">
        <f>ROUND(Source!Q87,O99)</f>
        <v>39725.620000000003</v>
      </c>
      <c r="G99" s="4" t="s">
        <v>88</v>
      </c>
      <c r="H99" s="4" t="s">
        <v>89</v>
      </c>
      <c r="I99" s="4"/>
      <c r="J99" s="4"/>
      <c r="K99" s="4">
        <v>203</v>
      </c>
      <c r="L99" s="4">
        <v>11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231</v>
      </c>
      <c r="F100" s="4">
        <f>ROUND(Source!BB87,O100)</f>
        <v>0</v>
      </c>
      <c r="G100" s="4" t="s">
        <v>90</v>
      </c>
      <c r="H100" s="4" t="s">
        <v>91</v>
      </c>
      <c r="I100" s="4"/>
      <c r="J100" s="4"/>
      <c r="K100" s="4">
        <v>231</v>
      </c>
      <c r="L100" s="4">
        <v>12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204</v>
      </c>
      <c r="F101" s="4">
        <f>ROUND(Source!R87,O101)</f>
        <v>27698.6</v>
      </c>
      <c r="G101" s="4" t="s">
        <v>92</v>
      </c>
      <c r="H101" s="4" t="s">
        <v>93</v>
      </c>
      <c r="I101" s="4"/>
      <c r="J101" s="4"/>
      <c r="K101" s="4">
        <v>204</v>
      </c>
      <c r="L101" s="4">
        <v>13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205</v>
      </c>
      <c r="F102" s="4">
        <f>ROUND(Source!S87,O102)</f>
        <v>38673.32</v>
      </c>
      <c r="G102" s="4" t="s">
        <v>94</v>
      </c>
      <c r="H102" s="4" t="s">
        <v>95</v>
      </c>
      <c r="I102" s="4"/>
      <c r="J102" s="4"/>
      <c r="K102" s="4">
        <v>205</v>
      </c>
      <c r="L102" s="4">
        <v>14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232</v>
      </c>
      <c r="F103" s="4">
        <f>ROUND(Source!BC87,O103)</f>
        <v>0</v>
      </c>
      <c r="G103" s="4" t="s">
        <v>96</v>
      </c>
      <c r="H103" s="4" t="s">
        <v>97</v>
      </c>
      <c r="I103" s="4"/>
      <c r="J103" s="4"/>
      <c r="K103" s="4">
        <v>232</v>
      </c>
      <c r="L103" s="4">
        <v>15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214</v>
      </c>
      <c r="F104" s="4">
        <f>ROUND(Source!AS87,O104)</f>
        <v>0</v>
      </c>
      <c r="G104" s="4" t="s">
        <v>98</v>
      </c>
      <c r="H104" s="4" t="s">
        <v>99</v>
      </c>
      <c r="I104" s="4"/>
      <c r="J104" s="4"/>
      <c r="K104" s="4">
        <v>214</v>
      </c>
      <c r="L104" s="4">
        <v>16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215</v>
      </c>
      <c r="F105" s="4">
        <f>ROUND(Source!AT87,O105)</f>
        <v>0</v>
      </c>
      <c r="G105" s="4" t="s">
        <v>100</v>
      </c>
      <c r="H105" s="4" t="s">
        <v>101</v>
      </c>
      <c r="I105" s="4"/>
      <c r="J105" s="4"/>
      <c r="K105" s="4">
        <v>215</v>
      </c>
      <c r="L105" s="4">
        <v>17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217</v>
      </c>
      <c r="F106" s="4">
        <f>ROUND(Source!AU87,O106)</f>
        <v>1205561.77</v>
      </c>
      <c r="G106" s="4" t="s">
        <v>102</v>
      </c>
      <c r="H106" s="4" t="s">
        <v>103</v>
      </c>
      <c r="I106" s="4"/>
      <c r="J106" s="4"/>
      <c r="K106" s="4">
        <v>217</v>
      </c>
      <c r="L106" s="4">
        <v>18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230</v>
      </c>
      <c r="F107" s="4">
        <f>ROUND(Source!BA87,O107)</f>
        <v>0</v>
      </c>
      <c r="G107" s="4" t="s">
        <v>104</v>
      </c>
      <c r="H107" s="4" t="s">
        <v>105</v>
      </c>
      <c r="I107" s="4"/>
      <c r="J107" s="4"/>
      <c r="K107" s="4">
        <v>230</v>
      </c>
      <c r="L107" s="4">
        <v>19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206</v>
      </c>
      <c r="F108" s="4">
        <f>ROUND(Source!T87,O108)</f>
        <v>0</v>
      </c>
      <c r="G108" s="4" t="s">
        <v>106</v>
      </c>
      <c r="H108" s="4" t="s">
        <v>107</v>
      </c>
      <c r="I108" s="4"/>
      <c r="J108" s="4"/>
      <c r="K108" s="4">
        <v>206</v>
      </c>
      <c r="L108" s="4">
        <v>20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207</v>
      </c>
      <c r="F109" s="4">
        <f>Source!U87</f>
        <v>176.24655800000005</v>
      </c>
      <c r="G109" s="4" t="s">
        <v>108</v>
      </c>
      <c r="H109" s="4" t="s">
        <v>109</v>
      </c>
      <c r="I109" s="4"/>
      <c r="J109" s="4"/>
      <c r="K109" s="4">
        <v>207</v>
      </c>
      <c r="L109" s="4">
        <v>21</v>
      </c>
      <c r="M109" s="4">
        <v>3</v>
      </c>
      <c r="N109" s="4" t="s">
        <v>3</v>
      </c>
      <c r="O109" s="4">
        <v>-1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208</v>
      </c>
      <c r="F110" s="4">
        <f>Source!V87</f>
        <v>0</v>
      </c>
      <c r="G110" s="4" t="s">
        <v>110</v>
      </c>
      <c r="H110" s="4" t="s">
        <v>111</v>
      </c>
      <c r="I110" s="4"/>
      <c r="J110" s="4"/>
      <c r="K110" s="4">
        <v>208</v>
      </c>
      <c r="L110" s="4">
        <v>22</v>
      </c>
      <c r="M110" s="4">
        <v>3</v>
      </c>
      <c r="N110" s="4" t="s">
        <v>3</v>
      </c>
      <c r="O110" s="4">
        <v>-1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209</v>
      </c>
      <c r="F111" s="4">
        <f>ROUND(Source!W87,O111)</f>
        <v>0</v>
      </c>
      <c r="G111" s="4" t="s">
        <v>112</v>
      </c>
      <c r="H111" s="4" t="s">
        <v>113</v>
      </c>
      <c r="I111" s="4"/>
      <c r="J111" s="4"/>
      <c r="K111" s="4">
        <v>209</v>
      </c>
      <c r="L111" s="4">
        <v>23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>
        <v>50</v>
      </c>
      <c r="B112" s="4">
        <v>0</v>
      </c>
      <c r="C112" s="4">
        <v>0</v>
      </c>
      <c r="D112" s="4">
        <v>1</v>
      </c>
      <c r="E112" s="4">
        <v>210</v>
      </c>
      <c r="F112" s="4">
        <f>ROUND(Source!X87,O112)</f>
        <v>27071.32</v>
      </c>
      <c r="G112" s="4" t="s">
        <v>114</v>
      </c>
      <c r="H112" s="4" t="s">
        <v>115</v>
      </c>
      <c r="I112" s="4"/>
      <c r="J112" s="4"/>
      <c r="K112" s="4">
        <v>210</v>
      </c>
      <c r="L112" s="4">
        <v>24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45" x14ac:dyDescent="0.2">
      <c r="A113" s="4">
        <v>50</v>
      </c>
      <c r="B113" s="4">
        <v>0</v>
      </c>
      <c r="C113" s="4">
        <v>0</v>
      </c>
      <c r="D113" s="4">
        <v>1</v>
      </c>
      <c r="E113" s="4">
        <v>211</v>
      </c>
      <c r="F113" s="4">
        <f>ROUND(Source!Y87,O113)</f>
        <v>3867.33</v>
      </c>
      <c r="G113" s="4" t="s">
        <v>116</v>
      </c>
      <c r="H113" s="4" t="s">
        <v>117</v>
      </c>
      <c r="I113" s="4"/>
      <c r="J113" s="4"/>
      <c r="K113" s="4">
        <v>211</v>
      </c>
      <c r="L113" s="4">
        <v>25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45" x14ac:dyDescent="0.2">
      <c r="A114" s="4">
        <v>50</v>
      </c>
      <c r="B114" s="4">
        <v>0</v>
      </c>
      <c r="C114" s="4">
        <v>0</v>
      </c>
      <c r="D114" s="4">
        <v>1</v>
      </c>
      <c r="E114" s="4">
        <v>224</v>
      </c>
      <c r="F114" s="4">
        <f>ROUND(Source!AR87,O114)</f>
        <v>1205561.77</v>
      </c>
      <c r="G114" s="4" t="s">
        <v>118</v>
      </c>
      <c r="H114" s="4" t="s">
        <v>119</v>
      </c>
      <c r="I114" s="4"/>
      <c r="J114" s="4"/>
      <c r="K114" s="4">
        <v>224</v>
      </c>
      <c r="L114" s="4">
        <v>26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45" x14ac:dyDescent="0.2">
      <c r="A115" s="4">
        <v>50</v>
      </c>
      <c r="B115" s="4">
        <v>1</v>
      </c>
      <c r="C115" s="4">
        <v>0</v>
      </c>
      <c r="D115" s="4">
        <v>2</v>
      </c>
      <c r="E115" s="4">
        <v>0</v>
      </c>
      <c r="F115" s="4">
        <f>ROUND(F114*0.2,O115)</f>
        <v>241112.35</v>
      </c>
      <c r="G115" s="4" t="s">
        <v>120</v>
      </c>
      <c r="H115" s="4" t="s">
        <v>121</v>
      </c>
      <c r="I115" s="4"/>
      <c r="J115" s="4"/>
      <c r="K115" s="4">
        <v>212</v>
      </c>
      <c r="L115" s="4">
        <v>27</v>
      </c>
      <c r="M115" s="4">
        <v>0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45" x14ac:dyDescent="0.2">
      <c r="A116" s="4">
        <v>50</v>
      </c>
      <c r="B116" s="4">
        <v>1</v>
      </c>
      <c r="C116" s="4">
        <v>0</v>
      </c>
      <c r="D116" s="4">
        <v>2</v>
      </c>
      <c r="E116" s="4">
        <v>0</v>
      </c>
      <c r="F116" s="4">
        <f>ROUND(F114+F115,O116)</f>
        <v>1446674.12</v>
      </c>
      <c r="G116" s="4" t="s">
        <v>122</v>
      </c>
      <c r="H116" s="4" t="s">
        <v>123</v>
      </c>
      <c r="I116" s="4"/>
      <c r="J116" s="4"/>
      <c r="K116" s="4">
        <v>212</v>
      </c>
      <c r="L116" s="4">
        <v>28</v>
      </c>
      <c r="M116" s="4">
        <v>0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8" spans="1:245" x14ac:dyDescent="0.2">
      <c r="A118" s="1">
        <v>4</v>
      </c>
      <c r="B118" s="1">
        <v>1</v>
      </c>
      <c r="C118" s="1"/>
      <c r="D118" s="1">
        <f>ROW(A135)</f>
        <v>135</v>
      </c>
      <c r="E118" s="1"/>
      <c r="F118" s="1" t="s">
        <v>13</v>
      </c>
      <c r="G118" s="1" t="s">
        <v>137</v>
      </c>
      <c r="H118" s="1" t="s">
        <v>3</v>
      </c>
      <c r="I118" s="1">
        <v>0</v>
      </c>
      <c r="J118" s="1"/>
      <c r="K118" s="1">
        <v>-1</v>
      </c>
      <c r="L118" s="1"/>
      <c r="M118" s="1"/>
      <c r="N118" s="1"/>
      <c r="O118" s="1"/>
      <c r="P118" s="1"/>
      <c r="Q118" s="1"/>
      <c r="R118" s="1"/>
      <c r="S118" s="1"/>
      <c r="T118" s="1"/>
      <c r="U118" s="1" t="s">
        <v>3</v>
      </c>
      <c r="V118" s="1">
        <v>0</v>
      </c>
      <c r="W118" s="1"/>
      <c r="X118" s="1"/>
      <c r="Y118" s="1"/>
      <c r="Z118" s="1"/>
      <c r="AA118" s="1"/>
      <c r="AB118" s="1" t="s">
        <v>3</v>
      </c>
      <c r="AC118" s="1" t="s">
        <v>3</v>
      </c>
      <c r="AD118" s="1" t="s">
        <v>3</v>
      </c>
      <c r="AE118" s="1" t="s">
        <v>3</v>
      </c>
      <c r="AF118" s="1" t="s">
        <v>3</v>
      </c>
      <c r="AG118" s="1" t="s">
        <v>3</v>
      </c>
      <c r="AH118" s="1"/>
      <c r="AI118" s="1"/>
      <c r="AJ118" s="1"/>
      <c r="AK118" s="1"/>
      <c r="AL118" s="1"/>
      <c r="AM118" s="1"/>
      <c r="AN118" s="1"/>
      <c r="AO118" s="1"/>
      <c r="AP118" s="1" t="s">
        <v>3</v>
      </c>
      <c r="AQ118" s="1" t="s">
        <v>3</v>
      </c>
      <c r="AR118" s="1" t="s">
        <v>3</v>
      </c>
      <c r="AS118" s="1"/>
      <c r="AT118" s="1"/>
      <c r="AU118" s="1"/>
      <c r="AV118" s="1"/>
      <c r="AW118" s="1"/>
      <c r="AX118" s="1"/>
      <c r="AY118" s="1"/>
      <c r="AZ118" s="1" t="s">
        <v>3</v>
      </c>
      <c r="BA118" s="1"/>
      <c r="BB118" s="1" t="s">
        <v>3</v>
      </c>
      <c r="BC118" s="1" t="s">
        <v>3</v>
      </c>
      <c r="BD118" s="1" t="s">
        <v>3</v>
      </c>
      <c r="BE118" s="1" t="s">
        <v>3</v>
      </c>
      <c r="BF118" s="1" t="s">
        <v>3</v>
      </c>
      <c r="BG118" s="1" t="s">
        <v>3</v>
      </c>
      <c r="BH118" s="1" t="s">
        <v>3</v>
      </c>
      <c r="BI118" s="1" t="s">
        <v>3</v>
      </c>
      <c r="BJ118" s="1" t="s">
        <v>3</v>
      </c>
      <c r="BK118" s="1" t="s">
        <v>3</v>
      </c>
      <c r="BL118" s="1" t="s">
        <v>3</v>
      </c>
      <c r="BM118" s="1" t="s">
        <v>3</v>
      </c>
      <c r="BN118" s="1" t="s">
        <v>3</v>
      </c>
      <c r="BO118" s="1" t="s">
        <v>3</v>
      </c>
      <c r="BP118" s="1" t="s">
        <v>3</v>
      </c>
      <c r="BQ118" s="1"/>
      <c r="BR118" s="1"/>
      <c r="BS118" s="1"/>
      <c r="BT118" s="1"/>
      <c r="BU118" s="1"/>
      <c r="BV118" s="1"/>
      <c r="BW118" s="1"/>
      <c r="BX118" s="1">
        <v>0</v>
      </c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>
        <v>0</v>
      </c>
    </row>
    <row r="120" spans="1:245" x14ac:dyDescent="0.2">
      <c r="A120" s="2">
        <v>52</v>
      </c>
      <c r="B120" s="2">
        <f t="shared" ref="B120:G120" si="112">B135</f>
        <v>1</v>
      </c>
      <c r="C120" s="2">
        <f t="shared" si="112"/>
        <v>4</v>
      </c>
      <c r="D120" s="2">
        <f t="shared" si="112"/>
        <v>118</v>
      </c>
      <c r="E120" s="2">
        <f t="shared" si="112"/>
        <v>0</v>
      </c>
      <c r="F120" s="2" t="str">
        <f t="shared" si="112"/>
        <v>Новый раздел</v>
      </c>
      <c r="G120" s="2" t="str">
        <f t="shared" si="112"/>
        <v>Детская площадка "Сиреневый сад" (683,1 м2)</v>
      </c>
      <c r="H120" s="2"/>
      <c r="I120" s="2"/>
      <c r="J120" s="2"/>
      <c r="K120" s="2"/>
      <c r="L120" s="2"/>
      <c r="M120" s="2"/>
      <c r="N120" s="2"/>
      <c r="O120" s="2">
        <f t="shared" ref="O120:AT120" si="113">O135</f>
        <v>1654880.72</v>
      </c>
      <c r="P120" s="2">
        <f t="shared" si="113"/>
        <v>1487727.19</v>
      </c>
      <c r="Q120" s="2">
        <f t="shared" si="113"/>
        <v>93744.78</v>
      </c>
      <c r="R120" s="2">
        <f t="shared" si="113"/>
        <v>58856.78</v>
      </c>
      <c r="S120" s="2">
        <f t="shared" si="113"/>
        <v>73408.75</v>
      </c>
      <c r="T120" s="2">
        <f t="shared" si="113"/>
        <v>0</v>
      </c>
      <c r="U120" s="2">
        <f t="shared" si="113"/>
        <v>380.22540553800002</v>
      </c>
      <c r="V120" s="2">
        <f t="shared" si="113"/>
        <v>0</v>
      </c>
      <c r="W120" s="2">
        <f t="shared" si="113"/>
        <v>0</v>
      </c>
      <c r="X120" s="2">
        <f t="shared" si="113"/>
        <v>51386.12</v>
      </c>
      <c r="Y120" s="2">
        <f t="shared" si="113"/>
        <v>7340.88</v>
      </c>
      <c r="Z120" s="2">
        <f t="shared" si="113"/>
        <v>0</v>
      </c>
      <c r="AA120" s="2">
        <f t="shared" si="113"/>
        <v>0</v>
      </c>
      <c r="AB120" s="2">
        <f t="shared" si="113"/>
        <v>1654880.72</v>
      </c>
      <c r="AC120" s="2">
        <f t="shared" si="113"/>
        <v>1487727.19</v>
      </c>
      <c r="AD120" s="2">
        <f t="shared" si="113"/>
        <v>93744.78</v>
      </c>
      <c r="AE120" s="2">
        <f t="shared" si="113"/>
        <v>58856.78</v>
      </c>
      <c r="AF120" s="2">
        <f t="shared" si="113"/>
        <v>73408.75</v>
      </c>
      <c r="AG120" s="2">
        <f t="shared" si="113"/>
        <v>0</v>
      </c>
      <c r="AH120" s="2">
        <f t="shared" si="113"/>
        <v>380.22540553800002</v>
      </c>
      <c r="AI120" s="2">
        <f t="shared" si="113"/>
        <v>0</v>
      </c>
      <c r="AJ120" s="2">
        <f t="shared" si="113"/>
        <v>0</v>
      </c>
      <c r="AK120" s="2">
        <f t="shared" si="113"/>
        <v>51386.12</v>
      </c>
      <c r="AL120" s="2">
        <f t="shared" si="113"/>
        <v>7340.88</v>
      </c>
      <c r="AM120" s="2">
        <f t="shared" si="113"/>
        <v>0</v>
      </c>
      <c r="AN120" s="2">
        <f t="shared" si="113"/>
        <v>0</v>
      </c>
      <c r="AO120" s="2">
        <f t="shared" si="113"/>
        <v>0</v>
      </c>
      <c r="AP120" s="2">
        <f t="shared" si="113"/>
        <v>0</v>
      </c>
      <c r="AQ120" s="2">
        <f t="shared" si="113"/>
        <v>0</v>
      </c>
      <c r="AR120" s="2">
        <f t="shared" si="113"/>
        <v>1744280.61</v>
      </c>
      <c r="AS120" s="2">
        <f t="shared" si="113"/>
        <v>0</v>
      </c>
      <c r="AT120" s="2">
        <f t="shared" si="113"/>
        <v>0</v>
      </c>
      <c r="AU120" s="2">
        <f t="shared" ref="AU120:BZ120" si="114">AU135</f>
        <v>1744280.61</v>
      </c>
      <c r="AV120" s="2">
        <f t="shared" si="114"/>
        <v>1487727.19</v>
      </c>
      <c r="AW120" s="2">
        <f t="shared" si="114"/>
        <v>1487727.19</v>
      </c>
      <c r="AX120" s="2">
        <f t="shared" si="114"/>
        <v>0</v>
      </c>
      <c r="AY120" s="2">
        <f t="shared" si="114"/>
        <v>1487727.19</v>
      </c>
      <c r="AZ120" s="2">
        <f t="shared" si="114"/>
        <v>0</v>
      </c>
      <c r="BA120" s="2">
        <f t="shared" si="114"/>
        <v>0</v>
      </c>
      <c r="BB120" s="2">
        <f t="shared" si="114"/>
        <v>0</v>
      </c>
      <c r="BC120" s="2">
        <f t="shared" si="114"/>
        <v>0</v>
      </c>
      <c r="BD120" s="2">
        <f t="shared" si="114"/>
        <v>0</v>
      </c>
      <c r="BE120" s="2">
        <f t="shared" si="114"/>
        <v>0</v>
      </c>
      <c r="BF120" s="2">
        <f t="shared" si="114"/>
        <v>0</v>
      </c>
      <c r="BG120" s="2">
        <f t="shared" si="114"/>
        <v>0</v>
      </c>
      <c r="BH120" s="2">
        <f t="shared" si="114"/>
        <v>0</v>
      </c>
      <c r="BI120" s="2">
        <f t="shared" si="114"/>
        <v>0</v>
      </c>
      <c r="BJ120" s="2">
        <f t="shared" si="114"/>
        <v>0</v>
      </c>
      <c r="BK120" s="2">
        <f t="shared" si="114"/>
        <v>0</v>
      </c>
      <c r="BL120" s="2">
        <f t="shared" si="114"/>
        <v>0</v>
      </c>
      <c r="BM120" s="2">
        <f t="shared" si="114"/>
        <v>0</v>
      </c>
      <c r="BN120" s="2">
        <f t="shared" si="114"/>
        <v>0</v>
      </c>
      <c r="BO120" s="2">
        <f t="shared" si="114"/>
        <v>0</v>
      </c>
      <c r="BP120" s="2">
        <f t="shared" si="114"/>
        <v>0</v>
      </c>
      <c r="BQ120" s="2">
        <f t="shared" si="114"/>
        <v>0</v>
      </c>
      <c r="BR120" s="2">
        <f t="shared" si="114"/>
        <v>0</v>
      </c>
      <c r="BS120" s="2">
        <f t="shared" si="114"/>
        <v>0</v>
      </c>
      <c r="BT120" s="2">
        <f t="shared" si="114"/>
        <v>0</v>
      </c>
      <c r="BU120" s="2">
        <f t="shared" si="114"/>
        <v>0</v>
      </c>
      <c r="BV120" s="2">
        <f t="shared" si="114"/>
        <v>0</v>
      </c>
      <c r="BW120" s="2">
        <f t="shared" si="114"/>
        <v>0</v>
      </c>
      <c r="BX120" s="2">
        <f t="shared" si="114"/>
        <v>0</v>
      </c>
      <c r="BY120" s="2">
        <f t="shared" si="114"/>
        <v>0</v>
      </c>
      <c r="BZ120" s="2">
        <f t="shared" si="114"/>
        <v>0</v>
      </c>
      <c r="CA120" s="2">
        <f t="shared" ref="CA120:DF120" si="115">CA135</f>
        <v>1744280.61</v>
      </c>
      <c r="CB120" s="2">
        <f t="shared" si="115"/>
        <v>0</v>
      </c>
      <c r="CC120" s="2">
        <f t="shared" si="115"/>
        <v>0</v>
      </c>
      <c r="CD120" s="2">
        <f t="shared" si="115"/>
        <v>1744280.61</v>
      </c>
      <c r="CE120" s="2">
        <f t="shared" si="115"/>
        <v>1487727.19</v>
      </c>
      <c r="CF120" s="2">
        <f t="shared" si="115"/>
        <v>1487727.19</v>
      </c>
      <c r="CG120" s="2">
        <f t="shared" si="115"/>
        <v>0</v>
      </c>
      <c r="CH120" s="2">
        <f t="shared" si="115"/>
        <v>1487727.19</v>
      </c>
      <c r="CI120" s="2">
        <f t="shared" si="115"/>
        <v>0</v>
      </c>
      <c r="CJ120" s="2">
        <f t="shared" si="115"/>
        <v>0</v>
      </c>
      <c r="CK120" s="2">
        <f t="shared" si="115"/>
        <v>0</v>
      </c>
      <c r="CL120" s="2">
        <f t="shared" si="115"/>
        <v>0</v>
      </c>
      <c r="CM120" s="2">
        <f t="shared" si="115"/>
        <v>0</v>
      </c>
      <c r="CN120" s="2">
        <f t="shared" si="115"/>
        <v>0</v>
      </c>
      <c r="CO120" s="2">
        <f t="shared" si="115"/>
        <v>0</v>
      </c>
      <c r="CP120" s="2">
        <f t="shared" si="115"/>
        <v>0</v>
      </c>
      <c r="CQ120" s="2">
        <f t="shared" si="115"/>
        <v>0</v>
      </c>
      <c r="CR120" s="2">
        <f t="shared" si="115"/>
        <v>0</v>
      </c>
      <c r="CS120" s="2">
        <f t="shared" si="115"/>
        <v>0</v>
      </c>
      <c r="CT120" s="2">
        <f t="shared" si="115"/>
        <v>0</v>
      </c>
      <c r="CU120" s="2">
        <f t="shared" si="115"/>
        <v>0</v>
      </c>
      <c r="CV120" s="2">
        <f t="shared" si="115"/>
        <v>0</v>
      </c>
      <c r="CW120" s="2">
        <f t="shared" si="115"/>
        <v>0</v>
      </c>
      <c r="CX120" s="2">
        <f t="shared" si="115"/>
        <v>0</v>
      </c>
      <c r="CY120" s="2">
        <f t="shared" si="115"/>
        <v>0</v>
      </c>
      <c r="CZ120" s="2">
        <f t="shared" si="115"/>
        <v>0</v>
      </c>
      <c r="DA120" s="2">
        <f t="shared" si="115"/>
        <v>0</v>
      </c>
      <c r="DB120" s="2">
        <f t="shared" si="115"/>
        <v>0</v>
      </c>
      <c r="DC120" s="2">
        <f t="shared" si="115"/>
        <v>0</v>
      </c>
      <c r="DD120" s="2">
        <f t="shared" si="115"/>
        <v>0</v>
      </c>
      <c r="DE120" s="2">
        <f t="shared" si="115"/>
        <v>0</v>
      </c>
      <c r="DF120" s="2">
        <f t="shared" si="115"/>
        <v>0</v>
      </c>
      <c r="DG120" s="3">
        <f t="shared" ref="DG120:EL120" si="116">DG135</f>
        <v>0</v>
      </c>
      <c r="DH120" s="3">
        <f t="shared" si="116"/>
        <v>0</v>
      </c>
      <c r="DI120" s="3">
        <f t="shared" si="116"/>
        <v>0</v>
      </c>
      <c r="DJ120" s="3">
        <f t="shared" si="116"/>
        <v>0</v>
      </c>
      <c r="DK120" s="3">
        <f t="shared" si="116"/>
        <v>0</v>
      </c>
      <c r="DL120" s="3">
        <f t="shared" si="116"/>
        <v>0</v>
      </c>
      <c r="DM120" s="3">
        <f t="shared" si="116"/>
        <v>0</v>
      </c>
      <c r="DN120" s="3">
        <f t="shared" si="116"/>
        <v>0</v>
      </c>
      <c r="DO120" s="3">
        <f t="shared" si="116"/>
        <v>0</v>
      </c>
      <c r="DP120" s="3">
        <f t="shared" si="116"/>
        <v>0</v>
      </c>
      <c r="DQ120" s="3">
        <f t="shared" si="116"/>
        <v>0</v>
      </c>
      <c r="DR120" s="3">
        <f t="shared" si="116"/>
        <v>0</v>
      </c>
      <c r="DS120" s="3">
        <f t="shared" si="116"/>
        <v>0</v>
      </c>
      <c r="DT120" s="3">
        <f t="shared" si="116"/>
        <v>0</v>
      </c>
      <c r="DU120" s="3">
        <f t="shared" si="116"/>
        <v>0</v>
      </c>
      <c r="DV120" s="3">
        <f t="shared" si="116"/>
        <v>0</v>
      </c>
      <c r="DW120" s="3">
        <f t="shared" si="116"/>
        <v>0</v>
      </c>
      <c r="DX120" s="3">
        <f t="shared" si="116"/>
        <v>0</v>
      </c>
      <c r="DY120" s="3">
        <f t="shared" si="116"/>
        <v>0</v>
      </c>
      <c r="DZ120" s="3">
        <f t="shared" si="116"/>
        <v>0</v>
      </c>
      <c r="EA120" s="3">
        <f t="shared" si="116"/>
        <v>0</v>
      </c>
      <c r="EB120" s="3">
        <f t="shared" si="116"/>
        <v>0</v>
      </c>
      <c r="EC120" s="3">
        <f t="shared" si="116"/>
        <v>0</v>
      </c>
      <c r="ED120" s="3">
        <f t="shared" si="116"/>
        <v>0</v>
      </c>
      <c r="EE120" s="3">
        <f t="shared" si="116"/>
        <v>0</v>
      </c>
      <c r="EF120" s="3">
        <f t="shared" si="116"/>
        <v>0</v>
      </c>
      <c r="EG120" s="3">
        <f t="shared" si="116"/>
        <v>0</v>
      </c>
      <c r="EH120" s="3">
        <f t="shared" si="116"/>
        <v>0</v>
      </c>
      <c r="EI120" s="3">
        <f t="shared" si="116"/>
        <v>0</v>
      </c>
      <c r="EJ120" s="3">
        <f t="shared" si="116"/>
        <v>0</v>
      </c>
      <c r="EK120" s="3">
        <f t="shared" si="116"/>
        <v>0</v>
      </c>
      <c r="EL120" s="3">
        <f t="shared" si="116"/>
        <v>0</v>
      </c>
      <c r="EM120" s="3">
        <f t="shared" ref="EM120:FR120" si="117">EM135</f>
        <v>0</v>
      </c>
      <c r="EN120" s="3">
        <f t="shared" si="117"/>
        <v>0</v>
      </c>
      <c r="EO120" s="3">
        <f t="shared" si="117"/>
        <v>0</v>
      </c>
      <c r="EP120" s="3">
        <f t="shared" si="117"/>
        <v>0</v>
      </c>
      <c r="EQ120" s="3">
        <f t="shared" si="117"/>
        <v>0</v>
      </c>
      <c r="ER120" s="3">
        <f t="shared" si="117"/>
        <v>0</v>
      </c>
      <c r="ES120" s="3">
        <f t="shared" si="117"/>
        <v>0</v>
      </c>
      <c r="ET120" s="3">
        <f t="shared" si="117"/>
        <v>0</v>
      </c>
      <c r="EU120" s="3">
        <f t="shared" si="117"/>
        <v>0</v>
      </c>
      <c r="EV120" s="3">
        <f t="shared" si="117"/>
        <v>0</v>
      </c>
      <c r="EW120" s="3">
        <f t="shared" si="117"/>
        <v>0</v>
      </c>
      <c r="EX120" s="3">
        <f t="shared" si="117"/>
        <v>0</v>
      </c>
      <c r="EY120" s="3">
        <f t="shared" si="117"/>
        <v>0</v>
      </c>
      <c r="EZ120" s="3">
        <f t="shared" si="117"/>
        <v>0</v>
      </c>
      <c r="FA120" s="3">
        <f t="shared" si="117"/>
        <v>0</v>
      </c>
      <c r="FB120" s="3">
        <f t="shared" si="117"/>
        <v>0</v>
      </c>
      <c r="FC120" s="3">
        <f t="shared" si="117"/>
        <v>0</v>
      </c>
      <c r="FD120" s="3">
        <f t="shared" si="117"/>
        <v>0</v>
      </c>
      <c r="FE120" s="3">
        <f t="shared" si="117"/>
        <v>0</v>
      </c>
      <c r="FF120" s="3">
        <f t="shared" si="117"/>
        <v>0</v>
      </c>
      <c r="FG120" s="3">
        <f t="shared" si="117"/>
        <v>0</v>
      </c>
      <c r="FH120" s="3">
        <f t="shared" si="117"/>
        <v>0</v>
      </c>
      <c r="FI120" s="3">
        <f t="shared" si="117"/>
        <v>0</v>
      </c>
      <c r="FJ120" s="3">
        <f t="shared" si="117"/>
        <v>0</v>
      </c>
      <c r="FK120" s="3">
        <f t="shared" si="117"/>
        <v>0</v>
      </c>
      <c r="FL120" s="3">
        <f t="shared" si="117"/>
        <v>0</v>
      </c>
      <c r="FM120" s="3">
        <f t="shared" si="117"/>
        <v>0</v>
      </c>
      <c r="FN120" s="3">
        <f t="shared" si="117"/>
        <v>0</v>
      </c>
      <c r="FO120" s="3">
        <f t="shared" si="117"/>
        <v>0</v>
      </c>
      <c r="FP120" s="3">
        <f t="shared" si="117"/>
        <v>0</v>
      </c>
      <c r="FQ120" s="3">
        <f t="shared" si="117"/>
        <v>0</v>
      </c>
      <c r="FR120" s="3">
        <f t="shared" si="117"/>
        <v>0</v>
      </c>
      <c r="FS120" s="3">
        <f t="shared" ref="FS120:GX120" si="118">FS135</f>
        <v>0</v>
      </c>
      <c r="FT120" s="3">
        <f t="shared" si="118"/>
        <v>0</v>
      </c>
      <c r="FU120" s="3">
        <f t="shared" si="118"/>
        <v>0</v>
      </c>
      <c r="FV120" s="3">
        <f t="shared" si="118"/>
        <v>0</v>
      </c>
      <c r="FW120" s="3">
        <f t="shared" si="118"/>
        <v>0</v>
      </c>
      <c r="FX120" s="3">
        <f t="shared" si="118"/>
        <v>0</v>
      </c>
      <c r="FY120" s="3">
        <f t="shared" si="118"/>
        <v>0</v>
      </c>
      <c r="FZ120" s="3">
        <f t="shared" si="118"/>
        <v>0</v>
      </c>
      <c r="GA120" s="3">
        <f t="shared" si="118"/>
        <v>0</v>
      </c>
      <c r="GB120" s="3">
        <f t="shared" si="118"/>
        <v>0</v>
      </c>
      <c r="GC120" s="3">
        <f t="shared" si="118"/>
        <v>0</v>
      </c>
      <c r="GD120" s="3">
        <f t="shared" si="118"/>
        <v>0</v>
      </c>
      <c r="GE120" s="3">
        <f t="shared" si="118"/>
        <v>0</v>
      </c>
      <c r="GF120" s="3">
        <f t="shared" si="118"/>
        <v>0</v>
      </c>
      <c r="GG120" s="3">
        <f t="shared" si="118"/>
        <v>0</v>
      </c>
      <c r="GH120" s="3">
        <f t="shared" si="118"/>
        <v>0</v>
      </c>
      <c r="GI120" s="3">
        <f t="shared" si="118"/>
        <v>0</v>
      </c>
      <c r="GJ120" s="3">
        <f t="shared" si="118"/>
        <v>0</v>
      </c>
      <c r="GK120" s="3">
        <f t="shared" si="118"/>
        <v>0</v>
      </c>
      <c r="GL120" s="3">
        <f t="shared" si="118"/>
        <v>0</v>
      </c>
      <c r="GM120" s="3">
        <f t="shared" si="118"/>
        <v>0</v>
      </c>
      <c r="GN120" s="3">
        <f t="shared" si="118"/>
        <v>0</v>
      </c>
      <c r="GO120" s="3">
        <f t="shared" si="118"/>
        <v>0</v>
      </c>
      <c r="GP120" s="3">
        <f t="shared" si="118"/>
        <v>0</v>
      </c>
      <c r="GQ120" s="3">
        <f t="shared" si="118"/>
        <v>0</v>
      </c>
      <c r="GR120" s="3">
        <f t="shared" si="118"/>
        <v>0</v>
      </c>
      <c r="GS120" s="3">
        <f t="shared" si="118"/>
        <v>0</v>
      </c>
      <c r="GT120" s="3">
        <f t="shared" si="118"/>
        <v>0</v>
      </c>
      <c r="GU120" s="3">
        <f t="shared" si="118"/>
        <v>0</v>
      </c>
      <c r="GV120" s="3">
        <f t="shared" si="118"/>
        <v>0</v>
      </c>
      <c r="GW120" s="3">
        <f t="shared" si="118"/>
        <v>0</v>
      </c>
      <c r="GX120" s="3">
        <f t="shared" si="118"/>
        <v>0</v>
      </c>
    </row>
    <row r="122" spans="1:245" x14ac:dyDescent="0.2">
      <c r="A122">
        <v>17</v>
      </c>
      <c r="B122">
        <v>1</v>
      </c>
      <c r="C122">
        <f>ROW(SmtRes!A45)</f>
        <v>45</v>
      </c>
      <c r="D122">
        <f>ROW(EtalonRes!A43)</f>
        <v>43</v>
      </c>
      <c r="E122" t="s">
        <v>138</v>
      </c>
      <c r="F122" t="s">
        <v>139</v>
      </c>
      <c r="G122" t="s">
        <v>140</v>
      </c>
      <c r="H122" t="s">
        <v>18</v>
      </c>
      <c r="I122">
        <f>ROUND(683.1/100,9)</f>
        <v>6.8310000000000004</v>
      </c>
      <c r="J122">
        <v>0</v>
      </c>
      <c r="O122">
        <f t="shared" ref="O122:O133" si="119">ROUND(CP122,2)</f>
        <v>11455.04</v>
      </c>
      <c r="P122">
        <f t="shared" ref="P122:P133" si="120">ROUND(CQ122*I122,2)</f>
        <v>0</v>
      </c>
      <c r="Q122">
        <f t="shared" ref="Q122:Q133" si="121">ROUND(CR122*I122,2)</f>
        <v>43.65</v>
      </c>
      <c r="R122">
        <f t="shared" ref="R122:R133" si="122">ROUND(CS122*I122,2)</f>
        <v>0.14000000000000001</v>
      </c>
      <c r="S122">
        <f t="shared" ref="S122:S133" si="123">ROUND(CT122*I122,2)</f>
        <v>11411.39</v>
      </c>
      <c r="T122">
        <f t="shared" ref="T122:T133" si="124">ROUND(CU122*I122,2)</f>
        <v>0</v>
      </c>
      <c r="U122">
        <f t="shared" ref="U122:U133" si="125">CV122*I122</f>
        <v>62.230409999999999</v>
      </c>
      <c r="V122">
        <f t="shared" ref="V122:V133" si="126">CW122*I122</f>
        <v>0</v>
      </c>
      <c r="W122">
        <f t="shared" ref="W122:W133" si="127">ROUND(CX122*I122,2)</f>
        <v>0</v>
      </c>
      <c r="X122">
        <f t="shared" ref="X122:X133" si="128">ROUND(CY122,2)</f>
        <v>7987.97</v>
      </c>
      <c r="Y122">
        <f t="shared" ref="Y122:Y133" si="129">ROUND(CZ122,2)</f>
        <v>1141.1400000000001</v>
      </c>
      <c r="AA122">
        <v>15805332</v>
      </c>
      <c r="AB122">
        <f t="shared" ref="AB122:AB133" si="130">ROUND((AC122+AD122+AF122),6)</f>
        <v>1676.92</v>
      </c>
      <c r="AC122">
        <f>ROUND((ES122),6)</f>
        <v>0</v>
      </c>
      <c r="AD122">
        <f>ROUND((((ET122)-(EU122))+AE122),6)</f>
        <v>6.39</v>
      </c>
      <c r="AE122">
        <f t="shared" ref="AE122:AF125" si="131">ROUND((EU122),6)</f>
        <v>0.02</v>
      </c>
      <c r="AF122">
        <f t="shared" si="131"/>
        <v>1670.53</v>
      </c>
      <c r="AG122">
        <f t="shared" ref="AG122:AG133" si="132">ROUND((AP122),6)</f>
        <v>0</v>
      </c>
      <c r="AH122">
        <f t="shared" ref="AH122:AI125" si="133">(EW122)</f>
        <v>9.11</v>
      </c>
      <c r="AI122">
        <f t="shared" si="133"/>
        <v>0</v>
      </c>
      <c r="AJ122">
        <f t="shared" ref="AJ122:AJ133" si="134">(AS122)</f>
        <v>0</v>
      </c>
      <c r="AK122">
        <v>1676.92</v>
      </c>
      <c r="AL122">
        <v>0</v>
      </c>
      <c r="AM122">
        <v>6.39</v>
      </c>
      <c r="AN122">
        <v>0.02</v>
      </c>
      <c r="AO122">
        <v>1670.53</v>
      </c>
      <c r="AP122">
        <v>0</v>
      </c>
      <c r="AQ122">
        <v>9.11</v>
      </c>
      <c r="AR122">
        <v>0</v>
      </c>
      <c r="AS122">
        <v>0</v>
      </c>
      <c r="AT122">
        <v>70</v>
      </c>
      <c r="AU122">
        <v>10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D122" t="s">
        <v>3</v>
      </c>
      <c r="BE122" t="s">
        <v>3</v>
      </c>
      <c r="BF122" t="s">
        <v>3</v>
      </c>
      <c r="BG122" t="s">
        <v>3</v>
      </c>
      <c r="BH122">
        <v>0</v>
      </c>
      <c r="BI122">
        <v>4</v>
      </c>
      <c r="BJ122" t="s">
        <v>141</v>
      </c>
      <c r="BM122">
        <v>0</v>
      </c>
      <c r="BN122">
        <v>0</v>
      </c>
      <c r="BO122" t="s">
        <v>3</v>
      </c>
      <c r="BP122">
        <v>0</v>
      </c>
      <c r="BQ122">
        <v>1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 t="s">
        <v>3</v>
      </c>
      <c r="BZ122">
        <v>70</v>
      </c>
      <c r="CA122">
        <v>10</v>
      </c>
      <c r="CE122">
        <v>0</v>
      </c>
      <c r="CF122">
        <v>0</v>
      </c>
      <c r="CG122">
        <v>0</v>
      </c>
      <c r="CM122">
        <v>0</v>
      </c>
      <c r="CN122" t="s">
        <v>3</v>
      </c>
      <c r="CO122">
        <v>0</v>
      </c>
      <c r="CP122">
        <f t="shared" ref="CP122:CP133" si="135">(P122+Q122+S122)</f>
        <v>11455.039999999999</v>
      </c>
      <c r="CQ122">
        <f t="shared" ref="CQ122:CQ133" si="136">(AC122*BC122*AW122)</f>
        <v>0</v>
      </c>
      <c r="CR122">
        <f>((((ET122)*BB122-(EU122)*BS122)+AE122*BS122)*AV122)</f>
        <v>6.39</v>
      </c>
      <c r="CS122">
        <f t="shared" ref="CS122:CS133" si="137">(AE122*BS122*AV122)</f>
        <v>0.02</v>
      </c>
      <c r="CT122">
        <f t="shared" ref="CT122:CT133" si="138">(AF122*BA122*AV122)</f>
        <v>1670.53</v>
      </c>
      <c r="CU122">
        <f t="shared" ref="CU122:CU133" si="139">AG122</f>
        <v>0</v>
      </c>
      <c r="CV122">
        <f t="shared" ref="CV122:CV133" si="140">(AH122*AV122)</f>
        <v>9.11</v>
      </c>
      <c r="CW122">
        <f t="shared" ref="CW122:CW133" si="141">AI122</f>
        <v>0</v>
      </c>
      <c r="CX122">
        <f t="shared" ref="CX122:CX133" si="142">AJ122</f>
        <v>0</v>
      </c>
      <c r="CY122">
        <f t="shared" ref="CY122:CY133" si="143">((S122*BZ122)/100)</f>
        <v>7987.972999999999</v>
      </c>
      <c r="CZ122">
        <f t="shared" ref="CZ122:CZ133" si="144">((S122*CA122)/100)</f>
        <v>1141.1389999999999</v>
      </c>
      <c r="DC122" t="s">
        <v>3</v>
      </c>
      <c r="DD122" t="s">
        <v>3</v>
      </c>
      <c r="DE122" t="s">
        <v>3</v>
      </c>
      <c r="DF122" t="s">
        <v>3</v>
      </c>
      <c r="DG122" t="s">
        <v>3</v>
      </c>
      <c r="DH122" t="s">
        <v>3</v>
      </c>
      <c r="DI122" t="s">
        <v>3</v>
      </c>
      <c r="DJ122" t="s">
        <v>3</v>
      </c>
      <c r="DK122" t="s">
        <v>3</v>
      </c>
      <c r="DL122" t="s">
        <v>3</v>
      </c>
      <c r="DM122" t="s">
        <v>3</v>
      </c>
      <c r="DN122">
        <v>0</v>
      </c>
      <c r="DO122">
        <v>0</v>
      </c>
      <c r="DP122">
        <v>1</v>
      </c>
      <c r="DQ122">
        <v>1</v>
      </c>
      <c r="DU122">
        <v>1005</v>
      </c>
      <c r="DV122" t="s">
        <v>18</v>
      </c>
      <c r="DW122" t="s">
        <v>18</v>
      </c>
      <c r="DX122">
        <v>100</v>
      </c>
      <c r="EE122">
        <v>15435499</v>
      </c>
      <c r="EF122">
        <v>1</v>
      </c>
      <c r="EG122" t="s">
        <v>20</v>
      </c>
      <c r="EH122">
        <v>0</v>
      </c>
      <c r="EI122" t="s">
        <v>3</v>
      </c>
      <c r="EJ122">
        <v>4</v>
      </c>
      <c r="EK122">
        <v>0</v>
      </c>
      <c r="EL122" t="s">
        <v>21</v>
      </c>
      <c r="EM122" t="s">
        <v>22</v>
      </c>
      <c r="EO122" t="s">
        <v>3</v>
      </c>
      <c r="EQ122">
        <v>0</v>
      </c>
      <c r="ER122">
        <v>1676.92</v>
      </c>
      <c r="ES122">
        <v>0</v>
      </c>
      <c r="ET122">
        <v>6.39</v>
      </c>
      <c r="EU122">
        <v>0.02</v>
      </c>
      <c r="EV122">
        <v>1670.53</v>
      </c>
      <c r="EW122">
        <v>9.11</v>
      </c>
      <c r="EX122">
        <v>0</v>
      </c>
      <c r="EY122">
        <v>0</v>
      </c>
      <c r="FQ122">
        <v>0</v>
      </c>
      <c r="FR122">
        <f t="shared" ref="FR122:FR133" si="145">ROUND(IF(AND(BH122=3,BI122=3),P122,0),2)</f>
        <v>0</v>
      </c>
      <c r="FS122">
        <v>0</v>
      </c>
      <c r="FX122">
        <v>70</v>
      </c>
      <c r="FY122">
        <v>10</v>
      </c>
      <c r="GA122" t="s">
        <v>3</v>
      </c>
      <c r="GD122">
        <v>0</v>
      </c>
      <c r="GF122">
        <v>116198523</v>
      </c>
      <c r="GG122">
        <v>2</v>
      </c>
      <c r="GH122">
        <v>1</v>
      </c>
      <c r="GI122">
        <v>-2</v>
      </c>
      <c r="GJ122">
        <v>0</v>
      </c>
      <c r="GK122">
        <f>ROUND(R122*(R12)/100,2)</f>
        <v>0.15</v>
      </c>
      <c r="GL122">
        <f t="shared" ref="GL122:GL133" si="146">ROUND(IF(AND(BH122=3,BI122=3,FS122&lt;&gt;0),P122,0),2)</f>
        <v>0</v>
      </c>
      <c r="GM122">
        <f t="shared" ref="GM122:GM130" si="147">ROUND(O122+X122+Y122+GK122,2)+GX122</f>
        <v>20584.3</v>
      </c>
      <c r="GN122">
        <f t="shared" ref="GN122:GN130" si="148">IF(OR(BI122=0,BI122=1),ROUND(O122+X122+Y122+GK122,2),0)</f>
        <v>0</v>
      </c>
      <c r="GO122">
        <f t="shared" ref="GO122:GO130" si="149">IF(BI122=2,ROUND(O122+X122+Y122+GK122,2),0)</f>
        <v>0</v>
      </c>
      <c r="GP122">
        <f t="shared" ref="GP122:GP130" si="150">IF(BI122=4,ROUND(O122+X122+Y122+GK122,2)+GX122,0)</f>
        <v>20584.3</v>
      </c>
      <c r="GR122">
        <v>0</v>
      </c>
      <c r="GS122">
        <v>3</v>
      </c>
      <c r="GT122">
        <v>0</v>
      </c>
      <c r="GU122" t="s">
        <v>3</v>
      </c>
      <c r="GV122">
        <f t="shared" ref="GV122:GV133" si="151">ROUND((GT122),6)</f>
        <v>0</v>
      </c>
      <c r="GW122">
        <v>1</v>
      </c>
      <c r="GX122">
        <f t="shared" ref="GX122:GX133" si="152">ROUND(HC122*I122,2)</f>
        <v>0</v>
      </c>
      <c r="HA122">
        <v>0</v>
      </c>
      <c r="HB122">
        <v>0</v>
      </c>
      <c r="HC122">
        <f t="shared" ref="HC122:HC133" si="153">GV122*GW122</f>
        <v>0</v>
      </c>
      <c r="IK122">
        <v>0</v>
      </c>
    </row>
    <row r="123" spans="1:245" x14ac:dyDescent="0.2">
      <c r="A123">
        <v>17</v>
      </c>
      <c r="B123">
        <v>1</v>
      </c>
      <c r="C123">
        <f>ROW(SmtRes!A53)</f>
        <v>53</v>
      </c>
      <c r="D123">
        <f>ROW(EtalonRes!A51)</f>
        <v>51</v>
      </c>
      <c r="E123" t="s">
        <v>142</v>
      </c>
      <c r="F123" t="s">
        <v>143</v>
      </c>
      <c r="G123" t="s">
        <v>144</v>
      </c>
      <c r="H123" t="s">
        <v>18</v>
      </c>
      <c r="I123">
        <f>ROUND(85.5/100,9)</f>
        <v>0.85499999999999998</v>
      </c>
      <c r="J123">
        <v>0</v>
      </c>
      <c r="O123">
        <f t="shared" si="119"/>
        <v>35849.24</v>
      </c>
      <c r="P123">
        <f t="shared" si="120"/>
        <v>22681</v>
      </c>
      <c r="Q123">
        <f t="shared" si="121"/>
        <v>97.51</v>
      </c>
      <c r="R123">
        <f t="shared" si="122"/>
        <v>74.180000000000007</v>
      </c>
      <c r="S123">
        <f t="shared" si="123"/>
        <v>13070.73</v>
      </c>
      <c r="T123">
        <f t="shared" si="124"/>
        <v>0</v>
      </c>
      <c r="U123">
        <f t="shared" si="125"/>
        <v>97.47</v>
      </c>
      <c r="V123">
        <f t="shared" si="126"/>
        <v>0</v>
      </c>
      <c r="W123">
        <f t="shared" si="127"/>
        <v>0</v>
      </c>
      <c r="X123">
        <f t="shared" si="128"/>
        <v>9149.51</v>
      </c>
      <c r="Y123">
        <f t="shared" si="129"/>
        <v>1307.07</v>
      </c>
      <c r="AA123">
        <v>15805332</v>
      </c>
      <c r="AB123">
        <f t="shared" si="130"/>
        <v>41928.93</v>
      </c>
      <c r="AC123">
        <f>ROUND((ES123),6)</f>
        <v>26527.48</v>
      </c>
      <c r="AD123">
        <f>ROUND((((ET123)-(EU123))+AE123),6)</f>
        <v>114.05</v>
      </c>
      <c r="AE123">
        <f t="shared" si="131"/>
        <v>86.76</v>
      </c>
      <c r="AF123">
        <f t="shared" si="131"/>
        <v>15287.4</v>
      </c>
      <c r="AG123">
        <f t="shared" si="132"/>
        <v>0</v>
      </c>
      <c r="AH123">
        <f t="shared" si="133"/>
        <v>114</v>
      </c>
      <c r="AI123">
        <f t="shared" si="133"/>
        <v>0</v>
      </c>
      <c r="AJ123">
        <f t="shared" si="134"/>
        <v>0</v>
      </c>
      <c r="AK123">
        <v>41928.93</v>
      </c>
      <c r="AL123">
        <v>26527.48</v>
      </c>
      <c r="AM123">
        <v>114.05</v>
      </c>
      <c r="AN123">
        <v>86.76</v>
      </c>
      <c r="AO123">
        <v>15287.4</v>
      </c>
      <c r="AP123">
        <v>0</v>
      </c>
      <c r="AQ123">
        <v>114</v>
      </c>
      <c r="AR123">
        <v>0</v>
      </c>
      <c r="AS123">
        <v>0</v>
      </c>
      <c r="AT123">
        <v>70</v>
      </c>
      <c r="AU123">
        <v>10</v>
      </c>
      <c r="AV123">
        <v>1</v>
      </c>
      <c r="AW123">
        <v>1</v>
      </c>
      <c r="AZ123">
        <v>1</v>
      </c>
      <c r="BA123">
        <v>1</v>
      </c>
      <c r="BB123">
        <v>1</v>
      </c>
      <c r="BC123">
        <v>1</v>
      </c>
      <c r="BD123" t="s">
        <v>3</v>
      </c>
      <c r="BE123" t="s">
        <v>3</v>
      </c>
      <c r="BF123" t="s">
        <v>3</v>
      </c>
      <c r="BG123" t="s">
        <v>3</v>
      </c>
      <c r="BH123">
        <v>0</v>
      </c>
      <c r="BI123">
        <v>4</v>
      </c>
      <c r="BJ123" t="s">
        <v>145</v>
      </c>
      <c r="BM123">
        <v>0</v>
      </c>
      <c r="BN123">
        <v>0</v>
      </c>
      <c r="BO123" t="s">
        <v>3</v>
      </c>
      <c r="BP123">
        <v>0</v>
      </c>
      <c r="BQ123">
        <v>1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 t="s">
        <v>3</v>
      </c>
      <c r="BZ123">
        <v>70</v>
      </c>
      <c r="CA123">
        <v>10</v>
      </c>
      <c r="CE123">
        <v>0</v>
      </c>
      <c r="CF123">
        <v>0</v>
      </c>
      <c r="CG123">
        <v>0</v>
      </c>
      <c r="CM123">
        <v>0</v>
      </c>
      <c r="CN123" t="s">
        <v>3</v>
      </c>
      <c r="CO123">
        <v>0</v>
      </c>
      <c r="CP123">
        <f t="shared" si="135"/>
        <v>35849.24</v>
      </c>
      <c r="CQ123">
        <f t="shared" si="136"/>
        <v>26527.48</v>
      </c>
      <c r="CR123">
        <f>((((ET123)*BB123-(EU123)*BS123)+AE123*BS123)*AV123)</f>
        <v>114.05</v>
      </c>
      <c r="CS123">
        <f t="shared" si="137"/>
        <v>86.76</v>
      </c>
      <c r="CT123">
        <f t="shared" si="138"/>
        <v>15287.4</v>
      </c>
      <c r="CU123">
        <f t="shared" si="139"/>
        <v>0</v>
      </c>
      <c r="CV123">
        <f t="shared" si="140"/>
        <v>114</v>
      </c>
      <c r="CW123">
        <f t="shared" si="141"/>
        <v>0</v>
      </c>
      <c r="CX123">
        <f t="shared" si="142"/>
        <v>0</v>
      </c>
      <c r="CY123">
        <f t="shared" si="143"/>
        <v>9149.5110000000004</v>
      </c>
      <c r="CZ123">
        <f t="shared" si="144"/>
        <v>1307.0729999999999</v>
      </c>
      <c r="DC123" t="s">
        <v>3</v>
      </c>
      <c r="DD123" t="s">
        <v>3</v>
      </c>
      <c r="DE123" t="s">
        <v>3</v>
      </c>
      <c r="DF123" t="s">
        <v>3</v>
      </c>
      <c r="DG123" t="s">
        <v>3</v>
      </c>
      <c r="DH123" t="s">
        <v>3</v>
      </c>
      <c r="DI123" t="s">
        <v>3</v>
      </c>
      <c r="DJ123" t="s">
        <v>3</v>
      </c>
      <c r="DK123" t="s">
        <v>3</v>
      </c>
      <c r="DL123" t="s">
        <v>3</v>
      </c>
      <c r="DM123" t="s">
        <v>3</v>
      </c>
      <c r="DN123">
        <v>0</v>
      </c>
      <c r="DO123">
        <v>0</v>
      </c>
      <c r="DP123">
        <v>1</v>
      </c>
      <c r="DQ123">
        <v>1</v>
      </c>
      <c r="DU123">
        <v>1005</v>
      </c>
      <c r="DV123" t="s">
        <v>18</v>
      </c>
      <c r="DW123" t="s">
        <v>18</v>
      </c>
      <c r="DX123">
        <v>100</v>
      </c>
      <c r="EE123">
        <v>15435499</v>
      </c>
      <c r="EF123">
        <v>1</v>
      </c>
      <c r="EG123" t="s">
        <v>20</v>
      </c>
      <c r="EH123">
        <v>0</v>
      </c>
      <c r="EI123" t="s">
        <v>3</v>
      </c>
      <c r="EJ123">
        <v>4</v>
      </c>
      <c r="EK123">
        <v>0</v>
      </c>
      <c r="EL123" t="s">
        <v>21</v>
      </c>
      <c r="EM123" t="s">
        <v>22</v>
      </c>
      <c r="EO123" t="s">
        <v>3</v>
      </c>
      <c r="EQ123">
        <v>1048576</v>
      </c>
      <c r="ER123">
        <v>41928.93</v>
      </c>
      <c r="ES123">
        <v>26527.48</v>
      </c>
      <c r="ET123">
        <v>114.05</v>
      </c>
      <c r="EU123">
        <v>86.76</v>
      </c>
      <c r="EV123">
        <v>15287.4</v>
      </c>
      <c r="EW123">
        <v>114</v>
      </c>
      <c r="EX123">
        <v>0</v>
      </c>
      <c r="EY123">
        <v>0</v>
      </c>
      <c r="FQ123">
        <v>0</v>
      </c>
      <c r="FR123">
        <f t="shared" si="145"/>
        <v>0</v>
      </c>
      <c r="FS123">
        <v>0</v>
      </c>
      <c r="FX123">
        <v>70</v>
      </c>
      <c r="FY123">
        <v>10</v>
      </c>
      <c r="GA123" t="s">
        <v>3</v>
      </c>
      <c r="GD123">
        <v>0</v>
      </c>
      <c r="GF123">
        <v>-1104981352</v>
      </c>
      <c r="GG123">
        <v>2</v>
      </c>
      <c r="GH123">
        <v>1</v>
      </c>
      <c r="GI123">
        <v>-2</v>
      </c>
      <c r="GJ123">
        <v>0</v>
      </c>
      <c r="GK123">
        <f>ROUND(R123*(R12)/100,2)</f>
        <v>80.11</v>
      </c>
      <c r="GL123">
        <f t="shared" si="146"/>
        <v>0</v>
      </c>
      <c r="GM123">
        <f t="shared" si="147"/>
        <v>46385.93</v>
      </c>
      <c r="GN123">
        <f t="shared" si="148"/>
        <v>0</v>
      </c>
      <c r="GO123">
        <f t="shared" si="149"/>
        <v>0</v>
      </c>
      <c r="GP123">
        <f t="shared" si="150"/>
        <v>46385.93</v>
      </c>
      <c r="GR123">
        <v>0</v>
      </c>
      <c r="GS123">
        <v>3</v>
      </c>
      <c r="GT123">
        <v>0</v>
      </c>
      <c r="GU123" t="s">
        <v>3</v>
      </c>
      <c r="GV123">
        <f t="shared" si="151"/>
        <v>0</v>
      </c>
      <c r="GW123">
        <v>1</v>
      </c>
      <c r="GX123">
        <f t="shared" si="152"/>
        <v>0</v>
      </c>
      <c r="HA123">
        <v>0</v>
      </c>
      <c r="HB123">
        <v>0</v>
      </c>
      <c r="HC123">
        <f t="shared" si="153"/>
        <v>0</v>
      </c>
      <c r="IK123">
        <v>0</v>
      </c>
    </row>
    <row r="124" spans="1:245" x14ac:dyDescent="0.2">
      <c r="A124">
        <v>17</v>
      </c>
      <c r="B124">
        <v>1</v>
      </c>
      <c r="C124">
        <f>ROW(SmtRes!A63)</f>
        <v>63</v>
      </c>
      <c r="D124">
        <f>ROW(EtalonRes!A61)</f>
        <v>61</v>
      </c>
      <c r="E124" t="s">
        <v>146</v>
      </c>
      <c r="F124" t="s">
        <v>24</v>
      </c>
      <c r="G124" t="s">
        <v>25</v>
      </c>
      <c r="H124" t="s">
        <v>18</v>
      </c>
      <c r="I124">
        <f>ROUND(683.1/100,9)</f>
        <v>6.8310000000000004</v>
      </c>
      <c r="J124">
        <v>0</v>
      </c>
      <c r="O124">
        <f t="shared" si="119"/>
        <v>744944.45</v>
      </c>
      <c r="P124">
        <f t="shared" si="120"/>
        <v>699218.56</v>
      </c>
      <c r="Q124">
        <f t="shared" si="121"/>
        <v>17878.43</v>
      </c>
      <c r="R124">
        <f t="shared" si="122"/>
        <v>14095.5</v>
      </c>
      <c r="S124">
        <f t="shared" si="123"/>
        <v>27847.46</v>
      </c>
      <c r="T124">
        <f t="shared" si="124"/>
        <v>0</v>
      </c>
      <c r="U124">
        <f t="shared" si="125"/>
        <v>125.96364000000001</v>
      </c>
      <c r="V124">
        <f t="shared" si="126"/>
        <v>0</v>
      </c>
      <c r="W124">
        <f t="shared" si="127"/>
        <v>0</v>
      </c>
      <c r="X124">
        <f t="shared" si="128"/>
        <v>19493.22</v>
      </c>
      <c r="Y124">
        <f t="shared" si="129"/>
        <v>2784.75</v>
      </c>
      <c r="AA124">
        <v>15805332</v>
      </c>
      <c r="AB124">
        <f t="shared" si="130"/>
        <v>109053.5</v>
      </c>
      <c r="AC124">
        <f>ROUND((ES124),6)</f>
        <v>102359.62</v>
      </c>
      <c r="AD124">
        <f>ROUND((((ET124)-(EU124))+AE124),6)</f>
        <v>2617.25</v>
      </c>
      <c r="AE124">
        <f t="shared" si="131"/>
        <v>2063.46</v>
      </c>
      <c r="AF124">
        <f t="shared" si="131"/>
        <v>4076.63</v>
      </c>
      <c r="AG124">
        <f t="shared" si="132"/>
        <v>0</v>
      </c>
      <c r="AH124">
        <f t="shared" si="133"/>
        <v>18.440000000000001</v>
      </c>
      <c r="AI124">
        <f t="shared" si="133"/>
        <v>0</v>
      </c>
      <c r="AJ124">
        <f t="shared" si="134"/>
        <v>0</v>
      </c>
      <c r="AK124">
        <v>109053.5</v>
      </c>
      <c r="AL124">
        <v>102359.62</v>
      </c>
      <c r="AM124">
        <v>2617.25</v>
      </c>
      <c r="AN124">
        <v>2063.46</v>
      </c>
      <c r="AO124">
        <v>4076.63</v>
      </c>
      <c r="AP124">
        <v>0</v>
      </c>
      <c r="AQ124">
        <v>18.440000000000001</v>
      </c>
      <c r="AR124">
        <v>0</v>
      </c>
      <c r="AS124">
        <v>0</v>
      </c>
      <c r="AT124">
        <v>70</v>
      </c>
      <c r="AU124">
        <v>10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D124" t="s">
        <v>3</v>
      </c>
      <c r="BE124" t="s">
        <v>3</v>
      </c>
      <c r="BF124" t="s">
        <v>3</v>
      </c>
      <c r="BG124" t="s">
        <v>3</v>
      </c>
      <c r="BH124">
        <v>0</v>
      </c>
      <c r="BI124">
        <v>4</v>
      </c>
      <c r="BJ124" t="s">
        <v>147</v>
      </c>
      <c r="BM124">
        <v>0</v>
      </c>
      <c r="BN124">
        <v>0</v>
      </c>
      <c r="BO124" t="s">
        <v>3</v>
      </c>
      <c r="BP124">
        <v>0</v>
      </c>
      <c r="BQ124">
        <v>1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t="s">
        <v>3</v>
      </c>
      <c r="BZ124">
        <v>70</v>
      </c>
      <c r="CA124">
        <v>10</v>
      </c>
      <c r="CE124">
        <v>0</v>
      </c>
      <c r="CF124">
        <v>0</v>
      </c>
      <c r="CG124">
        <v>0</v>
      </c>
      <c r="CM124">
        <v>0</v>
      </c>
      <c r="CN124" t="s">
        <v>3</v>
      </c>
      <c r="CO124">
        <v>0</v>
      </c>
      <c r="CP124">
        <f t="shared" si="135"/>
        <v>744944.45000000007</v>
      </c>
      <c r="CQ124">
        <f t="shared" si="136"/>
        <v>102359.62</v>
      </c>
      <c r="CR124">
        <f>((((ET124)*BB124-(EU124)*BS124)+AE124*BS124)*AV124)</f>
        <v>2617.25</v>
      </c>
      <c r="CS124">
        <f t="shared" si="137"/>
        <v>2063.46</v>
      </c>
      <c r="CT124">
        <f t="shared" si="138"/>
        <v>4076.63</v>
      </c>
      <c r="CU124">
        <f t="shared" si="139"/>
        <v>0</v>
      </c>
      <c r="CV124">
        <f t="shared" si="140"/>
        <v>18.440000000000001</v>
      </c>
      <c r="CW124">
        <f t="shared" si="141"/>
        <v>0</v>
      </c>
      <c r="CX124">
        <f t="shared" si="142"/>
        <v>0</v>
      </c>
      <c r="CY124">
        <f t="shared" si="143"/>
        <v>19493.221999999998</v>
      </c>
      <c r="CZ124">
        <f t="shared" si="144"/>
        <v>2784.7459999999996</v>
      </c>
      <c r="DC124" t="s">
        <v>3</v>
      </c>
      <c r="DD124" t="s">
        <v>3</v>
      </c>
      <c r="DE124" t="s">
        <v>3</v>
      </c>
      <c r="DF124" t="s">
        <v>3</v>
      </c>
      <c r="DG124" t="s">
        <v>3</v>
      </c>
      <c r="DH124" t="s">
        <v>3</v>
      </c>
      <c r="DI124" t="s">
        <v>3</v>
      </c>
      <c r="DJ124" t="s">
        <v>3</v>
      </c>
      <c r="DK124" t="s">
        <v>3</v>
      </c>
      <c r="DL124" t="s">
        <v>3</v>
      </c>
      <c r="DM124" t="s">
        <v>3</v>
      </c>
      <c r="DN124">
        <v>0</v>
      </c>
      <c r="DO124">
        <v>0</v>
      </c>
      <c r="DP124">
        <v>1</v>
      </c>
      <c r="DQ124">
        <v>1</v>
      </c>
      <c r="DU124">
        <v>1005</v>
      </c>
      <c r="DV124" t="s">
        <v>18</v>
      </c>
      <c r="DW124" t="s">
        <v>18</v>
      </c>
      <c r="DX124">
        <v>100</v>
      </c>
      <c r="EE124">
        <v>15435499</v>
      </c>
      <c r="EF124">
        <v>1</v>
      </c>
      <c r="EG124" t="s">
        <v>20</v>
      </c>
      <c r="EH124">
        <v>0</v>
      </c>
      <c r="EI124" t="s">
        <v>3</v>
      </c>
      <c r="EJ124">
        <v>4</v>
      </c>
      <c r="EK124">
        <v>0</v>
      </c>
      <c r="EL124" t="s">
        <v>21</v>
      </c>
      <c r="EM124" t="s">
        <v>22</v>
      </c>
      <c r="EO124" t="s">
        <v>3</v>
      </c>
      <c r="EQ124">
        <v>0</v>
      </c>
      <c r="ER124">
        <v>109053.5</v>
      </c>
      <c r="ES124">
        <v>102359.62</v>
      </c>
      <c r="ET124">
        <v>2617.25</v>
      </c>
      <c r="EU124">
        <v>2063.46</v>
      </c>
      <c r="EV124">
        <v>4076.63</v>
      </c>
      <c r="EW124">
        <v>18.440000000000001</v>
      </c>
      <c r="EX124">
        <v>0</v>
      </c>
      <c r="EY124">
        <v>0</v>
      </c>
      <c r="FQ124">
        <v>0</v>
      </c>
      <c r="FR124">
        <f t="shared" si="145"/>
        <v>0</v>
      </c>
      <c r="FS124">
        <v>0</v>
      </c>
      <c r="FX124">
        <v>70</v>
      </c>
      <c r="FY124">
        <v>10</v>
      </c>
      <c r="GA124" t="s">
        <v>3</v>
      </c>
      <c r="GD124">
        <v>0</v>
      </c>
      <c r="GF124">
        <v>-612908128</v>
      </c>
      <c r="GG124">
        <v>2</v>
      </c>
      <c r="GH124">
        <v>1</v>
      </c>
      <c r="GI124">
        <v>-2</v>
      </c>
      <c r="GJ124">
        <v>0</v>
      </c>
      <c r="GK124">
        <f>ROUND(R124*(R12)/100,2)</f>
        <v>15223.14</v>
      </c>
      <c r="GL124">
        <f t="shared" si="146"/>
        <v>0</v>
      </c>
      <c r="GM124">
        <f t="shared" si="147"/>
        <v>782445.56</v>
      </c>
      <c r="GN124">
        <f t="shared" si="148"/>
        <v>0</v>
      </c>
      <c r="GO124">
        <f t="shared" si="149"/>
        <v>0</v>
      </c>
      <c r="GP124">
        <f t="shared" si="150"/>
        <v>782445.56</v>
      </c>
      <c r="GR124">
        <v>0</v>
      </c>
      <c r="GS124">
        <v>3</v>
      </c>
      <c r="GT124">
        <v>0</v>
      </c>
      <c r="GU124" t="s">
        <v>3</v>
      </c>
      <c r="GV124">
        <f t="shared" si="151"/>
        <v>0</v>
      </c>
      <c r="GW124">
        <v>1</v>
      </c>
      <c r="GX124">
        <f t="shared" si="152"/>
        <v>0</v>
      </c>
      <c r="HA124">
        <v>0</v>
      </c>
      <c r="HB124">
        <v>0</v>
      </c>
      <c r="HC124">
        <f t="shared" si="153"/>
        <v>0</v>
      </c>
      <c r="IK124">
        <v>0</v>
      </c>
    </row>
    <row r="125" spans="1:245" x14ac:dyDescent="0.2">
      <c r="A125">
        <v>18</v>
      </c>
      <c r="B125">
        <v>1</v>
      </c>
      <c r="C125">
        <v>63</v>
      </c>
      <c r="E125" t="s">
        <v>148</v>
      </c>
      <c r="F125" t="s">
        <v>28</v>
      </c>
      <c r="G125" t="s">
        <v>29</v>
      </c>
      <c r="H125" t="s">
        <v>30</v>
      </c>
      <c r="I125">
        <f>I124*J125</f>
        <v>-0.35862749999999999</v>
      </c>
      <c r="J125">
        <v>-5.2499999999999998E-2</v>
      </c>
      <c r="O125">
        <f t="shared" si="119"/>
        <v>-268360.84000000003</v>
      </c>
      <c r="P125">
        <f t="shared" si="120"/>
        <v>-268360.84000000003</v>
      </c>
      <c r="Q125">
        <f t="shared" si="121"/>
        <v>0</v>
      </c>
      <c r="R125">
        <f t="shared" si="122"/>
        <v>0</v>
      </c>
      <c r="S125">
        <f t="shared" si="123"/>
        <v>0</v>
      </c>
      <c r="T125">
        <f t="shared" si="124"/>
        <v>0</v>
      </c>
      <c r="U125">
        <f t="shared" si="125"/>
        <v>0</v>
      </c>
      <c r="V125">
        <f t="shared" si="126"/>
        <v>0</v>
      </c>
      <c r="W125">
        <f t="shared" si="127"/>
        <v>0</v>
      </c>
      <c r="X125">
        <f t="shared" si="128"/>
        <v>0</v>
      </c>
      <c r="Y125">
        <f t="shared" si="129"/>
        <v>0</v>
      </c>
      <c r="AA125">
        <v>15805332</v>
      </c>
      <c r="AB125">
        <f t="shared" si="130"/>
        <v>748299.67</v>
      </c>
      <c r="AC125">
        <f>ROUND((ES125),6)</f>
        <v>748299.67</v>
      </c>
      <c r="AD125">
        <f>ROUND((((ET125)-(EU125))+AE125),6)</f>
        <v>0</v>
      </c>
      <c r="AE125">
        <f t="shared" si="131"/>
        <v>0</v>
      </c>
      <c r="AF125">
        <f t="shared" si="131"/>
        <v>0</v>
      </c>
      <c r="AG125">
        <f t="shared" si="132"/>
        <v>0</v>
      </c>
      <c r="AH125">
        <f t="shared" si="133"/>
        <v>0</v>
      </c>
      <c r="AI125">
        <f t="shared" si="133"/>
        <v>0</v>
      </c>
      <c r="AJ125">
        <f t="shared" si="134"/>
        <v>0</v>
      </c>
      <c r="AK125">
        <v>748299.67</v>
      </c>
      <c r="AL125">
        <v>748299.67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70</v>
      </c>
      <c r="AU125">
        <v>10</v>
      </c>
      <c r="AV125">
        <v>1</v>
      </c>
      <c r="AW125">
        <v>1</v>
      </c>
      <c r="AZ125">
        <v>1</v>
      </c>
      <c r="BA125">
        <v>1</v>
      </c>
      <c r="BB125">
        <v>1</v>
      </c>
      <c r="BC125">
        <v>1</v>
      </c>
      <c r="BD125" t="s">
        <v>3</v>
      </c>
      <c r="BE125" t="s">
        <v>3</v>
      </c>
      <c r="BF125" t="s">
        <v>3</v>
      </c>
      <c r="BG125" t="s">
        <v>3</v>
      </c>
      <c r="BH125">
        <v>3</v>
      </c>
      <c r="BI125">
        <v>4</v>
      </c>
      <c r="BJ125" t="s">
        <v>149</v>
      </c>
      <c r="BM125">
        <v>0</v>
      </c>
      <c r="BN125">
        <v>0</v>
      </c>
      <c r="BO125" t="s">
        <v>3</v>
      </c>
      <c r="BP125">
        <v>0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 t="s">
        <v>3</v>
      </c>
      <c r="BZ125">
        <v>70</v>
      </c>
      <c r="CA125">
        <v>10</v>
      </c>
      <c r="CE125">
        <v>0</v>
      </c>
      <c r="CF125">
        <v>0</v>
      </c>
      <c r="CG125">
        <v>0</v>
      </c>
      <c r="CM125">
        <v>0</v>
      </c>
      <c r="CN125" t="s">
        <v>3</v>
      </c>
      <c r="CO125">
        <v>0</v>
      </c>
      <c r="CP125">
        <f t="shared" si="135"/>
        <v>-268360.84000000003</v>
      </c>
      <c r="CQ125">
        <f t="shared" si="136"/>
        <v>748299.67</v>
      </c>
      <c r="CR125">
        <f>((((ET125)*BB125-(EU125)*BS125)+AE125*BS125)*AV125)</f>
        <v>0</v>
      </c>
      <c r="CS125">
        <f t="shared" si="137"/>
        <v>0</v>
      </c>
      <c r="CT125">
        <f t="shared" si="138"/>
        <v>0</v>
      </c>
      <c r="CU125">
        <f t="shared" si="139"/>
        <v>0</v>
      </c>
      <c r="CV125">
        <f t="shared" si="140"/>
        <v>0</v>
      </c>
      <c r="CW125">
        <f t="shared" si="141"/>
        <v>0</v>
      </c>
      <c r="CX125">
        <f t="shared" si="142"/>
        <v>0</v>
      </c>
      <c r="CY125">
        <f t="shared" si="143"/>
        <v>0</v>
      </c>
      <c r="CZ125">
        <f t="shared" si="144"/>
        <v>0</v>
      </c>
      <c r="DC125" t="s">
        <v>3</v>
      </c>
      <c r="DD125" t="s">
        <v>3</v>
      </c>
      <c r="DE125" t="s">
        <v>3</v>
      </c>
      <c r="DF125" t="s">
        <v>3</v>
      </c>
      <c r="DG125" t="s">
        <v>3</v>
      </c>
      <c r="DH125" t="s">
        <v>3</v>
      </c>
      <c r="DI125" t="s">
        <v>3</v>
      </c>
      <c r="DJ125" t="s">
        <v>3</v>
      </c>
      <c r="DK125" t="s">
        <v>3</v>
      </c>
      <c r="DL125" t="s">
        <v>3</v>
      </c>
      <c r="DM125" t="s">
        <v>3</v>
      </c>
      <c r="DN125">
        <v>0</v>
      </c>
      <c r="DO125">
        <v>0</v>
      </c>
      <c r="DP125">
        <v>1</v>
      </c>
      <c r="DQ125">
        <v>1</v>
      </c>
      <c r="DU125">
        <v>1009</v>
      </c>
      <c r="DV125" t="s">
        <v>30</v>
      </c>
      <c r="DW125" t="s">
        <v>30</v>
      </c>
      <c r="DX125">
        <v>1000</v>
      </c>
      <c r="EE125">
        <v>15435499</v>
      </c>
      <c r="EF125">
        <v>1</v>
      </c>
      <c r="EG125" t="s">
        <v>20</v>
      </c>
      <c r="EH125">
        <v>0</v>
      </c>
      <c r="EI125" t="s">
        <v>3</v>
      </c>
      <c r="EJ125">
        <v>4</v>
      </c>
      <c r="EK125">
        <v>0</v>
      </c>
      <c r="EL125" t="s">
        <v>21</v>
      </c>
      <c r="EM125" t="s">
        <v>22</v>
      </c>
      <c r="EO125" t="s">
        <v>3</v>
      </c>
      <c r="EQ125">
        <v>0</v>
      </c>
      <c r="ER125">
        <v>748299.67</v>
      </c>
      <c r="ES125">
        <v>748299.67</v>
      </c>
      <c r="ET125">
        <v>0</v>
      </c>
      <c r="EU125">
        <v>0</v>
      </c>
      <c r="EV125">
        <v>0</v>
      </c>
      <c r="EW125">
        <v>0</v>
      </c>
      <c r="EX125">
        <v>0</v>
      </c>
      <c r="FQ125">
        <v>0</v>
      </c>
      <c r="FR125">
        <f t="shared" si="145"/>
        <v>0</v>
      </c>
      <c r="FS125">
        <v>0</v>
      </c>
      <c r="FX125">
        <v>70</v>
      </c>
      <c r="FY125">
        <v>10</v>
      </c>
      <c r="GA125" t="s">
        <v>3</v>
      </c>
      <c r="GD125">
        <v>0</v>
      </c>
      <c r="GF125">
        <v>-311034766</v>
      </c>
      <c r="GG125">
        <v>2</v>
      </c>
      <c r="GH125">
        <v>1</v>
      </c>
      <c r="GI125">
        <v>-2</v>
      </c>
      <c r="GJ125">
        <v>0</v>
      </c>
      <c r="GK125">
        <f>ROUND(R125*(R12)/100,2)</f>
        <v>0</v>
      </c>
      <c r="GL125">
        <f t="shared" si="146"/>
        <v>0</v>
      </c>
      <c r="GM125">
        <f t="shared" si="147"/>
        <v>-268360.84000000003</v>
      </c>
      <c r="GN125">
        <f t="shared" si="148"/>
        <v>0</v>
      </c>
      <c r="GO125">
        <f t="shared" si="149"/>
        <v>0</v>
      </c>
      <c r="GP125">
        <f t="shared" si="150"/>
        <v>-268360.84000000003</v>
      </c>
      <c r="GR125">
        <v>0</v>
      </c>
      <c r="GS125">
        <v>3</v>
      </c>
      <c r="GT125">
        <v>0</v>
      </c>
      <c r="GU125" t="s">
        <v>3</v>
      </c>
      <c r="GV125">
        <f t="shared" si="151"/>
        <v>0</v>
      </c>
      <c r="GW125">
        <v>1</v>
      </c>
      <c r="GX125">
        <f t="shared" si="152"/>
        <v>0</v>
      </c>
      <c r="HA125">
        <v>0</v>
      </c>
      <c r="HB125">
        <v>0</v>
      </c>
      <c r="HC125">
        <f t="shared" si="153"/>
        <v>0</v>
      </c>
      <c r="IK125">
        <v>0</v>
      </c>
    </row>
    <row r="126" spans="1:245" x14ac:dyDescent="0.2">
      <c r="A126">
        <v>17</v>
      </c>
      <c r="B126">
        <v>1</v>
      </c>
      <c r="C126">
        <f>ROW(SmtRes!A70)</f>
        <v>70</v>
      </c>
      <c r="D126">
        <f>ROW(EtalonRes!A67)</f>
        <v>67</v>
      </c>
      <c r="E126" t="s">
        <v>150</v>
      </c>
      <c r="F126" t="s">
        <v>33</v>
      </c>
      <c r="G126" t="s">
        <v>151</v>
      </c>
      <c r="H126" t="s">
        <v>18</v>
      </c>
      <c r="I126">
        <f>ROUND(683.1/100,9)</f>
        <v>6.8310000000000004</v>
      </c>
      <c r="J126">
        <v>0</v>
      </c>
      <c r="O126">
        <f t="shared" si="119"/>
        <v>685255.86</v>
      </c>
      <c r="P126">
        <f t="shared" si="120"/>
        <v>647839.06000000006</v>
      </c>
      <c r="Q126">
        <f t="shared" si="121"/>
        <v>16833.63</v>
      </c>
      <c r="R126">
        <f t="shared" si="122"/>
        <v>13307.47</v>
      </c>
      <c r="S126">
        <f t="shared" si="123"/>
        <v>20583.169999999998</v>
      </c>
      <c r="T126">
        <f t="shared" si="124"/>
        <v>0</v>
      </c>
      <c r="U126">
        <f t="shared" si="125"/>
        <v>90.510750000000002</v>
      </c>
      <c r="V126">
        <f t="shared" si="126"/>
        <v>0</v>
      </c>
      <c r="W126">
        <f t="shared" si="127"/>
        <v>0</v>
      </c>
      <c r="X126">
        <f t="shared" si="128"/>
        <v>14408.22</v>
      </c>
      <c r="Y126">
        <f t="shared" si="129"/>
        <v>2058.3200000000002</v>
      </c>
      <c r="AA126">
        <v>15805332</v>
      </c>
      <c r="AB126">
        <f t="shared" si="130"/>
        <v>100315.6</v>
      </c>
      <c r="AC126">
        <f>ROUND(((ES126*5)),6)</f>
        <v>94838.1</v>
      </c>
      <c r="AD126">
        <f>ROUND(((((ET126*5))-((EU126*5)))+AE126),6)</f>
        <v>2464.3000000000002</v>
      </c>
      <c r="AE126">
        <f>ROUND(((EU126*5)),6)</f>
        <v>1948.1</v>
      </c>
      <c r="AF126">
        <f>ROUND(((EV126*5)),6)</f>
        <v>3013.2</v>
      </c>
      <c r="AG126">
        <f t="shared" si="132"/>
        <v>0</v>
      </c>
      <c r="AH126">
        <f>((EW126*5))</f>
        <v>13.25</v>
      </c>
      <c r="AI126">
        <f>((EX126*5))</f>
        <v>0</v>
      </c>
      <c r="AJ126">
        <f t="shared" si="134"/>
        <v>0</v>
      </c>
      <c r="AK126">
        <v>20063.12</v>
      </c>
      <c r="AL126">
        <v>18967.62</v>
      </c>
      <c r="AM126">
        <v>492.86</v>
      </c>
      <c r="AN126">
        <v>389.62</v>
      </c>
      <c r="AO126">
        <v>602.64</v>
      </c>
      <c r="AP126">
        <v>0</v>
      </c>
      <c r="AQ126">
        <v>2.65</v>
      </c>
      <c r="AR126">
        <v>0</v>
      </c>
      <c r="AS126">
        <v>0</v>
      </c>
      <c r="AT126">
        <v>70</v>
      </c>
      <c r="AU126">
        <v>10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D126" t="s">
        <v>3</v>
      </c>
      <c r="BE126" t="s">
        <v>3</v>
      </c>
      <c r="BF126" t="s">
        <v>3</v>
      </c>
      <c r="BG126" t="s">
        <v>3</v>
      </c>
      <c r="BH126">
        <v>0</v>
      </c>
      <c r="BI126">
        <v>4</v>
      </c>
      <c r="BJ126" t="s">
        <v>35</v>
      </c>
      <c r="BM126">
        <v>0</v>
      </c>
      <c r="BN126">
        <v>0</v>
      </c>
      <c r="BO126" t="s">
        <v>3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 t="s">
        <v>3</v>
      </c>
      <c r="BZ126">
        <v>70</v>
      </c>
      <c r="CA126">
        <v>10</v>
      </c>
      <c r="CE126">
        <v>0</v>
      </c>
      <c r="CF126">
        <v>0</v>
      </c>
      <c r="CG126">
        <v>0</v>
      </c>
      <c r="CM126">
        <v>0</v>
      </c>
      <c r="CN126" t="s">
        <v>3</v>
      </c>
      <c r="CO126">
        <v>0</v>
      </c>
      <c r="CP126">
        <f t="shared" si="135"/>
        <v>685255.8600000001</v>
      </c>
      <c r="CQ126">
        <f t="shared" si="136"/>
        <v>94838.1</v>
      </c>
      <c r="CR126">
        <f>(((((ET126*5))*BB126-((EU126*5))*BS126)+AE126*BS126)*AV126)</f>
        <v>2464.3000000000002</v>
      </c>
      <c r="CS126">
        <f t="shared" si="137"/>
        <v>1948.1</v>
      </c>
      <c r="CT126">
        <f t="shared" si="138"/>
        <v>3013.2</v>
      </c>
      <c r="CU126">
        <f t="shared" si="139"/>
        <v>0</v>
      </c>
      <c r="CV126">
        <f t="shared" si="140"/>
        <v>13.25</v>
      </c>
      <c r="CW126">
        <f t="shared" si="141"/>
        <v>0</v>
      </c>
      <c r="CX126">
        <f t="shared" si="142"/>
        <v>0</v>
      </c>
      <c r="CY126">
        <f t="shared" si="143"/>
        <v>14408.218999999999</v>
      </c>
      <c r="CZ126">
        <f t="shared" si="144"/>
        <v>2058.317</v>
      </c>
      <c r="DC126" t="s">
        <v>3</v>
      </c>
      <c r="DD126" t="s">
        <v>36</v>
      </c>
      <c r="DE126" t="s">
        <v>36</v>
      </c>
      <c r="DF126" t="s">
        <v>36</v>
      </c>
      <c r="DG126" t="s">
        <v>36</v>
      </c>
      <c r="DH126" t="s">
        <v>3</v>
      </c>
      <c r="DI126" t="s">
        <v>36</v>
      </c>
      <c r="DJ126" t="s">
        <v>36</v>
      </c>
      <c r="DK126" t="s">
        <v>3</v>
      </c>
      <c r="DL126" t="s">
        <v>3</v>
      </c>
      <c r="DM126" t="s">
        <v>3</v>
      </c>
      <c r="DN126">
        <v>0</v>
      </c>
      <c r="DO126">
        <v>0</v>
      </c>
      <c r="DP126">
        <v>1</v>
      </c>
      <c r="DQ126">
        <v>1</v>
      </c>
      <c r="DU126">
        <v>1005</v>
      </c>
      <c r="DV126" t="s">
        <v>18</v>
      </c>
      <c r="DW126" t="s">
        <v>18</v>
      </c>
      <c r="DX126">
        <v>100</v>
      </c>
      <c r="EE126">
        <v>15435499</v>
      </c>
      <c r="EF126">
        <v>1</v>
      </c>
      <c r="EG126" t="s">
        <v>20</v>
      </c>
      <c r="EH126">
        <v>0</v>
      </c>
      <c r="EI126" t="s">
        <v>3</v>
      </c>
      <c r="EJ126">
        <v>4</v>
      </c>
      <c r="EK126">
        <v>0</v>
      </c>
      <c r="EL126" t="s">
        <v>21</v>
      </c>
      <c r="EM126" t="s">
        <v>22</v>
      </c>
      <c r="EO126" t="s">
        <v>3</v>
      </c>
      <c r="EQ126">
        <v>0</v>
      </c>
      <c r="ER126">
        <v>20063.12</v>
      </c>
      <c r="ES126">
        <v>18967.62</v>
      </c>
      <c r="ET126">
        <v>492.86</v>
      </c>
      <c r="EU126">
        <v>389.62</v>
      </c>
      <c r="EV126">
        <v>602.64</v>
      </c>
      <c r="EW126">
        <v>2.65</v>
      </c>
      <c r="EX126">
        <v>0</v>
      </c>
      <c r="EY126">
        <v>0</v>
      </c>
      <c r="FQ126">
        <v>0</v>
      </c>
      <c r="FR126">
        <f t="shared" si="145"/>
        <v>0</v>
      </c>
      <c r="FS126">
        <v>0</v>
      </c>
      <c r="FX126">
        <v>70</v>
      </c>
      <c r="FY126">
        <v>10</v>
      </c>
      <c r="GA126" t="s">
        <v>3</v>
      </c>
      <c r="GD126">
        <v>0</v>
      </c>
      <c r="GF126">
        <v>937390758</v>
      </c>
      <c r="GG126">
        <v>2</v>
      </c>
      <c r="GH126">
        <v>1</v>
      </c>
      <c r="GI126">
        <v>-2</v>
      </c>
      <c r="GJ126">
        <v>0</v>
      </c>
      <c r="GK126">
        <f>ROUND(R126*(R12)/100,2)</f>
        <v>14372.07</v>
      </c>
      <c r="GL126">
        <f t="shared" si="146"/>
        <v>0</v>
      </c>
      <c r="GM126">
        <f t="shared" si="147"/>
        <v>716094.47</v>
      </c>
      <c r="GN126">
        <f t="shared" si="148"/>
        <v>0</v>
      </c>
      <c r="GO126">
        <f t="shared" si="149"/>
        <v>0</v>
      </c>
      <c r="GP126">
        <f t="shared" si="150"/>
        <v>716094.47</v>
      </c>
      <c r="GR126">
        <v>0</v>
      </c>
      <c r="GS126">
        <v>3</v>
      </c>
      <c r="GT126">
        <v>0</v>
      </c>
      <c r="GU126" t="s">
        <v>3</v>
      </c>
      <c r="GV126">
        <f t="shared" si="151"/>
        <v>0</v>
      </c>
      <c r="GW126">
        <v>1</v>
      </c>
      <c r="GX126">
        <f t="shared" si="152"/>
        <v>0</v>
      </c>
      <c r="HA126">
        <v>0</v>
      </c>
      <c r="HB126">
        <v>0</v>
      </c>
      <c r="HC126">
        <f t="shared" si="153"/>
        <v>0</v>
      </c>
      <c r="IK126">
        <v>0</v>
      </c>
    </row>
    <row r="127" spans="1:245" x14ac:dyDescent="0.2">
      <c r="A127">
        <v>18</v>
      </c>
      <c r="B127">
        <v>1</v>
      </c>
      <c r="C127">
        <v>67</v>
      </c>
      <c r="E127" t="s">
        <v>152</v>
      </c>
      <c r="F127" t="s">
        <v>38</v>
      </c>
      <c r="G127" t="s">
        <v>39</v>
      </c>
      <c r="H127" t="s">
        <v>40</v>
      </c>
      <c r="I127">
        <f>I126*J127</f>
        <v>-5020.7849999999999</v>
      </c>
      <c r="J127">
        <v>-734.99999999999989</v>
      </c>
      <c r="O127">
        <f t="shared" si="119"/>
        <v>-89219.35</v>
      </c>
      <c r="P127">
        <f t="shared" si="120"/>
        <v>-89219.35</v>
      </c>
      <c r="Q127">
        <f t="shared" si="121"/>
        <v>0</v>
      </c>
      <c r="R127">
        <f t="shared" si="122"/>
        <v>0</v>
      </c>
      <c r="S127">
        <f t="shared" si="123"/>
        <v>0</v>
      </c>
      <c r="T127">
        <f t="shared" si="124"/>
        <v>0</v>
      </c>
      <c r="U127">
        <f t="shared" si="125"/>
        <v>0</v>
      </c>
      <c r="V127">
        <f t="shared" si="126"/>
        <v>0</v>
      </c>
      <c r="W127">
        <f t="shared" si="127"/>
        <v>0</v>
      </c>
      <c r="X127">
        <f t="shared" si="128"/>
        <v>0</v>
      </c>
      <c r="Y127">
        <f t="shared" si="129"/>
        <v>0</v>
      </c>
      <c r="AA127">
        <v>15805332</v>
      </c>
      <c r="AB127">
        <f t="shared" si="130"/>
        <v>17.77</v>
      </c>
      <c r="AC127">
        <f t="shared" ref="AC127:AC132" si="154">ROUND((ES127),6)</f>
        <v>17.77</v>
      </c>
      <c r="AD127">
        <f t="shared" ref="AD127:AD132" si="155">ROUND((((ET127)-(EU127))+AE127),6)</f>
        <v>0</v>
      </c>
      <c r="AE127">
        <f t="shared" ref="AE127:AF132" si="156">ROUND((EU127),6)</f>
        <v>0</v>
      </c>
      <c r="AF127">
        <f t="shared" si="156"/>
        <v>0</v>
      </c>
      <c r="AG127">
        <f t="shared" si="132"/>
        <v>0</v>
      </c>
      <c r="AH127">
        <f t="shared" ref="AH127:AI132" si="157">(EW127)</f>
        <v>0</v>
      </c>
      <c r="AI127">
        <f t="shared" si="157"/>
        <v>0</v>
      </c>
      <c r="AJ127">
        <f t="shared" si="134"/>
        <v>0</v>
      </c>
      <c r="AK127">
        <v>17.77</v>
      </c>
      <c r="AL127">
        <v>17.77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70</v>
      </c>
      <c r="AU127">
        <v>10</v>
      </c>
      <c r="AV127">
        <v>1</v>
      </c>
      <c r="AW127">
        <v>1</v>
      </c>
      <c r="AZ127">
        <v>1</v>
      </c>
      <c r="BA127">
        <v>1</v>
      </c>
      <c r="BB127">
        <v>1</v>
      </c>
      <c r="BC127">
        <v>1</v>
      </c>
      <c r="BD127" t="s">
        <v>3</v>
      </c>
      <c r="BE127" t="s">
        <v>3</v>
      </c>
      <c r="BF127" t="s">
        <v>3</v>
      </c>
      <c r="BG127" t="s">
        <v>3</v>
      </c>
      <c r="BH127">
        <v>3</v>
      </c>
      <c r="BI127">
        <v>4</v>
      </c>
      <c r="BJ127" t="s">
        <v>41</v>
      </c>
      <c r="BM127">
        <v>0</v>
      </c>
      <c r="BN127">
        <v>0</v>
      </c>
      <c r="BO127" t="s">
        <v>3</v>
      </c>
      <c r="BP127">
        <v>0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 t="s">
        <v>3</v>
      </c>
      <c r="BZ127">
        <v>70</v>
      </c>
      <c r="CA127">
        <v>10</v>
      </c>
      <c r="CE127">
        <v>0</v>
      </c>
      <c r="CF127">
        <v>0</v>
      </c>
      <c r="CG127">
        <v>0</v>
      </c>
      <c r="CM127">
        <v>0</v>
      </c>
      <c r="CN127" t="s">
        <v>3</v>
      </c>
      <c r="CO127">
        <v>0</v>
      </c>
      <c r="CP127">
        <f t="shared" si="135"/>
        <v>-89219.35</v>
      </c>
      <c r="CQ127">
        <f t="shared" si="136"/>
        <v>17.77</v>
      </c>
      <c r="CR127">
        <f t="shared" ref="CR127:CR132" si="158">((((ET127)*BB127-(EU127)*BS127)+AE127*BS127)*AV127)</f>
        <v>0</v>
      </c>
      <c r="CS127">
        <f t="shared" si="137"/>
        <v>0</v>
      </c>
      <c r="CT127">
        <f t="shared" si="138"/>
        <v>0</v>
      </c>
      <c r="CU127">
        <f t="shared" si="139"/>
        <v>0</v>
      </c>
      <c r="CV127">
        <f t="shared" si="140"/>
        <v>0</v>
      </c>
      <c r="CW127">
        <f t="shared" si="141"/>
        <v>0</v>
      </c>
      <c r="CX127">
        <f t="shared" si="142"/>
        <v>0</v>
      </c>
      <c r="CY127">
        <f t="shared" si="143"/>
        <v>0</v>
      </c>
      <c r="CZ127">
        <f t="shared" si="144"/>
        <v>0</v>
      </c>
      <c r="DC127" t="s">
        <v>3</v>
      </c>
      <c r="DD127" t="s">
        <v>3</v>
      </c>
      <c r="DE127" t="s">
        <v>3</v>
      </c>
      <c r="DF127" t="s">
        <v>3</v>
      </c>
      <c r="DG127" t="s">
        <v>3</v>
      </c>
      <c r="DH127" t="s">
        <v>3</v>
      </c>
      <c r="DI127" t="s">
        <v>3</v>
      </c>
      <c r="DJ127" t="s">
        <v>3</v>
      </c>
      <c r="DK127" t="s">
        <v>3</v>
      </c>
      <c r="DL127" t="s">
        <v>3</v>
      </c>
      <c r="DM127" t="s">
        <v>3</v>
      </c>
      <c r="DN127">
        <v>0</v>
      </c>
      <c r="DO127">
        <v>0</v>
      </c>
      <c r="DP127">
        <v>1</v>
      </c>
      <c r="DQ127">
        <v>1</v>
      </c>
      <c r="DU127">
        <v>1009</v>
      </c>
      <c r="DV127" t="s">
        <v>40</v>
      </c>
      <c r="DW127" t="s">
        <v>40</v>
      </c>
      <c r="DX127">
        <v>1</v>
      </c>
      <c r="EE127">
        <v>15435499</v>
      </c>
      <c r="EF127">
        <v>1</v>
      </c>
      <c r="EG127" t="s">
        <v>20</v>
      </c>
      <c r="EH127">
        <v>0</v>
      </c>
      <c r="EI127" t="s">
        <v>3</v>
      </c>
      <c r="EJ127">
        <v>4</v>
      </c>
      <c r="EK127">
        <v>0</v>
      </c>
      <c r="EL127" t="s">
        <v>21</v>
      </c>
      <c r="EM127" t="s">
        <v>22</v>
      </c>
      <c r="EO127" t="s">
        <v>3</v>
      </c>
      <c r="EQ127">
        <v>0</v>
      </c>
      <c r="ER127">
        <v>17.77</v>
      </c>
      <c r="ES127">
        <v>17.77</v>
      </c>
      <c r="ET127">
        <v>0</v>
      </c>
      <c r="EU127">
        <v>0</v>
      </c>
      <c r="EV127">
        <v>0</v>
      </c>
      <c r="EW127">
        <v>0</v>
      </c>
      <c r="EX127">
        <v>0</v>
      </c>
      <c r="FQ127">
        <v>0</v>
      </c>
      <c r="FR127">
        <f t="shared" si="145"/>
        <v>0</v>
      </c>
      <c r="FS127">
        <v>0</v>
      </c>
      <c r="FX127">
        <v>70</v>
      </c>
      <c r="FY127">
        <v>10</v>
      </c>
      <c r="GA127" t="s">
        <v>3</v>
      </c>
      <c r="GD127">
        <v>0</v>
      </c>
      <c r="GF127">
        <v>-78256104</v>
      </c>
      <c r="GG127">
        <v>2</v>
      </c>
      <c r="GH127">
        <v>1</v>
      </c>
      <c r="GI127">
        <v>-2</v>
      </c>
      <c r="GJ127">
        <v>0</v>
      </c>
      <c r="GK127">
        <f>ROUND(R127*(R12)/100,2)</f>
        <v>0</v>
      </c>
      <c r="GL127">
        <f t="shared" si="146"/>
        <v>0</v>
      </c>
      <c r="GM127">
        <f t="shared" si="147"/>
        <v>-89219.35</v>
      </c>
      <c r="GN127">
        <f t="shared" si="148"/>
        <v>0</v>
      </c>
      <c r="GO127">
        <f t="shared" si="149"/>
        <v>0</v>
      </c>
      <c r="GP127">
        <f t="shared" si="150"/>
        <v>-89219.35</v>
      </c>
      <c r="GR127">
        <v>0</v>
      </c>
      <c r="GS127">
        <v>3</v>
      </c>
      <c r="GT127">
        <v>0</v>
      </c>
      <c r="GU127" t="s">
        <v>3</v>
      </c>
      <c r="GV127">
        <f t="shared" si="151"/>
        <v>0</v>
      </c>
      <c r="GW127">
        <v>1</v>
      </c>
      <c r="GX127">
        <f t="shared" si="152"/>
        <v>0</v>
      </c>
      <c r="HA127">
        <v>0</v>
      </c>
      <c r="HB127">
        <v>0</v>
      </c>
      <c r="HC127">
        <f t="shared" si="153"/>
        <v>0</v>
      </c>
      <c r="IK127">
        <v>0</v>
      </c>
    </row>
    <row r="128" spans="1:245" x14ac:dyDescent="0.2">
      <c r="A128">
        <v>18</v>
      </c>
      <c r="B128">
        <v>1</v>
      </c>
      <c r="C128">
        <v>68</v>
      </c>
      <c r="E128" t="s">
        <v>153</v>
      </c>
      <c r="F128" t="s">
        <v>43</v>
      </c>
      <c r="G128" t="s">
        <v>44</v>
      </c>
      <c r="H128" t="s">
        <v>40</v>
      </c>
      <c r="I128">
        <f>I126*J128</f>
        <v>5020.7849999999999</v>
      </c>
      <c r="J128">
        <v>734.99999999999989</v>
      </c>
      <c r="O128">
        <f t="shared" si="119"/>
        <v>475568.76</v>
      </c>
      <c r="P128">
        <f t="shared" si="120"/>
        <v>475568.76</v>
      </c>
      <c r="Q128">
        <f t="shared" si="121"/>
        <v>0</v>
      </c>
      <c r="R128">
        <f t="shared" si="122"/>
        <v>0</v>
      </c>
      <c r="S128">
        <f t="shared" si="123"/>
        <v>0</v>
      </c>
      <c r="T128">
        <f t="shared" si="124"/>
        <v>0</v>
      </c>
      <c r="U128">
        <f t="shared" si="125"/>
        <v>0</v>
      </c>
      <c r="V128">
        <f t="shared" si="126"/>
        <v>0</v>
      </c>
      <c r="W128">
        <f t="shared" si="127"/>
        <v>0</v>
      </c>
      <c r="X128">
        <f t="shared" si="128"/>
        <v>0</v>
      </c>
      <c r="Y128">
        <f t="shared" si="129"/>
        <v>0</v>
      </c>
      <c r="AA128">
        <v>15805332</v>
      </c>
      <c r="AB128">
        <f t="shared" si="130"/>
        <v>94.72</v>
      </c>
      <c r="AC128">
        <f t="shared" si="154"/>
        <v>94.72</v>
      </c>
      <c r="AD128">
        <f t="shared" si="155"/>
        <v>0</v>
      </c>
      <c r="AE128">
        <f t="shared" si="156"/>
        <v>0</v>
      </c>
      <c r="AF128">
        <f t="shared" si="156"/>
        <v>0</v>
      </c>
      <c r="AG128">
        <f t="shared" si="132"/>
        <v>0</v>
      </c>
      <c r="AH128">
        <f t="shared" si="157"/>
        <v>0</v>
      </c>
      <c r="AI128">
        <f t="shared" si="157"/>
        <v>0</v>
      </c>
      <c r="AJ128">
        <f t="shared" si="134"/>
        <v>0</v>
      </c>
      <c r="AK128">
        <v>94.72</v>
      </c>
      <c r="AL128">
        <v>94.72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3</v>
      </c>
      <c r="BI128">
        <v>4</v>
      </c>
      <c r="BJ128" t="s">
        <v>45</v>
      </c>
      <c r="BM128">
        <v>0</v>
      </c>
      <c r="BN128">
        <v>0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 t="shared" si="135"/>
        <v>475568.76</v>
      </c>
      <c r="CQ128">
        <f t="shared" si="136"/>
        <v>94.72</v>
      </c>
      <c r="CR128">
        <f t="shared" si="158"/>
        <v>0</v>
      </c>
      <c r="CS128">
        <f t="shared" si="137"/>
        <v>0</v>
      </c>
      <c r="CT128">
        <f t="shared" si="138"/>
        <v>0</v>
      </c>
      <c r="CU128">
        <f t="shared" si="139"/>
        <v>0</v>
      </c>
      <c r="CV128">
        <f t="shared" si="140"/>
        <v>0</v>
      </c>
      <c r="CW128">
        <f t="shared" si="141"/>
        <v>0</v>
      </c>
      <c r="CX128">
        <f t="shared" si="142"/>
        <v>0</v>
      </c>
      <c r="CY128">
        <f t="shared" si="143"/>
        <v>0</v>
      </c>
      <c r="CZ128">
        <f t="shared" si="144"/>
        <v>0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1009</v>
      </c>
      <c r="DV128" t="s">
        <v>40</v>
      </c>
      <c r="DW128" t="s">
        <v>40</v>
      </c>
      <c r="DX128">
        <v>1</v>
      </c>
      <c r="EE128">
        <v>15435499</v>
      </c>
      <c r="EF128">
        <v>1</v>
      </c>
      <c r="EG128" t="s">
        <v>20</v>
      </c>
      <c r="EH128">
        <v>0</v>
      </c>
      <c r="EI128" t="s">
        <v>3</v>
      </c>
      <c r="EJ128">
        <v>4</v>
      </c>
      <c r="EK128">
        <v>0</v>
      </c>
      <c r="EL128" t="s">
        <v>21</v>
      </c>
      <c r="EM128" t="s">
        <v>22</v>
      </c>
      <c r="EO128" t="s">
        <v>3</v>
      </c>
      <c r="EQ128">
        <v>0</v>
      </c>
      <c r="ER128">
        <v>94.72</v>
      </c>
      <c r="ES128">
        <v>94.72</v>
      </c>
      <c r="ET128">
        <v>0</v>
      </c>
      <c r="EU128">
        <v>0</v>
      </c>
      <c r="EV128">
        <v>0</v>
      </c>
      <c r="EW128">
        <v>0</v>
      </c>
      <c r="EX128">
        <v>0</v>
      </c>
      <c r="FQ128">
        <v>0</v>
      </c>
      <c r="FR128">
        <f t="shared" si="145"/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-229590560</v>
      </c>
      <c r="GG128">
        <v>2</v>
      </c>
      <c r="GH128">
        <v>1</v>
      </c>
      <c r="GI128">
        <v>-2</v>
      </c>
      <c r="GJ128">
        <v>0</v>
      </c>
      <c r="GK128">
        <f>ROUND(R128*(R12)/100,2)</f>
        <v>0</v>
      </c>
      <c r="GL128">
        <f t="shared" si="146"/>
        <v>0</v>
      </c>
      <c r="GM128">
        <f t="shared" si="147"/>
        <v>475568.76</v>
      </c>
      <c r="GN128">
        <f t="shared" si="148"/>
        <v>0</v>
      </c>
      <c r="GO128">
        <f t="shared" si="149"/>
        <v>0</v>
      </c>
      <c r="GP128">
        <f t="shared" si="150"/>
        <v>475568.76</v>
      </c>
      <c r="GR128">
        <v>0</v>
      </c>
      <c r="GS128">
        <v>3</v>
      </c>
      <c r="GT128">
        <v>0</v>
      </c>
      <c r="GU128" t="s">
        <v>3</v>
      </c>
      <c r="GV128">
        <f t="shared" si="151"/>
        <v>0</v>
      </c>
      <c r="GW128">
        <v>1</v>
      </c>
      <c r="GX128">
        <f t="shared" si="152"/>
        <v>0</v>
      </c>
      <c r="HA128">
        <v>0</v>
      </c>
      <c r="HB128">
        <v>0</v>
      </c>
      <c r="HC128">
        <f t="shared" si="153"/>
        <v>0</v>
      </c>
      <c r="IK128">
        <v>0</v>
      </c>
    </row>
    <row r="129" spans="1:245" x14ac:dyDescent="0.2">
      <c r="A129">
        <v>17</v>
      </c>
      <c r="B129">
        <v>1</v>
      </c>
      <c r="C129">
        <f>ROW(SmtRes!A71)</f>
        <v>71</v>
      </c>
      <c r="D129">
        <f>ROW(EtalonRes!A68)</f>
        <v>68</v>
      </c>
      <c r="E129" t="s">
        <v>154</v>
      </c>
      <c r="F129" t="s">
        <v>47</v>
      </c>
      <c r="G129" t="s">
        <v>48</v>
      </c>
      <c r="H129" t="s">
        <v>30</v>
      </c>
      <c r="I129">
        <f>ROUND(I133*0.9,9)</f>
        <v>35.740637100000001</v>
      </c>
      <c r="J129">
        <v>0</v>
      </c>
      <c r="O129">
        <f t="shared" si="119"/>
        <v>2868.19</v>
      </c>
      <c r="P129">
        <f t="shared" si="120"/>
        <v>0</v>
      </c>
      <c r="Q129">
        <f t="shared" si="121"/>
        <v>2868.19</v>
      </c>
      <c r="R129">
        <f t="shared" si="122"/>
        <v>923.54</v>
      </c>
      <c r="S129">
        <f t="shared" si="123"/>
        <v>0</v>
      </c>
      <c r="T129">
        <f t="shared" si="124"/>
        <v>0</v>
      </c>
      <c r="U129">
        <f t="shared" si="125"/>
        <v>0</v>
      </c>
      <c r="V129">
        <f t="shared" si="126"/>
        <v>0</v>
      </c>
      <c r="W129">
        <f t="shared" si="127"/>
        <v>0</v>
      </c>
      <c r="X129">
        <f t="shared" si="128"/>
        <v>0</v>
      </c>
      <c r="Y129">
        <f t="shared" si="129"/>
        <v>0</v>
      </c>
      <c r="AA129">
        <v>15805332</v>
      </c>
      <c r="AB129">
        <f t="shared" si="130"/>
        <v>80.25</v>
      </c>
      <c r="AC129">
        <f t="shared" si="154"/>
        <v>0</v>
      </c>
      <c r="AD129">
        <f t="shared" si="155"/>
        <v>80.25</v>
      </c>
      <c r="AE129">
        <f t="shared" si="156"/>
        <v>25.84</v>
      </c>
      <c r="AF129">
        <f t="shared" si="156"/>
        <v>0</v>
      </c>
      <c r="AG129">
        <f t="shared" si="132"/>
        <v>0</v>
      </c>
      <c r="AH129">
        <f t="shared" si="157"/>
        <v>0</v>
      </c>
      <c r="AI129">
        <f t="shared" si="157"/>
        <v>0</v>
      </c>
      <c r="AJ129">
        <f t="shared" si="134"/>
        <v>0</v>
      </c>
      <c r="AK129">
        <v>80.25</v>
      </c>
      <c r="AL129">
        <v>0</v>
      </c>
      <c r="AM129">
        <v>80.25</v>
      </c>
      <c r="AN129">
        <v>25.84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49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si="135"/>
        <v>2868.19</v>
      </c>
      <c r="CQ129">
        <f t="shared" si="136"/>
        <v>0</v>
      </c>
      <c r="CR129">
        <f t="shared" si="158"/>
        <v>80.25</v>
      </c>
      <c r="CS129">
        <f t="shared" si="137"/>
        <v>25.84</v>
      </c>
      <c r="CT129">
        <f t="shared" si="138"/>
        <v>0</v>
      </c>
      <c r="CU129">
        <f t="shared" si="139"/>
        <v>0</v>
      </c>
      <c r="CV129">
        <f t="shared" si="140"/>
        <v>0</v>
      </c>
      <c r="CW129">
        <f t="shared" si="141"/>
        <v>0</v>
      </c>
      <c r="CX129">
        <f t="shared" si="142"/>
        <v>0</v>
      </c>
      <c r="CY129">
        <f t="shared" si="143"/>
        <v>0</v>
      </c>
      <c r="CZ129">
        <f t="shared" si="144"/>
        <v>0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1009</v>
      </c>
      <c r="DV129" t="s">
        <v>30</v>
      </c>
      <c r="DW129" t="s">
        <v>30</v>
      </c>
      <c r="DX129">
        <v>1000</v>
      </c>
      <c r="EE129">
        <v>15435499</v>
      </c>
      <c r="EF129">
        <v>1</v>
      </c>
      <c r="EG129" t="s">
        <v>20</v>
      </c>
      <c r="EH129">
        <v>0</v>
      </c>
      <c r="EI129" t="s">
        <v>3</v>
      </c>
      <c r="EJ129">
        <v>4</v>
      </c>
      <c r="EK129">
        <v>0</v>
      </c>
      <c r="EL129" t="s">
        <v>21</v>
      </c>
      <c r="EM129" t="s">
        <v>22</v>
      </c>
      <c r="EO129" t="s">
        <v>3</v>
      </c>
      <c r="EQ129">
        <v>0</v>
      </c>
      <c r="ER129">
        <v>80.25</v>
      </c>
      <c r="ES129">
        <v>0</v>
      </c>
      <c r="ET129">
        <v>80.25</v>
      </c>
      <c r="EU129">
        <v>25.84</v>
      </c>
      <c r="EV129">
        <v>0</v>
      </c>
      <c r="EW129">
        <v>0</v>
      </c>
      <c r="EX129">
        <v>0</v>
      </c>
      <c r="EY129">
        <v>0</v>
      </c>
      <c r="FQ129">
        <v>0</v>
      </c>
      <c r="FR129">
        <f t="shared" si="145"/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-706956719</v>
      </c>
      <c r="GG129">
        <v>2</v>
      </c>
      <c r="GH129">
        <v>1</v>
      </c>
      <c r="GI129">
        <v>-2</v>
      </c>
      <c r="GJ129">
        <v>0</v>
      </c>
      <c r="GK129">
        <f>ROUND(R129*(R12)/100,2)</f>
        <v>997.42</v>
      </c>
      <c r="GL129">
        <f t="shared" si="146"/>
        <v>0</v>
      </c>
      <c r="GM129">
        <f t="shared" si="147"/>
        <v>3865.61</v>
      </c>
      <c r="GN129">
        <f t="shared" si="148"/>
        <v>0</v>
      </c>
      <c r="GO129">
        <f t="shared" si="149"/>
        <v>0</v>
      </c>
      <c r="GP129">
        <f t="shared" si="150"/>
        <v>3865.61</v>
      </c>
      <c r="GR129">
        <v>0</v>
      </c>
      <c r="GS129">
        <v>0</v>
      </c>
      <c r="GT129">
        <v>0</v>
      </c>
      <c r="GU129" t="s">
        <v>3</v>
      </c>
      <c r="GV129">
        <f t="shared" si="151"/>
        <v>0</v>
      </c>
      <c r="GW129">
        <v>1</v>
      </c>
      <c r="GX129">
        <f t="shared" si="152"/>
        <v>0</v>
      </c>
      <c r="HA129">
        <v>0</v>
      </c>
      <c r="HB129">
        <v>0</v>
      </c>
      <c r="HC129">
        <f t="shared" si="153"/>
        <v>0</v>
      </c>
      <c r="IK129">
        <v>0</v>
      </c>
    </row>
    <row r="130" spans="1:245" x14ac:dyDescent="0.2">
      <c r="A130">
        <v>17</v>
      </c>
      <c r="B130">
        <v>1</v>
      </c>
      <c r="C130">
        <f>ROW(SmtRes!A72)</f>
        <v>72</v>
      </c>
      <c r="D130">
        <f>ROW(EtalonRes!A69)</f>
        <v>69</v>
      </c>
      <c r="E130" t="s">
        <v>155</v>
      </c>
      <c r="F130" t="s">
        <v>51</v>
      </c>
      <c r="G130" t="s">
        <v>52</v>
      </c>
      <c r="H130" t="s">
        <v>30</v>
      </c>
      <c r="I130">
        <f>ROUND(I133*0.1,9)</f>
        <v>3.9711818999999999</v>
      </c>
      <c r="J130">
        <v>0</v>
      </c>
      <c r="O130">
        <f t="shared" si="119"/>
        <v>496</v>
      </c>
      <c r="P130">
        <f t="shared" si="120"/>
        <v>0</v>
      </c>
      <c r="Q130">
        <f t="shared" si="121"/>
        <v>0</v>
      </c>
      <c r="R130">
        <f t="shared" si="122"/>
        <v>0</v>
      </c>
      <c r="S130">
        <f t="shared" si="123"/>
        <v>496</v>
      </c>
      <c r="T130">
        <f t="shared" si="124"/>
        <v>0</v>
      </c>
      <c r="U130">
        <f t="shared" si="125"/>
        <v>4.0506055380000001</v>
      </c>
      <c r="V130">
        <f t="shared" si="126"/>
        <v>0</v>
      </c>
      <c r="W130">
        <f t="shared" si="127"/>
        <v>0</v>
      </c>
      <c r="X130">
        <f t="shared" si="128"/>
        <v>347.2</v>
      </c>
      <c r="Y130">
        <f t="shared" si="129"/>
        <v>49.6</v>
      </c>
      <c r="AA130">
        <v>15805332</v>
      </c>
      <c r="AB130">
        <f t="shared" si="130"/>
        <v>124.9</v>
      </c>
      <c r="AC130">
        <f t="shared" si="154"/>
        <v>0</v>
      </c>
      <c r="AD130">
        <f t="shared" si="155"/>
        <v>0</v>
      </c>
      <c r="AE130">
        <f t="shared" si="156"/>
        <v>0</v>
      </c>
      <c r="AF130">
        <f t="shared" si="156"/>
        <v>124.9</v>
      </c>
      <c r="AG130">
        <f t="shared" si="132"/>
        <v>0</v>
      </c>
      <c r="AH130">
        <f t="shared" si="157"/>
        <v>1.02</v>
      </c>
      <c r="AI130">
        <f t="shared" si="157"/>
        <v>0</v>
      </c>
      <c r="AJ130">
        <f t="shared" si="134"/>
        <v>0</v>
      </c>
      <c r="AK130">
        <v>124.9</v>
      </c>
      <c r="AL130">
        <v>0</v>
      </c>
      <c r="AM130">
        <v>0</v>
      </c>
      <c r="AN130">
        <v>0</v>
      </c>
      <c r="AO130">
        <v>124.9</v>
      </c>
      <c r="AP130">
        <v>0</v>
      </c>
      <c r="AQ130">
        <v>1.02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53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35"/>
        <v>496</v>
      </c>
      <c r="CQ130">
        <f t="shared" si="136"/>
        <v>0</v>
      </c>
      <c r="CR130">
        <f t="shared" si="158"/>
        <v>0</v>
      </c>
      <c r="CS130">
        <f t="shared" si="137"/>
        <v>0</v>
      </c>
      <c r="CT130">
        <f t="shared" si="138"/>
        <v>124.9</v>
      </c>
      <c r="CU130">
        <f t="shared" si="139"/>
        <v>0</v>
      </c>
      <c r="CV130">
        <f t="shared" si="140"/>
        <v>1.02</v>
      </c>
      <c r="CW130">
        <f t="shared" si="141"/>
        <v>0</v>
      </c>
      <c r="CX130">
        <f t="shared" si="142"/>
        <v>0</v>
      </c>
      <c r="CY130">
        <f t="shared" si="143"/>
        <v>347.2</v>
      </c>
      <c r="CZ130">
        <f t="shared" si="144"/>
        <v>49.6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1009</v>
      </c>
      <c r="DV130" t="s">
        <v>30</v>
      </c>
      <c r="DW130" t="s">
        <v>30</v>
      </c>
      <c r="DX130">
        <v>1000</v>
      </c>
      <c r="EE130">
        <v>15435499</v>
      </c>
      <c r="EF130">
        <v>1</v>
      </c>
      <c r="EG130" t="s">
        <v>20</v>
      </c>
      <c r="EH130">
        <v>0</v>
      </c>
      <c r="EI130" t="s">
        <v>3</v>
      </c>
      <c r="EJ130">
        <v>4</v>
      </c>
      <c r="EK130">
        <v>0</v>
      </c>
      <c r="EL130" t="s">
        <v>21</v>
      </c>
      <c r="EM130" t="s">
        <v>22</v>
      </c>
      <c r="EO130" t="s">
        <v>3</v>
      </c>
      <c r="EQ130">
        <v>0</v>
      </c>
      <c r="ER130">
        <v>124.9</v>
      </c>
      <c r="ES130">
        <v>0</v>
      </c>
      <c r="ET130">
        <v>0</v>
      </c>
      <c r="EU130">
        <v>0</v>
      </c>
      <c r="EV130">
        <v>124.9</v>
      </c>
      <c r="EW130">
        <v>1.02</v>
      </c>
      <c r="EX130">
        <v>0</v>
      </c>
      <c r="EY130">
        <v>0</v>
      </c>
      <c r="FQ130">
        <v>0</v>
      </c>
      <c r="FR130">
        <f t="shared" si="145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44828971</v>
      </c>
      <c r="GG130">
        <v>2</v>
      </c>
      <c r="GH130">
        <v>1</v>
      </c>
      <c r="GI130">
        <v>-2</v>
      </c>
      <c r="GJ130">
        <v>0</v>
      </c>
      <c r="GK130">
        <f>ROUND(R130*(R12)/100,2)</f>
        <v>0</v>
      </c>
      <c r="GL130">
        <f t="shared" si="146"/>
        <v>0</v>
      </c>
      <c r="GM130">
        <f t="shared" si="147"/>
        <v>892.8</v>
      </c>
      <c r="GN130">
        <f t="shared" si="148"/>
        <v>0</v>
      </c>
      <c r="GO130">
        <f t="shared" si="149"/>
        <v>0</v>
      </c>
      <c r="GP130">
        <f t="shared" si="150"/>
        <v>892.8</v>
      </c>
      <c r="GR130">
        <v>0</v>
      </c>
      <c r="GS130">
        <v>0</v>
      </c>
      <c r="GT130">
        <v>0</v>
      </c>
      <c r="GU130" t="s">
        <v>3</v>
      </c>
      <c r="GV130">
        <f t="shared" si="151"/>
        <v>0</v>
      </c>
      <c r="GW130">
        <v>1</v>
      </c>
      <c r="GX130">
        <f t="shared" si="152"/>
        <v>0</v>
      </c>
      <c r="HA130">
        <v>0</v>
      </c>
      <c r="HB130">
        <v>0</v>
      </c>
      <c r="HC130">
        <f t="shared" si="153"/>
        <v>0</v>
      </c>
      <c r="IK130">
        <v>0</v>
      </c>
    </row>
    <row r="131" spans="1:245" x14ac:dyDescent="0.2">
      <c r="A131">
        <v>17</v>
      </c>
      <c r="B131">
        <v>1</v>
      </c>
      <c r="C131">
        <f>ROW(SmtRes!A74)</f>
        <v>74</v>
      </c>
      <c r="D131">
        <f>ROW(EtalonRes!A71)</f>
        <v>71</v>
      </c>
      <c r="E131" t="s">
        <v>156</v>
      </c>
      <c r="F131" t="s">
        <v>55</v>
      </c>
      <c r="G131" t="s">
        <v>56</v>
      </c>
      <c r="H131" t="s">
        <v>30</v>
      </c>
      <c r="I131">
        <f>ROUND(I133*0.1,9)</f>
        <v>3.9711818999999999</v>
      </c>
      <c r="J131">
        <v>0</v>
      </c>
      <c r="O131">
        <f t="shared" si="119"/>
        <v>658.86</v>
      </c>
      <c r="P131">
        <f t="shared" si="120"/>
        <v>0</v>
      </c>
      <c r="Q131">
        <f t="shared" si="121"/>
        <v>658.86</v>
      </c>
      <c r="R131">
        <f t="shared" si="122"/>
        <v>358.12</v>
      </c>
      <c r="S131">
        <f t="shared" si="123"/>
        <v>0</v>
      </c>
      <c r="T131">
        <f t="shared" si="124"/>
        <v>0</v>
      </c>
      <c r="U131">
        <f t="shared" si="125"/>
        <v>0</v>
      </c>
      <c r="V131">
        <f t="shared" si="126"/>
        <v>0</v>
      </c>
      <c r="W131">
        <f t="shared" si="127"/>
        <v>0</v>
      </c>
      <c r="X131">
        <f t="shared" si="128"/>
        <v>0</v>
      </c>
      <c r="Y131">
        <f t="shared" si="129"/>
        <v>0</v>
      </c>
      <c r="AA131">
        <v>15805332</v>
      </c>
      <c r="AB131">
        <f t="shared" si="130"/>
        <v>165.91</v>
      </c>
      <c r="AC131">
        <f t="shared" si="154"/>
        <v>0</v>
      </c>
      <c r="AD131">
        <f t="shared" si="155"/>
        <v>165.91</v>
      </c>
      <c r="AE131">
        <f t="shared" si="156"/>
        <v>90.18</v>
      </c>
      <c r="AF131">
        <f t="shared" si="156"/>
        <v>0</v>
      </c>
      <c r="AG131">
        <f t="shared" si="132"/>
        <v>0</v>
      </c>
      <c r="AH131">
        <f t="shared" si="157"/>
        <v>0</v>
      </c>
      <c r="AI131">
        <f t="shared" si="157"/>
        <v>0</v>
      </c>
      <c r="AJ131">
        <f t="shared" si="134"/>
        <v>0</v>
      </c>
      <c r="AK131">
        <v>165.91</v>
      </c>
      <c r="AL131">
        <v>0</v>
      </c>
      <c r="AM131">
        <v>165.91</v>
      </c>
      <c r="AN131">
        <v>90.18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0</v>
      </c>
      <c r="BI131">
        <v>4</v>
      </c>
      <c r="BJ131" t="s">
        <v>57</v>
      </c>
      <c r="BM131">
        <v>1</v>
      </c>
      <c r="BN131">
        <v>0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0</v>
      </c>
      <c r="CA131">
        <v>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35"/>
        <v>658.86</v>
      </c>
      <c r="CQ131">
        <f t="shared" si="136"/>
        <v>0</v>
      </c>
      <c r="CR131">
        <f t="shared" si="158"/>
        <v>165.91</v>
      </c>
      <c r="CS131">
        <f t="shared" si="137"/>
        <v>90.18</v>
      </c>
      <c r="CT131">
        <f t="shared" si="138"/>
        <v>0</v>
      </c>
      <c r="CU131">
        <f t="shared" si="139"/>
        <v>0</v>
      </c>
      <c r="CV131">
        <f t="shared" si="140"/>
        <v>0</v>
      </c>
      <c r="CW131">
        <f t="shared" si="141"/>
        <v>0</v>
      </c>
      <c r="CX131">
        <f t="shared" si="142"/>
        <v>0</v>
      </c>
      <c r="CY131">
        <f t="shared" si="143"/>
        <v>0</v>
      </c>
      <c r="CZ131">
        <f t="shared" si="144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1009</v>
      </c>
      <c r="DV131" t="s">
        <v>30</v>
      </c>
      <c r="DW131" t="s">
        <v>30</v>
      </c>
      <c r="DX131">
        <v>1000</v>
      </c>
      <c r="EE131">
        <v>15435501</v>
      </c>
      <c r="EF131">
        <v>1</v>
      </c>
      <c r="EG131" t="s">
        <v>20</v>
      </c>
      <c r="EH131">
        <v>0</v>
      </c>
      <c r="EI131" t="s">
        <v>3</v>
      </c>
      <c r="EJ131">
        <v>4</v>
      </c>
      <c r="EK131">
        <v>1</v>
      </c>
      <c r="EL131" t="s">
        <v>58</v>
      </c>
      <c r="EM131" t="s">
        <v>22</v>
      </c>
      <c r="EO131" t="s">
        <v>3</v>
      </c>
      <c r="EQ131">
        <v>0</v>
      </c>
      <c r="ER131">
        <v>165.91</v>
      </c>
      <c r="ES131">
        <v>0</v>
      </c>
      <c r="ET131">
        <v>165.91</v>
      </c>
      <c r="EU131">
        <v>90.18</v>
      </c>
      <c r="EV131">
        <v>0</v>
      </c>
      <c r="EW131">
        <v>0</v>
      </c>
      <c r="EX131">
        <v>0</v>
      </c>
      <c r="EY131">
        <v>0</v>
      </c>
      <c r="FQ131">
        <v>0</v>
      </c>
      <c r="FR131">
        <f t="shared" si="145"/>
        <v>0</v>
      </c>
      <c r="FS131">
        <v>0</v>
      </c>
      <c r="FX131">
        <v>0</v>
      </c>
      <c r="FY131">
        <v>0</v>
      </c>
      <c r="GA131" t="s">
        <v>3</v>
      </c>
      <c r="GD131">
        <v>1</v>
      </c>
      <c r="GF131">
        <v>1912105629</v>
      </c>
      <c r="GG131">
        <v>2</v>
      </c>
      <c r="GH131">
        <v>1</v>
      </c>
      <c r="GI131">
        <v>-2</v>
      </c>
      <c r="GJ131">
        <v>0</v>
      </c>
      <c r="GK131">
        <v>0</v>
      </c>
      <c r="GL131">
        <f t="shared" si="146"/>
        <v>0</v>
      </c>
      <c r="GM131">
        <f>ROUND(O131+X131+Y131,2)+GX131</f>
        <v>658.86</v>
      </c>
      <c r="GN131">
        <f>IF(OR(BI131=0,BI131=1),ROUND(O131+X131+Y131,2),0)</f>
        <v>0</v>
      </c>
      <c r="GO131">
        <f>IF(BI131=2,ROUND(O131+X131+Y131,2),0)</f>
        <v>0</v>
      </c>
      <c r="GP131">
        <f>IF(BI131=4,ROUND(O131+X131+Y131,2)+GX131,0)</f>
        <v>658.86</v>
      </c>
      <c r="GR131">
        <v>0</v>
      </c>
      <c r="GS131">
        <v>0</v>
      </c>
      <c r="GT131">
        <v>0</v>
      </c>
      <c r="GU131" t="s">
        <v>3</v>
      </c>
      <c r="GV131">
        <f t="shared" si="151"/>
        <v>0</v>
      </c>
      <c r="GW131">
        <v>1</v>
      </c>
      <c r="GX131">
        <f t="shared" si="152"/>
        <v>0</v>
      </c>
      <c r="HA131">
        <v>0</v>
      </c>
      <c r="HB131">
        <v>0</v>
      </c>
      <c r="HC131">
        <f t="shared" si="153"/>
        <v>0</v>
      </c>
      <c r="IK131">
        <v>0</v>
      </c>
    </row>
    <row r="132" spans="1:245" x14ac:dyDescent="0.2">
      <c r="A132">
        <v>17</v>
      </c>
      <c r="B132">
        <v>1</v>
      </c>
      <c r="C132">
        <f>ROW(SmtRes!A76)</f>
        <v>76</v>
      </c>
      <c r="D132">
        <f>ROW(EtalonRes!A73)</f>
        <v>73</v>
      </c>
      <c r="E132" t="s">
        <v>157</v>
      </c>
      <c r="F132" t="s">
        <v>60</v>
      </c>
      <c r="G132" t="s">
        <v>61</v>
      </c>
      <c r="H132" t="s">
        <v>30</v>
      </c>
      <c r="I132">
        <f>ROUND(I133*0.9,9)</f>
        <v>35.740637100000001</v>
      </c>
      <c r="J132">
        <v>0</v>
      </c>
      <c r="O132">
        <f t="shared" si="119"/>
        <v>2066.88</v>
      </c>
      <c r="P132">
        <f t="shared" si="120"/>
        <v>0</v>
      </c>
      <c r="Q132">
        <f t="shared" si="121"/>
        <v>2066.88</v>
      </c>
      <c r="R132">
        <f t="shared" si="122"/>
        <v>1123.69</v>
      </c>
      <c r="S132">
        <f t="shared" si="123"/>
        <v>0</v>
      </c>
      <c r="T132">
        <f t="shared" si="124"/>
        <v>0</v>
      </c>
      <c r="U132">
        <f t="shared" si="125"/>
        <v>0</v>
      </c>
      <c r="V132">
        <f t="shared" si="126"/>
        <v>0</v>
      </c>
      <c r="W132">
        <f t="shared" si="127"/>
        <v>0</v>
      </c>
      <c r="X132">
        <f t="shared" si="128"/>
        <v>0</v>
      </c>
      <c r="Y132">
        <f t="shared" si="129"/>
        <v>0</v>
      </c>
      <c r="AA132">
        <v>15805332</v>
      </c>
      <c r="AB132">
        <f t="shared" si="130"/>
        <v>57.83</v>
      </c>
      <c r="AC132">
        <f t="shared" si="154"/>
        <v>0</v>
      </c>
      <c r="AD132">
        <f t="shared" si="155"/>
        <v>57.83</v>
      </c>
      <c r="AE132">
        <f t="shared" si="156"/>
        <v>31.44</v>
      </c>
      <c r="AF132">
        <f t="shared" si="156"/>
        <v>0</v>
      </c>
      <c r="AG132">
        <f t="shared" si="132"/>
        <v>0</v>
      </c>
      <c r="AH132">
        <f t="shared" si="157"/>
        <v>0</v>
      </c>
      <c r="AI132">
        <f t="shared" si="157"/>
        <v>0</v>
      </c>
      <c r="AJ132">
        <f t="shared" si="134"/>
        <v>0</v>
      </c>
      <c r="AK132">
        <v>57.83</v>
      </c>
      <c r="AL132">
        <v>0</v>
      </c>
      <c r="AM132">
        <v>57.83</v>
      </c>
      <c r="AN132">
        <v>31.44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D132" t="s">
        <v>3</v>
      </c>
      <c r="BE132" t="s">
        <v>3</v>
      </c>
      <c r="BF132" t="s">
        <v>3</v>
      </c>
      <c r="BG132" t="s">
        <v>3</v>
      </c>
      <c r="BH132">
        <v>0</v>
      </c>
      <c r="BI132">
        <v>4</v>
      </c>
      <c r="BJ132" t="s">
        <v>62</v>
      </c>
      <c r="BM132">
        <v>1</v>
      </c>
      <c r="BN132">
        <v>0</v>
      </c>
      <c r="BO132" t="s">
        <v>3</v>
      </c>
      <c r="BP132">
        <v>0</v>
      </c>
      <c r="BQ132">
        <v>1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3</v>
      </c>
      <c r="BZ132">
        <v>0</v>
      </c>
      <c r="CA132">
        <v>0</v>
      </c>
      <c r="CE132">
        <v>0</v>
      </c>
      <c r="CF132">
        <v>0</v>
      </c>
      <c r="CG132">
        <v>0</v>
      </c>
      <c r="CM132">
        <v>0</v>
      </c>
      <c r="CN132" t="s">
        <v>3</v>
      </c>
      <c r="CO132">
        <v>0</v>
      </c>
      <c r="CP132">
        <f t="shared" si="135"/>
        <v>2066.88</v>
      </c>
      <c r="CQ132">
        <f t="shared" si="136"/>
        <v>0</v>
      </c>
      <c r="CR132">
        <f t="shared" si="158"/>
        <v>57.83</v>
      </c>
      <c r="CS132">
        <f t="shared" si="137"/>
        <v>31.44</v>
      </c>
      <c r="CT132">
        <f t="shared" si="138"/>
        <v>0</v>
      </c>
      <c r="CU132">
        <f t="shared" si="139"/>
        <v>0</v>
      </c>
      <c r="CV132">
        <f t="shared" si="140"/>
        <v>0</v>
      </c>
      <c r="CW132">
        <f t="shared" si="141"/>
        <v>0</v>
      </c>
      <c r="CX132">
        <f t="shared" si="142"/>
        <v>0</v>
      </c>
      <c r="CY132">
        <f t="shared" si="143"/>
        <v>0</v>
      </c>
      <c r="CZ132">
        <f t="shared" si="144"/>
        <v>0</v>
      </c>
      <c r="DC132" t="s">
        <v>3</v>
      </c>
      <c r="DD132" t="s">
        <v>3</v>
      </c>
      <c r="DE132" t="s">
        <v>3</v>
      </c>
      <c r="DF132" t="s">
        <v>3</v>
      </c>
      <c r="DG132" t="s">
        <v>3</v>
      </c>
      <c r="DH132" t="s">
        <v>3</v>
      </c>
      <c r="DI132" t="s">
        <v>3</v>
      </c>
      <c r="DJ132" t="s">
        <v>3</v>
      </c>
      <c r="DK132" t="s">
        <v>3</v>
      </c>
      <c r="DL132" t="s">
        <v>3</v>
      </c>
      <c r="DM132" t="s">
        <v>3</v>
      </c>
      <c r="DN132">
        <v>0</v>
      </c>
      <c r="DO132">
        <v>0</v>
      </c>
      <c r="DP132">
        <v>1</v>
      </c>
      <c r="DQ132">
        <v>1</v>
      </c>
      <c r="DU132">
        <v>1009</v>
      </c>
      <c r="DV132" t="s">
        <v>30</v>
      </c>
      <c r="DW132" t="s">
        <v>30</v>
      </c>
      <c r="DX132">
        <v>1000</v>
      </c>
      <c r="EE132">
        <v>15435501</v>
      </c>
      <c r="EF132">
        <v>1</v>
      </c>
      <c r="EG132" t="s">
        <v>20</v>
      </c>
      <c r="EH132">
        <v>0</v>
      </c>
      <c r="EI132" t="s">
        <v>3</v>
      </c>
      <c r="EJ132">
        <v>4</v>
      </c>
      <c r="EK132">
        <v>1</v>
      </c>
      <c r="EL132" t="s">
        <v>58</v>
      </c>
      <c r="EM132" t="s">
        <v>22</v>
      </c>
      <c r="EO132" t="s">
        <v>3</v>
      </c>
      <c r="EQ132">
        <v>0</v>
      </c>
      <c r="ER132">
        <v>57.83</v>
      </c>
      <c r="ES132">
        <v>0</v>
      </c>
      <c r="ET132">
        <v>57.83</v>
      </c>
      <c r="EU132">
        <v>31.44</v>
      </c>
      <c r="EV132">
        <v>0</v>
      </c>
      <c r="EW132">
        <v>0</v>
      </c>
      <c r="EX132">
        <v>0</v>
      </c>
      <c r="EY132">
        <v>0</v>
      </c>
      <c r="FQ132">
        <v>0</v>
      </c>
      <c r="FR132">
        <f t="shared" si="145"/>
        <v>0</v>
      </c>
      <c r="FS132">
        <v>0</v>
      </c>
      <c r="FX132">
        <v>0</v>
      </c>
      <c r="FY132">
        <v>0</v>
      </c>
      <c r="GA132" t="s">
        <v>3</v>
      </c>
      <c r="GD132">
        <v>1</v>
      </c>
      <c r="GF132">
        <v>-1870736679</v>
      </c>
      <c r="GG132">
        <v>2</v>
      </c>
      <c r="GH132">
        <v>1</v>
      </c>
      <c r="GI132">
        <v>-2</v>
      </c>
      <c r="GJ132">
        <v>0</v>
      </c>
      <c r="GK132">
        <v>0</v>
      </c>
      <c r="GL132">
        <f t="shared" si="146"/>
        <v>0</v>
      </c>
      <c r="GM132">
        <f>ROUND(O132+X132+Y132,2)+GX132</f>
        <v>2066.88</v>
      </c>
      <c r="GN132">
        <f>IF(OR(BI132=0,BI132=1),ROUND(O132+X132+Y132,2),0)</f>
        <v>0</v>
      </c>
      <c r="GO132">
        <f>IF(BI132=2,ROUND(O132+X132+Y132,2),0)</f>
        <v>0</v>
      </c>
      <c r="GP132">
        <f>IF(BI132=4,ROUND(O132+X132+Y132,2)+GX132,0)</f>
        <v>2066.88</v>
      </c>
      <c r="GR132">
        <v>0</v>
      </c>
      <c r="GS132">
        <v>0</v>
      </c>
      <c r="GT132">
        <v>0</v>
      </c>
      <c r="GU132" t="s">
        <v>3</v>
      </c>
      <c r="GV132">
        <f t="shared" si="151"/>
        <v>0</v>
      </c>
      <c r="GW132">
        <v>1</v>
      </c>
      <c r="GX132">
        <f t="shared" si="152"/>
        <v>0</v>
      </c>
      <c r="HA132">
        <v>0</v>
      </c>
      <c r="HB132">
        <v>0</v>
      </c>
      <c r="HC132">
        <f t="shared" si="153"/>
        <v>0</v>
      </c>
      <c r="IK132">
        <v>0</v>
      </c>
    </row>
    <row r="133" spans="1:245" x14ac:dyDescent="0.2">
      <c r="A133">
        <v>17</v>
      </c>
      <c r="B133">
        <v>1</v>
      </c>
      <c r="C133">
        <f>ROW(SmtRes!A78)</f>
        <v>78</v>
      </c>
      <c r="D133">
        <f>ROW(EtalonRes!A75)</f>
        <v>75</v>
      </c>
      <c r="E133" t="s">
        <v>158</v>
      </c>
      <c r="F133" t="s">
        <v>64</v>
      </c>
      <c r="G133" t="s">
        <v>159</v>
      </c>
      <c r="H133" t="s">
        <v>30</v>
      </c>
      <c r="I133">
        <v>39.711818999999998</v>
      </c>
      <c r="J133">
        <v>0</v>
      </c>
      <c r="O133">
        <f t="shared" si="119"/>
        <v>53297.63</v>
      </c>
      <c r="P133">
        <f t="shared" si="120"/>
        <v>0</v>
      </c>
      <c r="Q133">
        <f t="shared" si="121"/>
        <v>53297.63</v>
      </c>
      <c r="R133">
        <f t="shared" si="122"/>
        <v>28974.14</v>
      </c>
      <c r="S133">
        <f t="shared" si="123"/>
        <v>0</v>
      </c>
      <c r="T133">
        <f t="shared" si="124"/>
        <v>0</v>
      </c>
      <c r="U133">
        <f t="shared" si="125"/>
        <v>0</v>
      </c>
      <c r="V133">
        <f t="shared" si="126"/>
        <v>0</v>
      </c>
      <c r="W133">
        <f t="shared" si="127"/>
        <v>0</v>
      </c>
      <c r="X133">
        <f t="shared" si="128"/>
        <v>0</v>
      </c>
      <c r="Y133">
        <f t="shared" si="129"/>
        <v>0</v>
      </c>
      <c r="AA133">
        <v>15805332</v>
      </c>
      <c r="AB133">
        <f t="shared" si="130"/>
        <v>1342.11</v>
      </c>
      <c r="AC133">
        <f>ROUND(((ES133*49)),6)</f>
        <v>0</v>
      </c>
      <c r="AD133">
        <f>ROUND(((((ET133*49))-((EU133*49)))+AE133),6)</f>
        <v>1342.11</v>
      </c>
      <c r="AE133">
        <f>ROUND(((EU133*49)),6)</f>
        <v>729.61</v>
      </c>
      <c r="AF133">
        <f>ROUND(((EV133*49)),6)</f>
        <v>0</v>
      </c>
      <c r="AG133">
        <f t="shared" si="132"/>
        <v>0</v>
      </c>
      <c r="AH133">
        <f>((EW133*49))</f>
        <v>0</v>
      </c>
      <c r="AI133">
        <f>((EX133*49))</f>
        <v>0</v>
      </c>
      <c r="AJ133">
        <f t="shared" si="134"/>
        <v>0</v>
      </c>
      <c r="AK133">
        <v>27.39</v>
      </c>
      <c r="AL133">
        <v>0</v>
      </c>
      <c r="AM133">
        <v>27.39</v>
      </c>
      <c r="AN133">
        <v>14.89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Z133">
        <v>1</v>
      </c>
      <c r="BA133">
        <v>1</v>
      </c>
      <c r="BB133">
        <v>1</v>
      </c>
      <c r="BC133">
        <v>1</v>
      </c>
      <c r="BD133" t="s">
        <v>3</v>
      </c>
      <c r="BE133" t="s">
        <v>3</v>
      </c>
      <c r="BF133" t="s">
        <v>3</v>
      </c>
      <c r="BG133" t="s">
        <v>3</v>
      </c>
      <c r="BH133">
        <v>0</v>
      </c>
      <c r="BI133">
        <v>4</v>
      </c>
      <c r="BJ133" t="s">
        <v>66</v>
      </c>
      <c r="BM133">
        <v>1</v>
      </c>
      <c r="BN133">
        <v>0</v>
      </c>
      <c r="BO133" t="s">
        <v>3</v>
      </c>
      <c r="BP133">
        <v>0</v>
      </c>
      <c r="BQ133">
        <v>1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t="s">
        <v>3</v>
      </c>
      <c r="BZ133">
        <v>0</v>
      </c>
      <c r="CA133">
        <v>0</v>
      </c>
      <c r="CE133">
        <v>0</v>
      </c>
      <c r="CF133">
        <v>0</v>
      </c>
      <c r="CG133">
        <v>0</v>
      </c>
      <c r="CM133">
        <v>0</v>
      </c>
      <c r="CN133" t="s">
        <v>3</v>
      </c>
      <c r="CO133">
        <v>0</v>
      </c>
      <c r="CP133">
        <f t="shared" si="135"/>
        <v>53297.63</v>
      </c>
      <c r="CQ133">
        <f t="shared" si="136"/>
        <v>0</v>
      </c>
      <c r="CR133">
        <f>(((((ET133*49))*BB133-((EU133*49))*BS133)+AE133*BS133)*AV133)</f>
        <v>1342.1100000000001</v>
      </c>
      <c r="CS133">
        <f t="shared" si="137"/>
        <v>729.61</v>
      </c>
      <c r="CT133">
        <f t="shared" si="138"/>
        <v>0</v>
      </c>
      <c r="CU133">
        <f t="shared" si="139"/>
        <v>0</v>
      </c>
      <c r="CV133">
        <f t="shared" si="140"/>
        <v>0</v>
      </c>
      <c r="CW133">
        <f t="shared" si="141"/>
        <v>0</v>
      </c>
      <c r="CX133">
        <f t="shared" si="142"/>
        <v>0</v>
      </c>
      <c r="CY133">
        <f t="shared" si="143"/>
        <v>0</v>
      </c>
      <c r="CZ133">
        <f t="shared" si="144"/>
        <v>0</v>
      </c>
      <c r="DC133" t="s">
        <v>3</v>
      </c>
      <c r="DD133" t="s">
        <v>67</v>
      </c>
      <c r="DE133" t="s">
        <v>67</v>
      </c>
      <c r="DF133" t="s">
        <v>67</v>
      </c>
      <c r="DG133" t="s">
        <v>67</v>
      </c>
      <c r="DH133" t="s">
        <v>3</v>
      </c>
      <c r="DI133" t="s">
        <v>67</v>
      </c>
      <c r="DJ133" t="s">
        <v>67</v>
      </c>
      <c r="DK133" t="s">
        <v>3</v>
      </c>
      <c r="DL133" t="s">
        <v>3</v>
      </c>
      <c r="DM133" t="s">
        <v>3</v>
      </c>
      <c r="DN133">
        <v>0</v>
      </c>
      <c r="DO133">
        <v>0</v>
      </c>
      <c r="DP133">
        <v>1</v>
      </c>
      <c r="DQ133">
        <v>1</v>
      </c>
      <c r="DU133">
        <v>1009</v>
      </c>
      <c r="DV133" t="s">
        <v>30</v>
      </c>
      <c r="DW133" t="s">
        <v>30</v>
      </c>
      <c r="DX133">
        <v>1000</v>
      </c>
      <c r="EE133">
        <v>15435501</v>
      </c>
      <c r="EF133">
        <v>1</v>
      </c>
      <c r="EG133" t="s">
        <v>20</v>
      </c>
      <c r="EH133">
        <v>0</v>
      </c>
      <c r="EI133" t="s">
        <v>3</v>
      </c>
      <c r="EJ133">
        <v>4</v>
      </c>
      <c r="EK133">
        <v>1</v>
      </c>
      <c r="EL133" t="s">
        <v>58</v>
      </c>
      <c r="EM133" t="s">
        <v>22</v>
      </c>
      <c r="EO133" t="s">
        <v>3</v>
      </c>
      <c r="EQ133">
        <v>0</v>
      </c>
      <c r="ER133">
        <v>27.39</v>
      </c>
      <c r="ES133">
        <v>0</v>
      </c>
      <c r="ET133">
        <v>27.39</v>
      </c>
      <c r="EU133">
        <v>14.89</v>
      </c>
      <c r="EV133">
        <v>0</v>
      </c>
      <c r="EW133">
        <v>0</v>
      </c>
      <c r="EX133">
        <v>0</v>
      </c>
      <c r="EY133">
        <v>0</v>
      </c>
      <c r="FQ133">
        <v>0</v>
      </c>
      <c r="FR133">
        <f t="shared" si="145"/>
        <v>0</v>
      </c>
      <c r="FS133">
        <v>0</v>
      </c>
      <c r="FX133">
        <v>0</v>
      </c>
      <c r="FY133">
        <v>0</v>
      </c>
      <c r="GA133" t="s">
        <v>3</v>
      </c>
      <c r="GD133">
        <v>1</v>
      </c>
      <c r="GF133">
        <v>-1550638140</v>
      </c>
      <c r="GG133">
        <v>2</v>
      </c>
      <c r="GH133">
        <v>1</v>
      </c>
      <c r="GI133">
        <v>-2</v>
      </c>
      <c r="GJ133">
        <v>0</v>
      </c>
      <c r="GK133">
        <v>0</v>
      </c>
      <c r="GL133">
        <f t="shared" si="146"/>
        <v>0</v>
      </c>
      <c r="GM133">
        <f>ROUND(O133+X133+Y133,2)+GX133</f>
        <v>53297.63</v>
      </c>
      <c r="GN133">
        <f>IF(OR(BI133=0,BI133=1),ROUND(O133+X133+Y133,2),0)</f>
        <v>0</v>
      </c>
      <c r="GO133">
        <f>IF(BI133=2,ROUND(O133+X133+Y133,2),0)</f>
        <v>0</v>
      </c>
      <c r="GP133">
        <f>IF(BI133=4,ROUND(O133+X133+Y133,2)+GX133,0)</f>
        <v>53297.63</v>
      </c>
      <c r="GR133">
        <v>0</v>
      </c>
      <c r="GS133">
        <v>0</v>
      </c>
      <c r="GT133">
        <v>0</v>
      </c>
      <c r="GU133" t="s">
        <v>3</v>
      </c>
      <c r="GV133">
        <f t="shared" si="151"/>
        <v>0</v>
      </c>
      <c r="GW133">
        <v>1</v>
      </c>
      <c r="GX133">
        <f t="shared" si="152"/>
        <v>0</v>
      </c>
      <c r="HA133">
        <v>0</v>
      </c>
      <c r="HB133">
        <v>0</v>
      </c>
      <c r="HC133">
        <f t="shared" si="153"/>
        <v>0</v>
      </c>
      <c r="IK133">
        <v>0</v>
      </c>
    </row>
    <row r="135" spans="1:245" x14ac:dyDescent="0.2">
      <c r="A135" s="2">
        <v>51</v>
      </c>
      <c r="B135" s="2">
        <f>B118</f>
        <v>1</v>
      </c>
      <c r="C135" s="2">
        <f>A118</f>
        <v>4</v>
      </c>
      <c r="D135" s="2">
        <f>ROW(A118)</f>
        <v>118</v>
      </c>
      <c r="E135" s="2"/>
      <c r="F135" s="2" t="str">
        <f>IF(F118&lt;&gt;"",F118,"")</f>
        <v>Новый раздел</v>
      </c>
      <c r="G135" s="2" t="str">
        <f>IF(G118&lt;&gt;"",G118,"")</f>
        <v>Детская площадка "Сиреневый сад" (683,1 м2)</v>
      </c>
      <c r="H135" s="2">
        <v>0</v>
      </c>
      <c r="I135" s="2"/>
      <c r="J135" s="23">
        <f>'Смета СН-2012 по гл. 1-5'!I286:J286</f>
        <v>0</v>
      </c>
      <c r="K135" s="2"/>
      <c r="L135" s="23" t="e">
        <f>'Смета СН-2012 по гл. 1-5'!I286:J286</f>
        <v>#VALUE!</v>
      </c>
      <c r="M135" s="2"/>
      <c r="N135" s="2"/>
      <c r="O135" s="2">
        <f t="shared" ref="O135:T135" si="159">ROUND(AB135,2)</f>
        <v>1654880.72</v>
      </c>
      <c r="P135" s="2">
        <f t="shared" si="159"/>
        <v>1487727.19</v>
      </c>
      <c r="Q135" s="2">
        <f t="shared" si="159"/>
        <v>93744.78</v>
      </c>
      <c r="R135" s="2">
        <f t="shared" si="159"/>
        <v>58856.78</v>
      </c>
      <c r="S135" s="2">
        <f t="shared" si="159"/>
        <v>73408.75</v>
      </c>
      <c r="T135" s="2">
        <f t="shared" si="159"/>
        <v>0</v>
      </c>
      <c r="U135" s="2">
        <f>AH135</f>
        <v>380.22540553800002</v>
      </c>
      <c r="V135" s="2">
        <f>AI135</f>
        <v>0</v>
      </c>
      <c r="W135" s="2">
        <f>ROUND(AJ135,2)</f>
        <v>0</v>
      </c>
      <c r="X135" s="2">
        <f>ROUND(AK135,2)</f>
        <v>51386.12</v>
      </c>
      <c r="Y135" s="2">
        <f>ROUND(AL135,2)</f>
        <v>7340.88</v>
      </c>
      <c r="Z135" s="2"/>
      <c r="AA135" s="2"/>
      <c r="AB135" s="2">
        <f>ROUND(SUMIF(AA122:AA133,"=15805332",O122:O133),2)</f>
        <v>1654880.72</v>
      </c>
      <c r="AC135" s="2">
        <f>ROUND(SUMIF(AA122:AA133,"=15805332",P122:P133),2)</f>
        <v>1487727.19</v>
      </c>
      <c r="AD135" s="2">
        <f>ROUND(SUMIF(AA122:AA133,"=15805332",Q122:Q133),2)</f>
        <v>93744.78</v>
      </c>
      <c r="AE135" s="2">
        <f>ROUND(SUMIF(AA122:AA133,"=15805332",R122:R133),2)</f>
        <v>58856.78</v>
      </c>
      <c r="AF135" s="2">
        <f>ROUND(SUMIF(AA122:AA133,"=15805332",S122:S133),2)</f>
        <v>73408.75</v>
      </c>
      <c r="AG135" s="2">
        <f>ROUND(SUMIF(AA122:AA133,"=15805332",T122:T133),2)</f>
        <v>0</v>
      </c>
      <c r="AH135" s="2">
        <f>SUMIF(AA122:AA133,"=15805332",U122:U133)</f>
        <v>380.22540553800002</v>
      </c>
      <c r="AI135" s="2">
        <f>SUMIF(AA122:AA133,"=15805332",V122:V133)</f>
        <v>0</v>
      </c>
      <c r="AJ135" s="2">
        <f>ROUND(SUMIF(AA122:AA133,"=15805332",W122:W133),2)</f>
        <v>0</v>
      </c>
      <c r="AK135" s="2">
        <f>ROUND(SUMIF(AA122:AA133,"=15805332",X122:X133),2)</f>
        <v>51386.12</v>
      </c>
      <c r="AL135" s="2">
        <f>ROUND(SUMIF(AA122:AA133,"=15805332",Y122:Y133),2)</f>
        <v>7340.88</v>
      </c>
      <c r="AM135" s="2"/>
      <c r="AN135" s="2"/>
      <c r="AO135" s="2">
        <f t="shared" ref="AO135:BC135" si="160">ROUND(BX135,2)</f>
        <v>0</v>
      </c>
      <c r="AP135" s="2">
        <f t="shared" si="160"/>
        <v>0</v>
      </c>
      <c r="AQ135" s="2">
        <f t="shared" si="160"/>
        <v>0</v>
      </c>
      <c r="AR135" s="2">
        <f t="shared" si="160"/>
        <v>1744280.61</v>
      </c>
      <c r="AS135" s="2">
        <f t="shared" si="160"/>
        <v>0</v>
      </c>
      <c r="AT135" s="2">
        <f t="shared" si="160"/>
        <v>0</v>
      </c>
      <c r="AU135" s="2">
        <f t="shared" si="160"/>
        <v>1744280.61</v>
      </c>
      <c r="AV135" s="2">
        <f t="shared" si="160"/>
        <v>1487727.19</v>
      </c>
      <c r="AW135" s="2">
        <f t="shared" si="160"/>
        <v>1487727.19</v>
      </c>
      <c r="AX135" s="2">
        <f t="shared" si="160"/>
        <v>0</v>
      </c>
      <c r="AY135" s="2">
        <f t="shared" si="160"/>
        <v>1487727.19</v>
      </c>
      <c r="AZ135" s="2">
        <f t="shared" si="160"/>
        <v>0</v>
      </c>
      <c r="BA135" s="2">
        <f t="shared" si="160"/>
        <v>0</v>
      </c>
      <c r="BB135" s="2">
        <f t="shared" si="160"/>
        <v>0</v>
      </c>
      <c r="BC135" s="2">
        <f t="shared" si="160"/>
        <v>0</v>
      </c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>
        <f>ROUND(SUMIF(AA122:AA133,"=15805332",FQ122:FQ133),2)</f>
        <v>0</v>
      </c>
      <c r="BY135" s="2">
        <f>ROUND(SUMIF(AA122:AA133,"=15805332",FR122:FR133),2)</f>
        <v>0</v>
      </c>
      <c r="BZ135" s="2">
        <f>ROUND(SUMIF(AA122:AA133,"=15805332",GL122:GL133),2)</f>
        <v>0</v>
      </c>
      <c r="CA135" s="2">
        <f>ROUND(SUMIF(AA122:AA133,"=15805332",GM122:GM133),2)</f>
        <v>1744280.61</v>
      </c>
      <c r="CB135" s="2">
        <f>ROUND(SUMIF(AA122:AA133,"=15805332",GN122:GN133),2)</f>
        <v>0</v>
      </c>
      <c r="CC135" s="2">
        <f>ROUND(SUMIF(AA122:AA133,"=15805332",GO122:GO133),2)</f>
        <v>0</v>
      </c>
      <c r="CD135" s="2">
        <f>ROUND(SUMIF(AA122:AA133,"=15805332",GP122:GP133),2)</f>
        <v>1744280.61</v>
      </c>
      <c r="CE135" s="2">
        <f>AC135-BX135</f>
        <v>1487727.19</v>
      </c>
      <c r="CF135" s="2">
        <f>AC135-BY135</f>
        <v>1487727.19</v>
      </c>
      <c r="CG135" s="2">
        <f>BX135-BZ135</f>
        <v>0</v>
      </c>
      <c r="CH135" s="2">
        <f>AC135-BX135-BY135+BZ135</f>
        <v>1487727.19</v>
      </c>
      <c r="CI135" s="2">
        <f>BY135-BZ135</f>
        <v>0</v>
      </c>
      <c r="CJ135" s="2">
        <f>ROUND(SUMIF(AA122:AA133,"=15805332",GX122:GX133),2)</f>
        <v>0</v>
      </c>
      <c r="CK135" s="2">
        <f>ROUND(SUMIF(AA122:AA133,"=15805332",GY122:GY133),2)</f>
        <v>0</v>
      </c>
      <c r="CL135" s="2">
        <f>ROUND(SUMIF(AA122:AA133,"=15805332",GZ122:GZ133),2)</f>
        <v>0</v>
      </c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>
        <v>0</v>
      </c>
    </row>
    <row r="137" spans="1:245" x14ac:dyDescent="0.2">
      <c r="A137" s="4">
        <v>50</v>
      </c>
      <c r="B137" s="4">
        <v>0</v>
      </c>
      <c r="C137" s="4">
        <v>0</v>
      </c>
      <c r="D137" s="4">
        <v>1</v>
      </c>
      <c r="E137" s="4">
        <v>201</v>
      </c>
      <c r="F137" s="4">
        <f>ROUND(Source!O135,O137)</f>
        <v>1654880.72</v>
      </c>
      <c r="G137" s="4" t="s">
        <v>68</v>
      </c>
      <c r="H137" s="4" t="s">
        <v>69</v>
      </c>
      <c r="I137" s="4"/>
      <c r="J137" s="4"/>
      <c r="K137" s="4">
        <v>201</v>
      </c>
      <c r="L137" s="4">
        <v>1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45" x14ac:dyDescent="0.2">
      <c r="A138" s="4">
        <v>50</v>
      </c>
      <c r="B138" s="4">
        <v>0</v>
      </c>
      <c r="C138" s="4">
        <v>0</v>
      </c>
      <c r="D138" s="4">
        <v>1</v>
      </c>
      <c r="E138" s="4">
        <v>202</v>
      </c>
      <c r="F138" s="4">
        <f>ROUND(Source!P135,O138)</f>
        <v>1487727.19</v>
      </c>
      <c r="G138" s="4" t="s">
        <v>70</v>
      </c>
      <c r="H138" s="4" t="s">
        <v>71</v>
      </c>
      <c r="I138" s="4"/>
      <c r="J138" s="4"/>
      <c r="K138" s="4">
        <v>202</v>
      </c>
      <c r="L138" s="4">
        <v>2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45" x14ac:dyDescent="0.2">
      <c r="A139" s="4">
        <v>50</v>
      </c>
      <c r="B139" s="4">
        <v>0</v>
      </c>
      <c r="C139" s="4">
        <v>0</v>
      </c>
      <c r="D139" s="4">
        <v>1</v>
      </c>
      <c r="E139" s="4">
        <v>222</v>
      </c>
      <c r="F139" s="4">
        <f>ROUND(Source!AO135,O139)</f>
        <v>0</v>
      </c>
      <c r="G139" s="4" t="s">
        <v>72</v>
      </c>
      <c r="H139" s="4" t="s">
        <v>73</v>
      </c>
      <c r="I139" s="4"/>
      <c r="J139" s="4"/>
      <c r="K139" s="4">
        <v>222</v>
      </c>
      <c r="L139" s="4">
        <v>3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45" x14ac:dyDescent="0.2">
      <c r="A140" s="4">
        <v>50</v>
      </c>
      <c r="B140" s="4">
        <v>0</v>
      </c>
      <c r="C140" s="4">
        <v>0</v>
      </c>
      <c r="D140" s="4">
        <v>1</v>
      </c>
      <c r="E140" s="4">
        <v>225</v>
      </c>
      <c r="F140" s="4">
        <f>ROUND(Source!AV135,O140)</f>
        <v>1487727.19</v>
      </c>
      <c r="G140" s="4" t="s">
        <v>74</v>
      </c>
      <c r="H140" s="4" t="s">
        <v>75</v>
      </c>
      <c r="I140" s="4"/>
      <c r="J140" s="4"/>
      <c r="K140" s="4">
        <v>225</v>
      </c>
      <c r="L140" s="4">
        <v>4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45" x14ac:dyDescent="0.2">
      <c r="A141" s="4">
        <v>50</v>
      </c>
      <c r="B141" s="4">
        <v>0</v>
      </c>
      <c r="C141" s="4">
        <v>0</v>
      </c>
      <c r="D141" s="4">
        <v>1</v>
      </c>
      <c r="E141" s="4">
        <v>226</v>
      </c>
      <c r="F141" s="4">
        <f>ROUND(Source!AW135,O141)</f>
        <v>1487727.19</v>
      </c>
      <c r="G141" s="4" t="s">
        <v>76</v>
      </c>
      <c r="H141" s="4" t="s">
        <v>77</v>
      </c>
      <c r="I141" s="4"/>
      <c r="J141" s="4"/>
      <c r="K141" s="4">
        <v>226</v>
      </c>
      <c r="L141" s="4">
        <v>5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45" x14ac:dyDescent="0.2">
      <c r="A142" s="4">
        <v>50</v>
      </c>
      <c r="B142" s="4">
        <v>0</v>
      </c>
      <c r="C142" s="4">
        <v>0</v>
      </c>
      <c r="D142" s="4">
        <v>1</v>
      </c>
      <c r="E142" s="4">
        <v>227</v>
      </c>
      <c r="F142" s="4">
        <f>ROUND(Source!AX135,O142)</f>
        <v>0</v>
      </c>
      <c r="G142" s="4" t="s">
        <v>78</v>
      </c>
      <c r="H142" s="4" t="s">
        <v>79</v>
      </c>
      <c r="I142" s="4"/>
      <c r="J142" s="4"/>
      <c r="K142" s="4">
        <v>227</v>
      </c>
      <c r="L142" s="4">
        <v>6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 x14ac:dyDescent="0.2">
      <c r="A143" s="4">
        <v>50</v>
      </c>
      <c r="B143" s="4">
        <v>0</v>
      </c>
      <c r="C143" s="4">
        <v>0</v>
      </c>
      <c r="D143" s="4">
        <v>1</v>
      </c>
      <c r="E143" s="4">
        <v>228</v>
      </c>
      <c r="F143" s="4">
        <f>ROUND(Source!AY135,O143)</f>
        <v>1487727.19</v>
      </c>
      <c r="G143" s="4" t="s">
        <v>80</v>
      </c>
      <c r="H143" s="4" t="s">
        <v>81</v>
      </c>
      <c r="I143" s="4"/>
      <c r="J143" s="4"/>
      <c r="K143" s="4">
        <v>228</v>
      </c>
      <c r="L143" s="4">
        <v>7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 x14ac:dyDescent="0.2">
      <c r="A144" s="4">
        <v>50</v>
      </c>
      <c r="B144" s="4">
        <v>0</v>
      </c>
      <c r="C144" s="4">
        <v>0</v>
      </c>
      <c r="D144" s="4">
        <v>1</v>
      </c>
      <c r="E144" s="4">
        <v>216</v>
      </c>
      <c r="F144" s="4">
        <f>ROUND(Source!AP135,O144)</f>
        <v>0</v>
      </c>
      <c r="G144" s="4" t="s">
        <v>82</v>
      </c>
      <c r="H144" s="4" t="s">
        <v>83</v>
      </c>
      <c r="I144" s="4"/>
      <c r="J144" s="4"/>
      <c r="K144" s="4">
        <v>216</v>
      </c>
      <c r="L144" s="4">
        <v>8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223</v>
      </c>
      <c r="F145" s="4">
        <f>ROUND(Source!AQ135,O145)</f>
        <v>0</v>
      </c>
      <c r="G145" s="4" t="s">
        <v>84</v>
      </c>
      <c r="H145" s="4" t="s">
        <v>85</v>
      </c>
      <c r="I145" s="4"/>
      <c r="J145" s="4"/>
      <c r="K145" s="4">
        <v>223</v>
      </c>
      <c r="L145" s="4">
        <v>9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229</v>
      </c>
      <c r="F146" s="4">
        <f>ROUND(Source!AZ135,O146)</f>
        <v>0</v>
      </c>
      <c r="G146" s="4" t="s">
        <v>86</v>
      </c>
      <c r="H146" s="4" t="s">
        <v>87</v>
      </c>
      <c r="I146" s="4"/>
      <c r="J146" s="4"/>
      <c r="K146" s="4">
        <v>229</v>
      </c>
      <c r="L146" s="4">
        <v>10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203</v>
      </c>
      <c r="F147" s="4">
        <f>ROUND(Source!Q135,O147)</f>
        <v>93744.78</v>
      </c>
      <c r="G147" s="4" t="s">
        <v>88</v>
      </c>
      <c r="H147" s="4" t="s">
        <v>89</v>
      </c>
      <c r="I147" s="4"/>
      <c r="J147" s="4"/>
      <c r="K147" s="4">
        <v>203</v>
      </c>
      <c r="L147" s="4">
        <v>11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231</v>
      </c>
      <c r="F148" s="4">
        <f>ROUND(Source!BB135,O148)</f>
        <v>0</v>
      </c>
      <c r="G148" s="4" t="s">
        <v>90</v>
      </c>
      <c r="H148" s="4" t="s">
        <v>91</v>
      </c>
      <c r="I148" s="4"/>
      <c r="J148" s="4"/>
      <c r="K148" s="4">
        <v>231</v>
      </c>
      <c r="L148" s="4">
        <v>12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204</v>
      </c>
      <c r="F149" s="4">
        <f>ROUND(Source!R135,O149)</f>
        <v>58856.78</v>
      </c>
      <c r="G149" s="4" t="s">
        <v>92</v>
      </c>
      <c r="H149" s="4" t="s">
        <v>93</v>
      </c>
      <c r="I149" s="4"/>
      <c r="J149" s="4"/>
      <c r="K149" s="4">
        <v>204</v>
      </c>
      <c r="L149" s="4">
        <v>13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205</v>
      </c>
      <c r="F150" s="4">
        <f>ROUND(Source!S135,O150)</f>
        <v>73408.75</v>
      </c>
      <c r="G150" s="4" t="s">
        <v>94</v>
      </c>
      <c r="H150" s="4" t="s">
        <v>95</v>
      </c>
      <c r="I150" s="4"/>
      <c r="J150" s="4"/>
      <c r="K150" s="4">
        <v>205</v>
      </c>
      <c r="L150" s="4">
        <v>14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232</v>
      </c>
      <c r="F151" s="4">
        <f>ROUND(Source!BC135,O151)</f>
        <v>0</v>
      </c>
      <c r="G151" s="4" t="s">
        <v>96</v>
      </c>
      <c r="H151" s="4" t="s">
        <v>97</v>
      </c>
      <c r="I151" s="4"/>
      <c r="J151" s="4"/>
      <c r="K151" s="4">
        <v>232</v>
      </c>
      <c r="L151" s="4">
        <v>15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214</v>
      </c>
      <c r="F152" s="4">
        <f>ROUND(Source!AS135,O152)</f>
        <v>0</v>
      </c>
      <c r="G152" s="4" t="s">
        <v>98</v>
      </c>
      <c r="H152" s="4" t="s">
        <v>99</v>
      </c>
      <c r="I152" s="4"/>
      <c r="J152" s="4"/>
      <c r="K152" s="4">
        <v>214</v>
      </c>
      <c r="L152" s="4">
        <v>16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215</v>
      </c>
      <c r="F153" s="4">
        <f>ROUND(Source!AT135,O153)</f>
        <v>0</v>
      </c>
      <c r="G153" s="4" t="s">
        <v>100</v>
      </c>
      <c r="H153" s="4" t="s">
        <v>101</v>
      </c>
      <c r="I153" s="4"/>
      <c r="J153" s="4"/>
      <c r="K153" s="4">
        <v>215</v>
      </c>
      <c r="L153" s="4">
        <v>17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217</v>
      </c>
      <c r="F154" s="4">
        <f>ROUND(Source!AU135,O154)</f>
        <v>1744280.61</v>
      </c>
      <c r="G154" s="4" t="s">
        <v>102</v>
      </c>
      <c r="H154" s="4" t="s">
        <v>103</v>
      </c>
      <c r="I154" s="4"/>
      <c r="J154" s="4"/>
      <c r="K154" s="4">
        <v>217</v>
      </c>
      <c r="L154" s="4">
        <v>18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230</v>
      </c>
      <c r="F155" s="4">
        <f>ROUND(Source!BA135,O155)</f>
        <v>0</v>
      </c>
      <c r="G155" s="4" t="s">
        <v>104</v>
      </c>
      <c r="H155" s="4" t="s">
        <v>105</v>
      </c>
      <c r="I155" s="4"/>
      <c r="J155" s="4"/>
      <c r="K155" s="4">
        <v>230</v>
      </c>
      <c r="L155" s="4">
        <v>19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206</v>
      </c>
      <c r="F156" s="4">
        <f>ROUND(Source!T135,O156)</f>
        <v>0</v>
      </c>
      <c r="G156" s="4" t="s">
        <v>106</v>
      </c>
      <c r="H156" s="4" t="s">
        <v>107</v>
      </c>
      <c r="I156" s="4"/>
      <c r="J156" s="4"/>
      <c r="K156" s="4">
        <v>206</v>
      </c>
      <c r="L156" s="4">
        <v>20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207</v>
      </c>
      <c r="F157" s="4">
        <f>Source!U135</f>
        <v>380.22540553800002</v>
      </c>
      <c r="G157" s="4" t="s">
        <v>108</v>
      </c>
      <c r="H157" s="4" t="s">
        <v>109</v>
      </c>
      <c r="I157" s="4"/>
      <c r="J157" s="4"/>
      <c r="K157" s="4">
        <v>207</v>
      </c>
      <c r="L157" s="4">
        <v>21</v>
      </c>
      <c r="M157" s="4">
        <v>3</v>
      </c>
      <c r="N157" s="4" t="s">
        <v>3</v>
      </c>
      <c r="O157" s="4">
        <v>-1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208</v>
      </c>
      <c r="F158" s="4">
        <f>Source!V135</f>
        <v>0</v>
      </c>
      <c r="G158" s="4" t="s">
        <v>110</v>
      </c>
      <c r="H158" s="4" t="s">
        <v>111</v>
      </c>
      <c r="I158" s="4"/>
      <c r="J158" s="4"/>
      <c r="K158" s="4">
        <v>208</v>
      </c>
      <c r="L158" s="4">
        <v>22</v>
      </c>
      <c r="M158" s="4">
        <v>3</v>
      </c>
      <c r="N158" s="4" t="s">
        <v>3</v>
      </c>
      <c r="O158" s="4">
        <v>-1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209</v>
      </c>
      <c r="F159" s="4">
        <f>ROUND(Source!W135,O159)</f>
        <v>0</v>
      </c>
      <c r="G159" s="4" t="s">
        <v>112</v>
      </c>
      <c r="H159" s="4" t="s">
        <v>113</v>
      </c>
      <c r="I159" s="4"/>
      <c r="J159" s="4"/>
      <c r="K159" s="4">
        <v>209</v>
      </c>
      <c r="L159" s="4">
        <v>23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210</v>
      </c>
      <c r="F160" s="4">
        <f>ROUND(Source!X135,O160)</f>
        <v>51386.12</v>
      </c>
      <c r="G160" s="4" t="s">
        <v>114</v>
      </c>
      <c r="H160" s="4" t="s">
        <v>115</v>
      </c>
      <c r="I160" s="4"/>
      <c r="J160" s="4"/>
      <c r="K160" s="4">
        <v>210</v>
      </c>
      <c r="L160" s="4">
        <v>24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06" x14ac:dyDescent="0.2">
      <c r="A161" s="4">
        <v>50</v>
      </c>
      <c r="B161" s="4">
        <v>0</v>
      </c>
      <c r="C161" s="4">
        <v>0</v>
      </c>
      <c r="D161" s="4">
        <v>1</v>
      </c>
      <c r="E161" s="4">
        <v>211</v>
      </c>
      <c r="F161" s="4">
        <f>ROUND(Source!Y135,O161)</f>
        <v>7340.88</v>
      </c>
      <c r="G161" s="4" t="s">
        <v>116</v>
      </c>
      <c r="H161" s="4" t="s">
        <v>117</v>
      </c>
      <c r="I161" s="4"/>
      <c r="J161" s="4"/>
      <c r="K161" s="4">
        <v>211</v>
      </c>
      <c r="L161" s="4">
        <v>25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06" x14ac:dyDescent="0.2">
      <c r="A162" s="4">
        <v>50</v>
      </c>
      <c r="B162" s="4">
        <v>0</v>
      </c>
      <c r="C162" s="4">
        <v>0</v>
      </c>
      <c r="D162" s="4">
        <v>1</v>
      </c>
      <c r="E162" s="4">
        <v>224</v>
      </c>
      <c r="F162" s="4">
        <f>ROUND(Source!AR135,O162)</f>
        <v>1744280.61</v>
      </c>
      <c r="G162" s="4" t="s">
        <v>118</v>
      </c>
      <c r="H162" s="4" t="s">
        <v>119</v>
      </c>
      <c r="I162" s="4"/>
      <c r="J162" s="4"/>
      <c r="K162" s="4">
        <v>224</v>
      </c>
      <c r="L162" s="4">
        <v>26</v>
      </c>
      <c r="M162" s="4">
        <v>3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06" x14ac:dyDescent="0.2">
      <c r="A163" s="4">
        <v>50</v>
      </c>
      <c r="B163" s="4">
        <v>1</v>
      </c>
      <c r="C163" s="4">
        <v>0</v>
      </c>
      <c r="D163" s="4">
        <v>2</v>
      </c>
      <c r="E163" s="4">
        <v>0</v>
      </c>
      <c r="F163" s="4">
        <f>ROUND(F162*0.2,O163)</f>
        <v>348856.12</v>
      </c>
      <c r="G163" s="4" t="s">
        <v>120</v>
      </c>
      <c r="H163" s="4" t="s">
        <v>121</v>
      </c>
      <c r="I163" s="4"/>
      <c r="J163" s="4"/>
      <c r="K163" s="4">
        <v>212</v>
      </c>
      <c r="L163" s="4">
        <v>27</v>
      </c>
      <c r="M163" s="4">
        <v>0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06" x14ac:dyDescent="0.2">
      <c r="A164" s="4">
        <v>50</v>
      </c>
      <c r="B164" s="4">
        <v>1</v>
      </c>
      <c r="C164" s="4">
        <v>0</v>
      </c>
      <c r="D164" s="4">
        <v>2</v>
      </c>
      <c r="E164" s="4">
        <v>0</v>
      </c>
      <c r="F164" s="4">
        <f>ROUND(F162+F163,O164)</f>
        <v>2093136.73</v>
      </c>
      <c r="G164" s="4" t="s">
        <v>122</v>
      </c>
      <c r="H164" s="4" t="s">
        <v>123</v>
      </c>
      <c r="I164" s="4"/>
      <c r="J164" s="4"/>
      <c r="K164" s="4">
        <v>212</v>
      </c>
      <c r="L164" s="4">
        <v>28</v>
      </c>
      <c r="M164" s="4">
        <v>0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6" spans="1:206" x14ac:dyDescent="0.2">
      <c r="A166" s="2">
        <v>51</v>
      </c>
      <c r="B166" s="2">
        <f>B20</f>
        <v>1</v>
      </c>
      <c r="C166" s="2">
        <f>A20</f>
        <v>3</v>
      </c>
      <c r="D166" s="2">
        <f>ROW(A20)</f>
        <v>20</v>
      </c>
      <c r="E166" s="2"/>
      <c r="F166" s="2" t="str">
        <f>IF(F20&lt;&gt;"",F20,"")</f>
        <v>Новая локальная смета</v>
      </c>
      <c r="G166" s="2" t="str">
        <f>IF(G20&lt;&gt;"",G20,"")</f>
        <v>Новая локальная смета</v>
      </c>
      <c r="H166" s="2">
        <v>0</v>
      </c>
      <c r="I166" s="2"/>
      <c r="J166" s="2"/>
      <c r="K166" s="2"/>
      <c r="L166" s="2"/>
      <c r="M166" s="2"/>
      <c r="N166" s="2"/>
      <c r="O166" s="2">
        <f t="shared" ref="O166:T166" si="161">ROUND(O40+O87+O135+AB166,2)</f>
        <v>3620121.71</v>
      </c>
      <c r="P166" s="2">
        <f t="shared" si="161"/>
        <v>3319302.27</v>
      </c>
      <c r="Q166" s="2">
        <f t="shared" si="161"/>
        <v>161475.32999999999</v>
      </c>
      <c r="R166" s="2">
        <f t="shared" si="161"/>
        <v>106081.57</v>
      </c>
      <c r="S166" s="2">
        <f t="shared" si="161"/>
        <v>139344.10999999999</v>
      </c>
      <c r="T166" s="2">
        <f t="shared" si="161"/>
        <v>0</v>
      </c>
      <c r="U166" s="2">
        <f>U40+U87+U135+AH166</f>
        <v>680.71372353800007</v>
      </c>
      <c r="V166" s="2">
        <f>V40+V87+V135+AI166</f>
        <v>0</v>
      </c>
      <c r="W166" s="2">
        <f>ROUND(W40+W87+W135+AJ166,2)</f>
        <v>0</v>
      </c>
      <c r="X166" s="2">
        <f>ROUND(X40+X87+X135+AK166,2)</f>
        <v>97540.88</v>
      </c>
      <c r="Y166" s="2">
        <f>ROUND(Y40+Y87+Y135+AL166,2)</f>
        <v>13934.41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>
        <f t="shared" ref="AO166:BC166" si="162">ROUND(AO40+AO87+AO135+BX166,2)</f>
        <v>0</v>
      </c>
      <c r="AP166" s="2">
        <f t="shared" si="162"/>
        <v>0</v>
      </c>
      <c r="AQ166" s="2">
        <f t="shared" si="162"/>
        <v>0</v>
      </c>
      <c r="AR166" s="2">
        <f t="shared" si="162"/>
        <v>3799681.45</v>
      </c>
      <c r="AS166" s="2">
        <f t="shared" si="162"/>
        <v>0</v>
      </c>
      <c r="AT166" s="2">
        <f t="shared" si="162"/>
        <v>0</v>
      </c>
      <c r="AU166" s="2">
        <f t="shared" si="162"/>
        <v>3799681.45</v>
      </c>
      <c r="AV166" s="2">
        <f t="shared" si="162"/>
        <v>3319302.27</v>
      </c>
      <c r="AW166" s="2">
        <f t="shared" si="162"/>
        <v>3319302.27</v>
      </c>
      <c r="AX166" s="2">
        <f t="shared" si="162"/>
        <v>0</v>
      </c>
      <c r="AY166" s="2">
        <f t="shared" si="162"/>
        <v>3319302.27</v>
      </c>
      <c r="AZ166" s="2">
        <f t="shared" si="162"/>
        <v>0</v>
      </c>
      <c r="BA166" s="2">
        <f t="shared" si="162"/>
        <v>0</v>
      </c>
      <c r="BB166" s="2">
        <f t="shared" si="162"/>
        <v>0</v>
      </c>
      <c r="BC166" s="2">
        <f t="shared" si="162"/>
        <v>0</v>
      </c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>
        <v>0</v>
      </c>
    </row>
    <row r="168" spans="1:206" x14ac:dyDescent="0.2">
      <c r="A168" s="4">
        <v>50</v>
      </c>
      <c r="B168" s="4">
        <v>0</v>
      </c>
      <c r="C168" s="4">
        <v>0</v>
      </c>
      <c r="D168" s="4">
        <v>1</v>
      </c>
      <c r="E168" s="4">
        <v>201</v>
      </c>
      <c r="F168" s="4">
        <f>ROUND(Source!O166,O168)</f>
        <v>3620121.71</v>
      </c>
      <c r="G168" s="4" t="s">
        <v>68</v>
      </c>
      <c r="H168" s="4" t="s">
        <v>69</v>
      </c>
      <c r="I168" s="4"/>
      <c r="J168" s="4"/>
      <c r="K168" s="4">
        <v>201</v>
      </c>
      <c r="L168" s="4">
        <v>1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06" x14ac:dyDescent="0.2">
      <c r="A169" s="4">
        <v>50</v>
      </c>
      <c r="B169" s="4">
        <v>0</v>
      </c>
      <c r="C169" s="4">
        <v>0</v>
      </c>
      <c r="D169" s="4">
        <v>1</v>
      </c>
      <c r="E169" s="4">
        <v>202</v>
      </c>
      <c r="F169" s="4">
        <f>ROUND(Source!P166,O169)</f>
        <v>3319302.27</v>
      </c>
      <c r="G169" s="4" t="s">
        <v>70</v>
      </c>
      <c r="H169" s="4" t="s">
        <v>71</v>
      </c>
      <c r="I169" s="4"/>
      <c r="J169" s="4"/>
      <c r="K169" s="4">
        <v>202</v>
      </c>
      <c r="L169" s="4">
        <v>2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06" x14ac:dyDescent="0.2">
      <c r="A170" s="4">
        <v>50</v>
      </c>
      <c r="B170" s="4">
        <v>0</v>
      </c>
      <c r="C170" s="4">
        <v>0</v>
      </c>
      <c r="D170" s="4">
        <v>1</v>
      </c>
      <c r="E170" s="4">
        <v>222</v>
      </c>
      <c r="F170" s="4">
        <f>ROUND(Source!AO166,O170)</f>
        <v>0</v>
      </c>
      <c r="G170" s="4" t="s">
        <v>72</v>
      </c>
      <c r="H170" s="4" t="s">
        <v>73</v>
      </c>
      <c r="I170" s="4"/>
      <c r="J170" s="4"/>
      <c r="K170" s="4">
        <v>222</v>
      </c>
      <c r="L170" s="4">
        <v>3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06" x14ac:dyDescent="0.2">
      <c r="A171" s="4">
        <v>50</v>
      </c>
      <c r="B171" s="4">
        <v>0</v>
      </c>
      <c r="C171" s="4">
        <v>0</v>
      </c>
      <c r="D171" s="4">
        <v>1</v>
      </c>
      <c r="E171" s="4">
        <v>225</v>
      </c>
      <c r="F171" s="4">
        <f>ROUND(Source!AV166,O171)</f>
        <v>3319302.27</v>
      </c>
      <c r="G171" s="4" t="s">
        <v>74</v>
      </c>
      <c r="H171" s="4" t="s">
        <v>75</v>
      </c>
      <c r="I171" s="4"/>
      <c r="J171" s="4"/>
      <c r="K171" s="4">
        <v>225</v>
      </c>
      <c r="L171" s="4">
        <v>4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06" x14ac:dyDescent="0.2">
      <c r="A172" s="4">
        <v>50</v>
      </c>
      <c r="B172" s="4">
        <v>0</v>
      </c>
      <c r="C172" s="4">
        <v>0</v>
      </c>
      <c r="D172" s="4">
        <v>1</v>
      </c>
      <c r="E172" s="4">
        <v>226</v>
      </c>
      <c r="F172" s="4">
        <f>ROUND(Source!AW166,O172)</f>
        <v>3319302.27</v>
      </c>
      <c r="G172" s="4" t="s">
        <v>76</v>
      </c>
      <c r="H172" s="4" t="s">
        <v>77</v>
      </c>
      <c r="I172" s="4"/>
      <c r="J172" s="4"/>
      <c r="K172" s="4">
        <v>226</v>
      </c>
      <c r="L172" s="4">
        <v>5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06" x14ac:dyDescent="0.2">
      <c r="A173" s="4">
        <v>50</v>
      </c>
      <c r="B173" s="4">
        <v>0</v>
      </c>
      <c r="C173" s="4">
        <v>0</v>
      </c>
      <c r="D173" s="4">
        <v>1</v>
      </c>
      <c r="E173" s="4">
        <v>227</v>
      </c>
      <c r="F173" s="4">
        <f>ROUND(Source!AX166,O173)</f>
        <v>0</v>
      </c>
      <c r="G173" s="4" t="s">
        <v>78</v>
      </c>
      <c r="H173" s="4" t="s">
        <v>79</v>
      </c>
      <c r="I173" s="4"/>
      <c r="J173" s="4"/>
      <c r="K173" s="4">
        <v>227</v>
      </c>
      <c r="L173" s="4">
        <v>6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06" x14ac:dyDescent="0.2">
      <c r="A174" s="4">
        <v>50</v>
      </c>
      <c r="B174" s="4">
        <v>0</v>
      </c>
      <c r="C174" s="4">
        <v>0</v>
      </c>
      <c r="D174" s="4">
        <v>1</v>
      </c>
      <c r="E174" s="4">
        <v>228</v>
      </c>
      <c r="F174" s="4">
        <f>ROUND(Source!AY166,O174)</f>
        <v>3319302.27</v>
      </c>
      <c r="G174" s="4" t="s">
        <v>80</v>
      </c>
      <c r="H174" s="4" t="s">
        <v>81</v>
      </c>
      <c r="I174" s="4"/>
      <c r="J174" s="4"/>
      <c r="K174" s="4">
        <v>228</v>
      </c>
      <c r="L174" s="4">
        <v>7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06" x14ac:dyDescent="0.2">
      <c r="A175" s="4">
        <v>50</v>
      </c>
      <c r="B175" s="4">
        <v>0</v>
      </c>
      <c r="C175" s="4">
        <v>0</v>
      </c>
      <c r="D175" s="4">
        <v>1</v>
      </c>
      <c r="E175" s="4">
        <v>216</v>
      </c>
      <c r="F175" s="4">
        <f>ROUND(Source!AP166,O175)</f>
        <v>0</v>
      </c>
      <c r="G175" s="4" t="s">
        <v>82</v>
      </c>
      <c r="H175" s="4" t="s">
        <v>83</v>
      </c>
      <c r="I175" s="4"/>
      <c r="J175" s="4"/>
      <c r="K175" s="4">
        <v>216</v>
      </c>
      <c r="L175" s="4">
        <v>8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06" x14ac:dyDescent="0.2">
      <c r="A176" s="4">
        <v>50</v>
      </c>
      <c r="B176" s="4">
        <v>0</v>
      </c>
      <c r="C176" s="4">
        <v>0</v>
      </c>
      <c r="D176" s="4">
        <v>1</v>
      </c>
      <c r="E176" s="4">
        <v>223</v>
      </c>
      <c r="F176" s="4">
        <f>ROUND(Source!AQ166,O176)</f>
        <v>0</v>
      </c>
      <c r="G176" s="4" t="s">
        <v>84</v>
      </c>
      <c r="H176" s="4" t="s">
        <v>85</v>
      </c>
      <c r="I176" s="4"/>
      <c r="J176" s="4"/>
      <c r="K176" s="4">
        <v>223</v>
      </c>
      <c r="L176" s="4">
        <v>9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229</v>
      </c>
      <c r="F177" s="4">
        <f>ROUND(Source!AZ166,O177)</f>
        <v>0</v>
      </c>
      <c r="G177" s="4" t="s">
        <v>86</v>
      </c>
      <c r="H177" s="4" t="s">
        <v>87</v>
      </c>
      <c r="I177" s="4"/>
      <c r="J177" s="4"/>
      <c r="K177" s="4">
        <v>229</v>
      </c>
      <c r="L177" s="4">
        <v>10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203</v>
      </c>
      <c r="F178" s="4">
        <f>ROUND(Source!Q166,O178)</f>
        <v>161475.32999999999</v>
      </c>
      <c r="G178" s="4" t="s">
        <v>88</v>
      </c>
      <c r="H178" s="4" t="s">
        <v>89</v>
      </c>
      <c r="I178" s="4"/>
      <c r="J178" s="4"/>
      <c r="K178" s="4">
        <v>203</v>
      </c>
      <c r="L178" s="4">
        <v>11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231</v>
      </c>
      <c r="F179" s="4">
        <f>ROUND(Source!BB166,O179)</f>
        <v>0</v>
      </c>
      <c r="G179" s="4" t="s">
        <v>90</v>
      </c>
      <c r="H179" s="4" t="s">
        <v>91</v>
      </c>
      <c r="I179" s="4"/>
      <c r="J179" s="4"/>
      <c r="K179" s="4">
        <v>231</v>
      </c>
      <c r="L179" s="4">
        <v>12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204</v>
      </c>
      <c r="F180" s="4">
        <f>ROUND(Source!R166,O180)</f>
        <v>106081.57</v>
      </c>
      <c r="G180" s="4" t="s">
        <v>92</v>
      </c>
      <c r="H180" s="4" t="s">
        <v>93</v>
      </c>
      <c r="I180" s="4"/>
      <c r="J180" s="4"/>
      <c r="K180" s="4">
        <v>204</v>
      </c>
      <c r="L180" s="4">
        <v>13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205</v>
      </c>
      <c r="F181" s="4">
        <f>ROUND(Source!S166,O181)</f>
        <v>139344.10999999999</v>
      </c>
      <c r="G181" s="4" t="s">
        <v>94</v>
      </c>
      <c r="H181" s="4" t="s">
        <v>95</v>
      </c>
      <c r="I181" s="4"/>
      <c r="J181" s="4"/>
      <c r="K181" s="4">
        <v>205</v>
      </c>
      <c r="L181" s="4">
        <v>14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232</v>
      </c>
      <c r="F182" s="4">
        <f>ROUND(Source!BC166,O182)</f>
        <v>0</v>
      </c>
      <c r="G182" s="4" t="s">
        <v>96</v>
      </c>
      <c r="H182" s="4" t="s">
        <v>97</v>
      </c>
      <c r="I182" s="4"/>
      <c r="J182" s="4"/>
      <c r="K182" s="4">
        <v>232</v>
      </c>
      <c r="L182" s="4">
        <v>15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214</v>
      </c>
      <c r="F183" s="4">
        <f>ROUND(Source!AS166,O183)</f>
        <v>0</v>
      </c>
      <c r="G183" s="4" t="s">
        <v>98</v>
      </c>
      <c r="H183" s="4" t="s">
        <v>99</v>
      </c>
      <c r="I183" s="4"/>
      <c r="J183" s="4"/>
      <c r="K183" s="4">
        <v>214</v>
      </c>
      <c r="L183" s="4">
        <v>16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215</v>
      </c>
      <c r="F184" s="4">
        <f>ROUND(Source!AT166,O184)</f>
        <v>0</v>
      </c>
      <c r="G184" s="4" t="s">
        <v>100</v>
      </c>
      <c r="H184" s="4" t="s">
        <v>101</v>
      </c>
      <c r="I184" s="4"/>
      <c r="J184" s="4"/>
      <c r="K184" s="4">
        <v>215</v>
      </c>
      <c r="L184" s="4">
        <v>17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217</v>
      </c>
      <c r="F185" s="4">
        <f>ROUND(Source!AU166,O185)</f>
        <v>3799681.45</v>
      </c>
      <c r="G185" s="4" t="s">
        <v>102</v>
      </c>
      <c r="H185" s="4" t="s">
        <v>103</v>
      </c>
      <c r="I185" s="4"/>
      <c r="J185" s="4"/>
      <c r="K185" s="4">
        <v>217</v>
      </c>
      <c r="L185" s="4">
        <v>18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230</v>
      </c>
      <c r="F186" s="4">
        <f>ROUND(Source!BA166,O186)</f>
        <v>0</v>
      </c>
      <c r="G186" s="4" t="s">
        <v>104</v>
      </c>
      <c r="H186" s="4" t="s">
        <v>105</v>
      </c>
      <c r="I186" s="4"/>
      <c r="J186" s="4"/>
      <c r="K186" s="4">
        <v>230</v>
      </c>
      <c r="L186" s="4">
        <v>19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206</v>
      </c>
      <c r="F187" s="4">
        <f>ROUND(Source!T166,O187)</f>
        <v>0</v>
      </c>
      <c r="G187" s="4" t="s">
        <v>106</v>
      </c>
      <c r="H187" s="4" t="s">
        <v>107</v>
      </c>
      <c r="I187" s="4"/>
      <c r="J187" s="4"/>
      <c r="K187" s="4">
        <v>206</v>
      </c>
      <c r="L187" s="4">
        <v>20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207</v>
      </c>
      <c r="F188" s="4">
        <f>Source!U166</f>
        <v>680.71372353800007</v>
      </c>
      <c r="G188" s="4" t="s">
        <v>108</v>
      </c>
      <c r="H188" s="4" t="s">
        <v>109</v>
      </c>
      <c r="I188" s="4"/>
      <c r="J188" s="4"/>
      <c r="K188" s="4">
        <v>207</v>
      </c>
      <c r="L188" s="4">
        <v>21</v>
      </c>
      <c r="M188" s="4">
        <v>3</v>
      </c>
      <c r="N188" s="4" t="s">
        <v>3</v>
      </c>
      <c r="O188" s="4">
        <v>-1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208</v>
      </c>
      <c r="F189" s="4">
        <f>Source!V166</f>
        <v>0</v>
      </c>
      <c r="G189" s="4" t="s">
        <v>110</v>
      </c>
      <c r="H189" s="4" t="s">
        <v>111</v>
      </c>
      <c r="I189" s="4"/>
      <c r="J189" s="4"/>
      <c r="K189" s="4">
        <v>208</v>
      </c>
      <c r="L189" s="4">
        <v>22</v>
      </c>
      <c r="M189" s="4">
        <v>3</v>
      </c>
      <c r="N189" s="4" t="s">
        <v>3</v>
      </c>
      <c r="O189" s="4">
        <v>-1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209</v>
      </c>
      <c r="F190" s="4">
        <f>ROUND(Source!W166,O190)</f>
        <v>0</v>
      </c>
      <c r="G190" s="4" t="s">
        <v>112</v>
      </c>
      <c r="H190" s="4" t="s">
        <v>113</v>
      </c>
      <c r="I190" s="4"/>
      <c r="J190" s="4"/>
      <c r="K190" s="4">
        <v>209</v>
      </c>
      <c r="L190" s="4">
        <v>23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210</v>
      </c>
      <c r="F191" s="4">
        <f>ROUND(Source!X166,O191)</f>
        <v>97540.88</v>
      </c>
      <c r="G191" s="4" t="s">
        <v>114</v>
      </c>
      <c r="H191" s="4" t="s">
        <v>115</v>
      </c>
      <c r="I191" s="4"/>
      <c r="J191" s="4"/>
      <c r="K191" s="4">
        <v>210</v>
      </c>
      <c r="L191" s="4">
        <v>24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211</v>
      </c>
      <c r="F192" s="4">
        <f>ROUND(Source!Y166,O192)</f>
        <v>13934.41</v>
      </c>
      <c r="G192" s="4" t="s">
        <v>116</v>
      </c>
      <c r="H192" s="4" t="s">
        <v>117</v>
      </c>
      <c r="I192" s="4"/>
      <c r="J192" s="4"/>
      <c r="K192" s="4">
        <v>211</v>
      </c>
      <c r="L192" s="4">
        <v>25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06" x14ac:dyDescent="0.2">
      <c r="A193" s="4">
        <v>50</v>
      </c>
      <c r="B193" s="4">
        <v>0</v>
      </c>
      <c r="C193" s="4">
        <v>0</v>
      </c>
      <c r="D193" s="4">
        <v>1</v>
      </c>
      <c r="E193" s="4">
        <v>224</v>
      </c>
      <c r="F193" s="4">
        <f>ROUND(Source!AR166,O193)</f>
        <v>3799681.45</v>
      </c>
      <c r="G193" s="4" t="s">
        <v>118</v>
      </c>
      <c r="H193" s="4" t="s">
        <v>119</v>
      </c>
      <c r="I193" s="4"/>
      <c r="J193" s="4"/>
      <c r="K193" s="4">
        <v>224</v>
      </c>
      <c r="L193" s="4">
        <v>26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06" x14ac:dyDescent="0.2">
      <c r="A194" s="4">
        <v>50</v>
      </c>
      <c r="B194" s="4">
        <v>1</v>
      </c>
      <c r="C194" s="4">
        <v>0</v>
      </c>
      <c r="D194" s="4">
        <v>2</v>
      </c>
      <c r="E194" s="4">
        <v>0</v>
      </c>
      <c r="F194" s="4">
        <f>F193*0.2</f>
        <v>759936.29</v>
      </c>
      <c r="G194" s="4" t="s">
        <v>120</v>
      </c>
      <c r="H194" s="4" t="s">
        <v>121</v>
      </c>
      <c r="I194" s="4"/>
      <c r="J194" s="4"/>
      <c r="K194" s="4">
        <v>212</v>
      </c>
      <c r="L194" s="4">
        <v>27</v>
      </c>
      <c r="M194" s="4">
        <v>0</v>
      </c>
      <c r="N194" s="4" t="s">
        <v>3</v>
      </c>
      <c r="O194" s="4">
        <v>-1</v>
      </c>
      <c r="P194" s="4"/>
      <c r="Q194" s="4"/>
      <c r="R194" s="4"/>
      <c r="S194" s="4"/>
      <c r="T194" s="4"/>
      <c r="U194" s="4"/>
      <c r="V194" s="4"/>
      <c r="W194" s="4"/>
    </row>
    <row r="195" spans="1:206" x14ac:dyDescent="0.2">
      <c r="A195" s="4">
        <v>50</v>
      </c>
      <c r="B195" s="4">
        <v>1</v>
      </c>
      <c r="C195" s="4">
        <v>0</v>
      </c>
      <c r="D195" s="4">
        <v>2</v>
      </c>
      <c r="E195" s="4">
        <v>0</v>
      </c>
      <c r="F195" s="4">
        <f>F193+F194</f>
        <v>4559617.74</v>
      </c>
      <c r="G195" s="4" t="s">
        <v>122</v>
      </c>
      <c r="H195" s="4" t="s">
        <v>123</v>
      </c>
      <c r="I195" s="4"/>
      <c r="J195" s="4"/>
      <c r="K195" s="4">
        <v>212</v>
      </c>
      <c r="L195" s="4">
        <v>28</v>
      </c>
      <c r="M195" s="4">
        <v>0</v>
      </c>
      <c r="N195" s="4" t="s">
        <v>3</v>
      </c>
      <c r="O195" s="4">
        <v>-1</v>
      </c>
      <c r="P195" s="4"/>
      <c r="Q195" s="4"/>
      <c r="R195" s="4"/>
      <c r="S195" s="4"/>
      <c r="T195" s="4"/>
      <c r="U195" s="4"/>
      <c r="V195" s="4"/>
      <c r="W195" s="4"/>
    </row>
    <row r="197" spans="1:206" x14ac:dyDescent="0.2">
      <c r="A197" s="2">
        <v>51</v>
      </c>
      <c r="B197" s="2">
        <f>B12</f>
        <v>229</v>
      </c>
      <c r="C197" s="2">
        <f>A12</f>
        <v>1</v>
      </c>
      <c r="D197" s="2">
        <f>ROW(A12)</f>
        <v>12</v>
      </c>
      <c r="E197" s="2"/>
      <c r="F197" s="2" t="str">
        <f>IF(F12&lt;&gt;"",F12,"")</f>
        <v>Новый объект_(Копия)</v>
      </c>
      <c r="G197" s="2" t="str">
        <f>IF(G12&lt;&gt;"",G12,"")</f>
        <v>3 площадки Общая смета испр.</v>
      </c>
      <c r="H197" s="2">
        <v>0</v>
      </c>
      <c r="I197" s="2"/>
      <c r="J197" s="2"/>
      <c r="K197" s="2"/>
      <c r="L197" s="2"/>
      <c r="M197" s="2"/>
      <c r="N197" s="2"/>
      <c r="O197" s="2">
        <f t="shared" ref="O197:T197" si="163">ROUND(O166,2)</f>
        <v>3620121.71</v>
      </c>
      <c r="P197" s="2">
        <f t="shared" si="163"/>
        <v>3319302.27</v>
      </c>
      <c r="Q197" s="2">
        <f t="shared" si="163"/>
        <v>161475.32999999999</v>
      </c>
      <c r="R197" s="2">
        <f t="shared" si="163"/>
        <v>106081.57</v>
      </c>
      <c r="S197" s="2">
        <f t="shared" si="163"/>
        <v>139344.10999999999</v>
      </c>
      <c r="T197" s="2">
        <f t="shared" si="163"/>
        <v>0</v>
      </c>
      <c r="U197" s="2">
        <f>U166</f>
        <v>680.71372353800007</v>
      </c>
      <c r="V197" s="2">
        <f>V166</f>
        <v>0</v>
      </c>
      <c r="W197" s="2">
        <f>ROUND(W166,2)</f>
        <v>0</v>
      </c>
      <c r="X197" s="2">
        <f>ROUND(X166,2)</f>
        <v>97540.88</v>
      </c>
      <c r="Y197" s="2">
        <f>ROUND(Y166,2)</f>
        <v>13934.41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>
        <f t="shared" ref="AO197:BC197" si="164">ROUND(AO166,2)</f>
        <v>0</v>
      </c>
      <c r="AP197" s="2">
        <f t="shared" si="164"/>
        <v>0</v>
      </c>
      <c r="AQ197" s="2">
        <f t="shared" si="164"/>
        <v>0</v>
      </c>
      <c r="AR197" s="2">
        <f t="shared" si="164"/>
        <v>3799681.45</v>
      </c>
      <c r="AS197" s="2">
        <f t="shared" si="164"/>
        <v>0</v>
      </c>
      <c r="AT197" s="2">
        <f t="shared" si="164"/>
        <v>0</v>
      </c>
      <c r="AU197" s="2">
        <f t="shared" si="164"/>
        <v>3799681.45</v>
      </c>
      <c r="AV197" s="2">
        <f t="shared" si="164"/>
        <v>3319302.27</v>
      </c>
      <c r="AW197" s="2">
        <f t="shared" si="164"/>
        <v>3319302.27</v>
      </c>
      <c r="AX197" s="2">
        <f t="shared" si="164"/>
        <v>0</v>
      </c>
      <c r="AY197" s="2">
        <f t="shared" si="164"/>
        <v>3319302.27</v>
      </c>
      <c r="AZ197" s="2">
        <f t="shared" si="164"/>
        <v>0</v>
      </c>
      <c r="BA197" s="2">
        <f t="shared" si="164"/>
        <v>0</v>
      </c>
      <c r="BB197" s="2">
        <f t="shared" si="164"/>
        <v>0</v>
      </c>
      <c r="BC197" s="2">
        <f t="shared" si="164"/>
        <v>0</v>
      </c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>
        <v>0</v>
      </c>
    </row>
    <row r="199" spans="1:206" x14ac:dyDescent="0.2">
      <c r="A199" s="4">
        <v>50</v>
      </c>
      <c r="B199" s="4">
        <v>0</v>
      </c>
      <c r="C199" s="4">
        <v>0</v>
      </c>
      <c r="D199" s="4">
        <v>1</v>
      </c>
      <c r="E199" s="4">
        <v>201</v>
      </c>
      <c r="F199" s="4">
        <f>ROUND(Source!O197,O199)</f>
        <v>3620121.71</v>
      </c>
      <c r="G199" s="4" t="s">
        <v>68</v>
      </c>
      <c r="H199" s="4" t="s">
        <v>69</v>
      </c>
      <c r="I199" s="4"/>
      <c r="J199" s="4"/>
      <c r="K199" s="4">
        <v>201</v>
      </c>
      <c r="L199" s="4">
        <v>1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06" x14ac:dyDescent="0.2">
      <c r="A200" s="4">
        <v>50</v>
      </c>
      <c r="B200" s="4">
        <v>0</v>
      </c>
      <c r="C200" s="4">
        <v>0</v>
      </c>
      <c r="D200" s="4">
        <v>1</v>
      </c>
      <c r="E200" s="4">
        <v>202</v>
      </c>
      <c r="F200" s="4">
        <f>ROUND(Source!P197,O200)</f>
        <v>3319302.27</v>
      </c>
      <c r="G200" s="4" t="s">
        <v>70</v>
      </c>
      <c r="H200" s="4" t="s">
        <v>71</v>
      </c>
      <c r="I200" s="4"/>
      <c r="J200" s="4"/>
      <c r="K200" s="4">
        <v>202</v>
      </c>
      <c r="L200" s="4">
        <v>2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06" x14ac:dyDescent="0.2">
      <c r="A201" s="4">
        <v>50</v>
      </c>
      <c r="B201" s="4">
        <v>0</v>
      </c>
      <c r="C201" s="4">
        <v>0</v>
      </c>
      <c r="D201" s="4">
        <v>1</v>
      </c>
      <c r="E201" s="4">
        <v>222</v>
      </c>
      <c r="F201" s="4">
        <f>ROUND(Source!AO197,O201)</f>
        <v>0</v>
      </c>
      <c r="G201" s="4" t="s">
        <v>72</v>
      </c>
      <c r="H201" s="4" t="s">
        <v>73</v>
      </c>
      <c r="I201" s="4"/>
      <c r="J201" s="4"/>
      <c r="K201" s="4">
        <v>222</v>
      </c>
      <c r="L201" s="4">
        <v>3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06" x14ac:dyDescent="0.2">
      <c r="A202" s="4">
        <v>50</v>
      </c>
      <c r="B202" s="4">
        <v>0</v>
      </c>
      <c r="C202" s="4">
        <v>0</v>
      </c>
      <c r="D202" s="4">
        <v>1</v>
      </c>
      <c r="E202" s="4">
        <v>225</v>
      </c>
      <c r="F202" s="4">
        <f>ROUND(Source!AV197,O202)</f>
        <v>3319302.27</v>
      </c>
      <c r="G202" s="4" t="s">
        <v>74</v>
      </c>
      <c r="H202" s="4" t="s">
        <v>75</v>
      </c>
      <c r="I202" s="4"/>
      <c r="J202" s="4"/>
      <c r="K202" s="4">
        <v>225</v>
      </c>
      <c r="L202" s="4">
        <v>4</v>
      </c>
      <c r="M202" s="4">
        <v>3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06" x14ac:dyDescent="0.2">
      <c r="A203" s="4">
        <v>50</v>
      </c>
      <c r="B203" s="4">
        <v>0</v>
      </c>
      <c r="C203" s="4">
        <v>0</v>
      </c>
      <c r="D203" s="4">
        <v>1</v>
      </c>
      <c r="E203" s="4">
        <v>226</v>
      </c>
      <c r="F203" s="4">
        <f>ROUND(Source!AW197,O203)</f>
        <v>3319302.27</v>
      </c>
      <c r="G203" s="4" t="s">
        <v>76</v>
      </c>
      <c r="H203" s="4" t="s">
        <v>77</v>
      </c>
      <c r="I203" s="4"/>
      <c r="J203" s="4"/>
      <c r="K203" s="4">
        <v>226</v>
      </c>
      <c r="L203" s="4">
        <v>5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06" x14ac:dyDescent="0.2">
      <c r="A204" s="4">
        <v>50</v>
      </c>
      <c r="B204" s="4">
        <v>0</v>
      </c>
      <c r="C204" s="4">
        <v>0</v>
      </c>
      <c r="D204" s="4">
        <v>1</v>
      </c>
      <c r="E204" s="4">
        <v>227</v>
      </c>
      <c r="F204" s="4">
        <f>ROUND(Source!AX197,O204)</f>
        <v>0</v>
      </c>
      <c r="G204" s="4" t="s">
        <v>78</v>
      </c>
      <c r="H204" s="4" t="s">
        <v>79</v>
      </c>
      <c r="I204" s="4"/>
      <c r="J204" s="4"/>
      <c r="K204" s="4">
        <v>227</v>
      </c>
      <c r="L204" s="4">
        <v>6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06" x14ac:dyDescent="0.2">
      <c r="A205" s="4">
        <v>50</v>
      </c>
      <c r="B205" s="4">
        <v>0</v>
      </c>
      <c r="C205" s="4">
        <v>0</v>
      </c>
      <c r="D205" s="4">
        <v>1</v>
      </c>
      <c r="E205" s="4">
        <v>228</v>
      </c>
      <c r="F205" s="4">
        <f>ROUND(Source!AY197,O205)</f>
        <v>3319302.27</v>
      </c>
      <c r="G205" s="4" t="s">
        <v>80</v>
      </c>
      <c r="H205" s="4" t="s">
        <v>81</v>
      </c>
      <c r="I205" s="4"/>
      <c r="J205" s="4"/>
      <c r="K205" s="4">
        <v>228</v>
      </c>
      <c r="L205" s="4">
        <v>7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06" x14ac:dyDescent="0.2">
      <c r="A206" s="4">
        <v>50</v>
      </c>
      <c r="B206" s="4">
        <v>0</v>
      </c>
      <c r="C206" s="4">
        <v>0</v>
      </c>
      <c r="D206" s="4">
        <v>1</v>
      </c>
      <c r="E206" s="4">
        <v>216</v>
      </c>
      <c r="F206" s="4">
        <f>ROUND(Source!AP197,O206)</f>
        <v>0</v>
      </c>
      <c r="G206" s="4" t="s">
        <v>82</v>
      </c>
      <c r="H206" s="4" t="s">
        <v>83</v>
      </c>
      <c r="I206" s="4"/>
      <c r="J206" s="4"/>
      <c r="K206" s="4">
        <v>216</v>
      </c>
      <c r="L206" s="4">
        <v>8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06" x14ac:dyDescent="0.2">
      <c r="A207" s="4">
        <v>50</v>
      </c>
      <c r="B207" s="4">
        <v>0</v>
      </c>
      <c r="C207" s="4">
        <v>0</v>
      </c>
      <c r="D207" s="4">
        <v>1</v>
      </c>
      <c r="E207" s="4">
        <v>223</v>
      </c>
      <c r="F207" s="4">
        <f>ROUND(Source!AQ197,O207)</f>
        <v>0</v>
      </c>
      <c r="G207" s="4" t="s">
        <v>84</v>
      </c>
      <c r="H207" s="4" t="s">
        <v>85</v>
      </c>
      <c r="I207" s="4"/>
      <c r="J207" s="4"/>
      <c r="K207" s="4">
        <v>223</v>
      </c>
      <c r="L207" s="4">
        <v>9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06" x14ac:dyDescent="0.2">
      <c r="A208" s="4">
        <v>50</v>
      </c>
      <c r="B208" s="4">
        <v>0</v>
      </c>
      <c r="C208" s="4">
        <v>0</v>
      </c>
      <c r="D208" s="4">
        <v>1</v>
      </c>
      <c r="E208" s="4">
        <v>229</v>
      </c>
      <c r="F208" s="4">
        <f>ROUND(Source!AZ197,O208)</f>
        <v>0</v>
      </c>
      <c r="G208" s="4" t="s">
        <v>86</v>
      </c>
      <c r="H208" s="4" t="s">
        <v>87</v>
      </c>
      <c r="I208" s="4"/>
      <c r="J208" s="4"/>
      <c r="K208" s="4">
        <v>229</v>
      </c>
      <c r="L208" s="4">
        <v>10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>
        <v>50</v>
      </c>
      <c r="B209" s="4">
        <v>0</v>
      </c>
      <c r="C209" s="4">
        <v>0</v>
      </c>
      <c r="D209" s="4">
        <v>1</v>
      </c>
      <c r="E209" s="4">
        <v>203</v>
      </c>
      <c r="F209" s="4">
        <f>ROUND(Source!Q197,O209)</f>
        <v>161475.32999999999</v>
      </c>
      <c r="G209" s="4" t="s">
        <v>88</v>
      </c>
      <c r="H209" s="4" t="s">
        <v>89</v>
      </c>
      <c r="I209" s="4"/>
      <c r="J209" s="4"/>
      <c r="K209" s="4">
        <v>203</v>
      </c>
      <c r="L209" s="4">
        <v>11</v>
      </c>
      <c r="M209" s="4">
        <v>3</v>
      </c>
      <c r="N209" s="4" t="s">
        <v>3</v>
      </c>
      <c r="O209" s="4">
        <v>2</v>
      </c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>
        <v>50</v>
      </c>
      <c r="B210" s="4">
        <v>0</v>
      </c>
      <c r="C210" s="4">
        <v>0</v>
      </c>
      <c r="D210" s="4">
        <v>1</v>
      </c>
      <c r="E210" s="4">
        <v>231</v>
      </c>
      <c r="F210" s="4">
        <f>ROUND(Source!BB197,O210)</f>
        <v>0</v>
      </c>
      <c r="G210" s="4" t="s">
        <v>90</v>
      </c>
      <c r="H210" s="4" t="s">
        <v>91</v>
      </c>
      <c r="I210" s="4"/>
      <c r="J210" s="4"/>
      <c r="K210" s="4">
        <v>231</v>
      </c>
      <c r="L210" s="4">
        <v>12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>
        <v>50</v>
      </c>
      <c r="B211" s="4">
        <v>0</v>
      </c>
      <c r="C211" s="4">
        <v>0</v>
      </c>
      <c r="D211" s="4">
        <v>1</v>
      </c>
      <c r="E211" s="4">
        <v>204</v>
      </c>
      <c r="F211" s="4">
        <f>ROUND(Source!R197,O211)</f>
        <v>106081.57</v>
      </c>
      <c r="G211" s="4" t="s">
        <v>92</v>
      </c>
      <c r="H211" s="4" t="s">
        <v>93</v>
      </c>
      <c r="I211" s="4"/>
      <c r="J211" s="4"/>
      <c r="K211" s="4">
        <v>204</v>
      </c>
      <c r="L211" s="4">
        <v>13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>
        <v>50</v>
      </c>
      <c r="B212" s="4">
        <v>0</v>
      </c>
      <c r="C212" s="4">
        <v>0</v>
      </c>
      <c r="D212" s="4">
        <v>1</v>
      </c>
      <c r="E212" s="4">
        <v>205</v>
      </c>
      <c r="F212" s="4">
        <f>ROUND(Source!S197,O212)</f>
        <v>139344.10999999999</v>
      </c>
      <c r="G212" s="4" t="s">
        <v>94</v>
      </c>
      <c r="H212" s="4" t="s">
        <v>95</v>
      </c>
      <c r="I212" s="4"/>
      <c r="J212" s="4"/>
      <c r="K212" s="4">
        <v>205</v>
      </c>
      <c r="L212" s="4">
        <v>14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>
        <v>50</v>
      </c>
      <c r="B213" s="4">
        <v>0</v>
      </c>
      <c r="C213" s="4">
        <v>0</v>
      </c>
      <c r="D213" s="4">
        <v>1</v>
      </c>
      <c r="E213" s="4">
        <v>232</v>
      </c>
      <c r="F213" s="4">
        <f>ROUND(Source!BC197,O213)</f>
        <v>0</v>
      </c>
      <c r="G213" s="4" t="s">
        <v>96</v>
      </c>
      <c r="H213" s="4" t="s">
        <v>97</v>
      </c>
      <c r="I213" s="4"/>
      <c r="J213" s="4"/>
      <c r="K213" s="4">
        <v>232</v>
      </c>
      <c r="L213" s="4">
        <v>15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>
        <v>50</v>
      </c>
      <c r="B214" s="4">
        <v>0</v>
      </c>
      <c r="C214" s="4">
        <v>0</v>
      </c>
      <c r="D214" s="4">
        <v>1</v>
      </c>
      <c r="E214" s="4">
        <v>214</v>
      </c>
      <c r="F214" s="4">
        <f>ROUND(Source!AS197,O214)</f>
        <v>0</v>
      </c>
      <c r="G214" s="4" t="s">
        <v>98</v>
      </c>
      <c r="H214" s="4" t="s">
        <v>99</v>
      </c>
      <c r="I214" s="4"/>
      <c r="J214" s="4"/>
      <c r="K214" s="4">
        <v>214</v>
      </c>
      <c r="L214" s="4">
        <v>16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>
        <v>50</v>
      </c>
      <c r="B215" s="4">
        <v>0</v>
      </c>
      <c r="C215" s="4">
        <v>0</v>
      </c>
      <c r="D215" s="4">
        <v>1</v>
      </c>
      <c r="E215" s="4">
        <v>215</v>
      </c>
      <c r="F215" s="4">
        <f>ROUND(Source!AT197,O215)</f>
        <v>0</v>
      </c>
      <c r="G215" s="4" t="s">
        <v>100</v>
      </c>
      <c r="H215" s="4" t="s">
        <v>101</v>
      </c>
      <c r="I215" s="4"/>
      <c r="J215" s="4"/>
      <c r="K215" s="4">
        <v>215</v>
      </c>
      <c r="L215" s="4">
        <v>17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>
        <v>50</v>
      </c>
      <c r="B216" s="4">
        <v>0</v>
      </c>
      <c r="C216" s="4">
        <v>0</v>
      </c>
      <c r="D216" s="4">
        <v>1</v>
      </c>
      <c r="E216" s="4">
        <v>217</v>
      </c>
      <c r="F216" s="4">
        <f>ROUND(Source!AU197,O216)</f>
        <v>3799681.45</v>
      </c>
      <c r="G216" s="4" t="s">
        <v>102</v>
      </c>
      <c r="H216" s="4" t="s">
        <v>103</v>
      </c>
      <c r="I216" s="4"/>
      <c r="J216" s="4"/>
      <c r="K216" s="4">
        <v>217</v>
      </c>
      <c r="L216" s="4">
        <v>18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>
        <v>50</v>
      </c>
      <c r="B217" s="4">
        <v>0</v>
      </c>
      <c r="C217" s="4">
        <v>0</v>
      </c>
      <c r="D217" s="4">
        <v>1</v>
      </c>
      <c r="E217" s="4">
        <v>230</v>
      </c>
      <c r="F217" s="4">
        <f>ROUND(Source!BA197,O217)</f>
        <v>0</v>
      </c>
      <c r="G217" s="4" t="s">
        <v>104</v>
      </c>
      <c r="H217" s="4" t="s">
        <v>105</v>
      </c>
      <c r="I217" s="4"/>
      <c r="J217" s="4"/>
      <c r="K217" s="4">
        <v>230</v>
      </c>
      <c r="L217" s="4">
        <v>19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>
        <v>50</v>
      </c>
      <c r="B218" s="4">
        <v>0</v>
      </c>
      <c r="C218" s="4">
        <v>0</v>
      </c>
      <c r="D218" s="4">
        <v>1</v>
      </c>
      <c r="E218" s="4">
        <v>206</v>
      </c>
      <c r="F218" s="4">
        <f>ROUND(Source!T197,O218)</f>
        <v>0</v>
      </c>
      <c r="G218" s="4" t="s">
        <v>106</v>
      </c>
      <c r="H218" s="4" t="s">
        <v>107</v>
      </c>
      <c r="I218" s="4"/>
      <c r="J218" s="4"/>
      <c r="K218" s="4">
        <v>206</v>
      </c>
      <c r="L218" s="4">
        <v>20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>
        <v>50</v>
      </c>
      <c r="B219" s="4">
        <v>0</v>
      </c>
      <c r="C219" s="4">
        <v>0</v>
      </c>
      <c r="D219" s="4">
        <v>1</v>
      </c>
      <c r="E219" s="4">
        <v>207</v>
      </c>
      <c r="F219" s="4">
        <f>Source!U197</f>
        <v>680.71372353800007</v>
      </c>
      <c r="G219" s="4" t="s">
        <v>108</v>
      </c>
      <c r="H219" s="4" t="s">
        <v>109</v>
      </c>
      <c r="I219" s="4"/>
      <c r="J219" s="4"/>
      <c r="K219" s="4">
        <v>207</v>
      </c>
      <c r="L219" s="4">
        <v>21</v>
      </c>
      <c r="M219" s="4">
        <v>3</v>
      </c>
      <c r="N219" s="4" t="s">
        <v>3</v>
      </c>
      <c r="O219" s="4">
        <v>-1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>
        <v>50</v>
      </c>
      <c r="B220" s="4">
        <v>0</v>
      </c>
      <c r="C220" s="4">
        <v>0</v>
      </c>
      <c r="D220" s="4">
        <v>1</v>
      </c>
      <c r="E220" s="4">
        <v>208</v>
      </c>
      <c r="F220" s="4">
        <f>Source!V197</f>
        <v>0</v>
      </c>
      <c r="G220" s="4" t="s">
        <v>110</v>
      </c>
      <c r="H220" s="4" t="s">
        <v>111</v>
      </c>
      <c r="I220" s="4"/>
      <c r="J220" s="4"/>
      <c r="K220" s="4">
        <v>208</v>
      </c>
      <c r="L220" s="4">
        <v>22</v>
      </c>
      <c r="M220" s="4">
        <v>3</v>
      </c>
      <c r="N220" s="4" t="s">
        <v>3</v>
      </c>
      <c r="O220" s="4">
        <v>-1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>
        <v>50</v>
      </c>
      <c r="B221" s="4">
        <v>0</v>
      </c>
      <c r="C221" s="4">
        <v>0</v>
      </c>
      <c r="D221" s="4">
        <v>1</v>
      </c>
      <c r="E221" s="4">
        <v>209</v>
      </c>
      <c r="F221" s="4">
        <f>ROUND(Source!W197,O221)</f>
        <v>0</v>
      </c>
      <c r="G221" s="4" t="s">
        <v>112</v>
      </c>
      <c r="H221" s="4" t="s">
        <v>113</v>
      </c>
      <c r="I221" s="4"/>
      <c r="J221" s="4"/>
      <c r="K221" s="4">
        <v>209</v>
      </c>
      <c r="L221" s="4">
        <v>23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>
        <v>50</v>
      </c>
      <c r="B222" s="4">
        <v>0</v>
      </c>
      <c r="C222" s="4">
        <v>0</v>
      </c>
      <c r="D222" s="4">
        <v>1</v>
      </c>
      <c r="E222" s="4">
        <v>210</v>
      </c>
      <c r="F222" s="4">
        <f>ROUND(Source!X197,O222)</f>
        <v>97540.88</v>
      </c>
      <c r="G222" s="4" t="s">
        <v>114</v>
      </c>
      <c r="H222" s="4" t="s">
        <v>115</v>
      </c>
      <c r="I222" s="4"/>
      <c r="J222" s="4"/>
      <c r="K222" s="4">
        <v>210</v>
      </c>
      <c r="L222" s="4">
        <v>24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>
        <v>50</v>
      </c>
      <c r="B223" s="4">
        <v>0</v>
      </c>
      <c r="C223" s="4">
        <v>0</v>
      </c>
      <c r="D223" s="4">
        <v>1</v>
      </c>
      <c r="E223" s="4">
        <v>211</v>
      </c>
      <c r="F223" s="4">
        <f>ROUND(Source!Y197,O223)</f>
        <v>13934.41</v>
      </c>
      <c r="G223" s="4" t="s">
        <v>116</v>
      </c>
      <c r="H223" s="4" t="s">
        <v>117</v>
      </c>
      <c r="I223" s="4"/>
      <c r="J223" s="4"/>
      <c r="K223" s="4">
        <v>211</v>
      </c>
      <c r="L223" s="4">
        <v>25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>
        <v>50</v>
      </c>
      <c r="B224" s="4">
        <v>0</v>
      </c>
      <c r="C224" s="4">
        <v>0</v>
      </c>
      <c r="D224" s="4">
        <v>1</v>
      </c>
      <c r="E224" s="4">
        <v>224</v>
      </c>
      <c r="F224" s="4">
        <f>ROUND(Source!AR197,O224)</f>
        <v>3799681.45</v>
      </c>
      <c r="G224" s="4" t="s">
        <v>118</v>
      </c>
      <c r="H224" s="4" t="s">
        <v>119</v>
      </c>
      <c r="I224" s="4"/>
      <c r="J224" s="4"/>
      <c r="K224" s="4">
        <v>224</v>
      </c>
      <c r="L224" s="4">
        <v>26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7" spans="1:15" x14ac:dyDescent="0.2">
      <c r="A227">
        <v>-1</v>
      </c>
    </row>
    <row r="229" spans="1:15" x14ac:dyDescent="0.2">
      <c r="A229" s="3">
        <v>75</v>
      </c>
      <c r="B229" s="3" t="s">
        <v>160</v>
      </c>
      <c r="C229" s="3">
        <v>2020</v>
      </c>
      <c r="D229" s="3">
        <v>0</v>
      </c>
      <c r="E229" s="3">
        <v>10</v>
      </c>
      <c r="F229" s="3">
        <v>0</v>
      </c>
      <c r="G229" s="3">
        <v>0</v>
      </c>
      <c r="H229" s="3">
        <v>1</v>
      </c>
      <c r="I229" s="3">
        <v>0</v>
      </c>
      <c r="J229" s="3">
        <v>1</v>
      </c>
      <c r="K229" s="3">
        <v>78</v>
      </c>
      <c r="L229" s="3">
        <v>30</v>
      </c>
      <c r="M229" s="3">
        <v>0</v>
      </c>
      <c r="N229" s="3">
        <v>15805332</v>
      </c>
      <c r="O229" s="3">
        <v>1</v>
      </c>
    </row>
    <row r="233" spans="1:15" x14ac:dyDescent="0.2">
      <c r="A233">
        <v>65</v>
      </c>
      <c r="C233">
        <v>1</v>
      </c>
      <c r="D233">
        <v>0</v>
      </c>
      <c r="E233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5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161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19326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50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2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15805332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12</v>
      </c>
      <c r="D16" s="5" t="s">
        <v>12</v>
      </c>
      <c r="E16" s="6">
        <f>(Source!F183)/1000</f>
        <v>0</v>
      </c>
      <c r="F16" s="6">
        <f>(Source!F184)/1000</f>
        <v>0</v>
      </c>
      <c r="G16" s="6">
        <f>(Source!F175)/1000</f>
        <v>0</v>
      </c>
      <c r="H16" s="6">
        <f>(Source!F185)/1000+(Source!F186)/1000</f>
        <v>3799.68145</v>
      </c>
      <c r="I16" s="6">
        <f>E16+F16+G16+H16</f>
        <v>3799.68145</v>
      </c>
      <c r="J16" s="6">
        <f>(Source!F181)/1000</f>
        <v>139.34410999999997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3620118.99</v>
      </c>
      <c r="AU16" s="6">
        <v>3319302.27</v>
      </c>
      <c r="AV16" s="6">
        <v>0</v>
      </c>
      <c r="AW16" s="6">
        <v>0</v>
      </c>
      <c r="AX16" s="6">
        <v>0</v>
      </c>
      <c r="AY16" s="6">
        <v>161472.63</v>
      </c>
      <c r="AZ16" s="6">
        <v>106080.12</v>
      </c>
      <c r="BA16" s="6">
        <v>139344.09</v>
      </c>
      <c r="BB16" s="6">
        <v>0</v>
      </c>
      <c r="BC16" s="6">
        <v>0</v>
      </c>
      <c r="BD16" s="6">
        <v>3799678.68</v>
      </c>
      <c r="BE16" s="6">
        <v>0</v>
      </c>
      <c r="BF16" s="6">
        <v>680.71353800000009</v>
      </c>
      <c r="BG16" s="6">
        <v>0</v>
      </c>
      <c r="BH16" s="6">
        <v>0</v>
      </c>
      <c r="BI16" s="6">
        <v>97540.87</v>
      </c>
      <c r="BJ16" s="6">
        <v>13934.41</v>
      </c>
      <c r="BK16" s="6">
        <v>3799678.68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3799.68145</v>
      </c>
      <c r="I18" s="7">
        <f>SUMIF(A16:A17,3,I16:I17)</f>
        <v>3799.68145</v>
      </c>
      <c r="J18" s="7">
        <f>SUMIF(A16:A17,3,J16:J17)</f>
        <v>139.34410999999997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3620118.99</v>
      </c>
      <c r="G20" s="4" t="s">
        <v>68</v>
      </c>
      <c r="H20" s="4" t="s">
        <v>69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3319302.27</v>
      </c>
      <c r="G21" s="4" t="s">
        <v>70</v>
      </c>
      <c r="H21" s="4" t="s">
        <v>71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72</v>
      </c>
      <c r="H22" s="4" t="s">
        <v>73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3319302.27</v>
      </c>
      <c r="G23" s="4" t="s">
        <v>74</v>
      </c>
      <c r="H23" s="4" t="s">
        <v>75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3319302.27</v>
      </c>
      <c r="G24" s="4" t="s">
        <v>76</v>
      </c>
      <c r="H24" s="4" t="s">
        <v>77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78</v>
      </c>
      <c r="H25" s="4" t="s">
        <v>79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3319302.27</v>
      </c>
      <c r="G26" s="4" t="s">
        <v>80</v>
      </c>
      <c r="H26" s="4" t="s">
        <v>81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82</v>
      </c>
      <c r="H27" s="4" t="s">
        <v>83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84</v>
      </c>
      <c r="H28" s="4" t="s">
        <v>85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86</v>
      </c>
      <c r="H29" s="4" t="s">
        <v>87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161472.63</v>
      </c>
      <c r="G30" s="4" t="s">
        <v>88</v>
      </c>
      <c r="H30" s="4" t="s">
        <v>89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90</v>
      </c>
      <c r="H31" s="4" t="s">
        <v>91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106080.12</v>
      </c>
      <c r="G32" s="4" t="s">
        <v>92</v>
      </c>
      <c r="H32" s="4" t="s">
        <v>93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139344.09</v>
      </c>
      <c r="G33" s="4" t="s">
        <v>94</v>
      </c>
      <c r="H33" s="4" t="s">
        <v>95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96</v>
      </c>
      <c r="H34" s="4" t="s">
        <v>97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98</v>
      </c>
      <c r="H35" s="4" t="s">
        <v>99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100</v>
      </c>
      <c r="H36" s="4" t="s">
        <v>101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3799678.68</v>
      </c>
      <c r="G37" s="4" t="s">
        <v>102</v>
      </c>
      <c r="H37" s="4" t="s">
        <v>103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104</v>
      </c>
      <c r="H38" s="4" t="s">
        <v>105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106</v>
      </c>
      <c r="H39" s="4" t="s">
        <v>107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680.71353800000009</v>
      </c>
      <c r="G40" s="4" t="s">
        <v>108</v>
      </c>
      <c r="H40" s="4" t="s">
        <v>109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110</v>
      </c>
      <c r="H41" s="4" t="s">
        <v>111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112</v>
      </c>
      <c r="H42" s="4" t="s">
        <v>113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97540.87</v>
      </c>
      <c r="G43" s="4" t="s">
        <v>114</v>
      </c>
      <c r="H43" s="4" t="s">
        <v>115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13934.41</v>
      </c>
      <c r="G44" s="4" t="s">
        <v>116</v>
      </c>
      <c r="H44" s="4" t="s">
        <v>117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3799678.68</v>
      </c>
      <c r="G45" s="4" t="s">
        <v>118</v>
      </c>
      <c r="H45" s="4" t="s">
        <v>119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7" spans="1:16" x14ac:dyDescent="0.2">
      <c r="A47">
        <v>-1</v>
      </c>
    </row>
    <row r="50" spans="1:15" x14ac:dyDescent="0.2">
      <c r="A50" s="3">
        <v>75</v>
      </c>
      <c r="B50" s="3" t="s">
        <v>160</v>
      </c>
      <c r="C50" s="3">
        <v>2020</v>
      </c>
      <c r="D50" s="3">
        <v>0</v>
      </c>
      <c r="E50" s="3">
        <v>10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78</v>
      </c>
      <c r="L50" s="3">
        <v>30</v>
      </c>
      <c r="M50" s="3">
        <v>0</v>
      </c>
      <c r="N50" s="3">
        <v>15805332</v>
      </c>
      <c r="O50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78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15805332</v>
      </c>
      <c r="C1">
        <v>15805561</v>
      </c>
      <c r="D1">
        <v>14422539</v>
      </c>
      <c r="E1">
        <v>27</v>
      </c>
      <c r="F1">
        <v>1</v>
      </c>
      <c r="G1">
        <v>27</v>
      </c>
      <c r="H1">
        <v>1</v>
      </c>
      <c r="I1" t="s">
        <v>162</v>
      </c>
      <c r="J1" t="s">
        <v>3</v>
      </c>
      <c r="K1" t="s">
        <v>163</v>
      </c>
      <c r="L1">
        <v>1191</v>
      </c>
      <c r="N1">
        <v>1013</v>
      </c>
      <c r="O1" t="s">
        <v>164</v>
      </c>
      <c r="P1" t="s">
        <v>164</v>
      </c>
      <c r="Q1">
        <v>1</v>
      </c>
      <c r="W1">
        <v>0</v>
      </c>
      <c r="X1">
        <v>476480486</v>
      </c>
      <c r="Y1">
        <v>3.3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3.3</v>
      </c>
      <c r="AU1" t="s">
        <v>3</v>
      </c>
      <c r="AV1">
        <v>1</v>
      </c>
      <c r="AW1">
        <v>2</v>
      </c>
      <c r="AX1">
        <v>15805563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11.6523</v>
      </c>
      <c r="CY1">
        <f>AD1</f>
        <v>0</v>
      </c>
      <c r="CZ1">
        <f>AH1</f>
        <v>0</v>
      </c>
      <c r="DA1">
        <f>AL1</f>
        <v>1</v>
      </c>
      <c r="DB1">
        <f t="shared" ref="DB1:DB11" si="0">ROUND(ROUND(AT1*CZ1,2),6)</f>
        <v>0</v>
      </c>
      <c r="DC1">
        <f t="shared" ref="DC1:DC11" si="1">ROUND(ROUND(AT1*AG1,2),6)</f>
        <v>0</v>
      </c>
    </row>
    <row r="2" spans="1:107" x14ac:dyDescent="0.2">
      <c r="A2">
        <f>ROW(Source!A29)</f>
        <v>29</v>
      </c>
      <c r="B2">
        <v>15805332</v>
      </c>
      <c r="C2">
        <v>15805589</v>
      </c>
      <c r="D2">
        <v>14422539</v>
      </c>
      <c r="E2">
        <v>27</v>
      </c>
      <c r="F2">
        <v>1</v>
      </c>
      <c r="G2">
        <v>27</v>
      </c>
      <c r="H2">
        <v>1</v>
      </c>
      <c r="I2" t="s">
        <v>162</v>
      </c>
      <c r="J2" t="s">
        <v>3</v>
      </c>
      <c r="K2" t="s">
        <v>163</v>
      </c>
      <c r="L2">
        <v>1191</v>
      </c>
      <c r="N2">
        <v>1013</v>
      </c>
      <c r="O2" t="s">
        <v>164</v>
      </c>
      <c r="P2" t="s">
        <v>164</v>
      </c>
      <c r="Q2">
        <v>1</v>
      </c>
      <c r="W2">
        <v>0</v>
      </c>
      <c r="X2">
        <v>476480486</v>
      </c>
      <c r="Y2">
        <v>18.440000000000001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18.440000000000001</v>
      </c>
      <c r="AU2" t="s">
        <v>3</v>
      </c>
      <c r="AV2">
        <v>1</v>
      </c>
      <c r="AW2">
        <v>2</v>
      </c>
      <c r="AX2">
        <v>15805600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Y2*Source!I29</f>
        <v>65.111640000000008</v>
      </c>
      <c r="CY2">
        <f>AD2</f>
        <v>0</v>
      </c>
      <c r="CZ2">
        <f>AH2</f>
        <v>0</v>
      </c>
      <c r="DA2">
        <f>AL2</f>
        <v>1</v>
      </c>
      <c r="DB2">
        <f t="shared" si="0"/>
        <v>0</v>
      </c>
      <c r="DC2">
        <f t="shared" si="1"/>
        <v>0</v>
      </c>
    </row>
    <row r="3" spans="1:107" x14ac:dyDescent="0.2">
      <c r="A3">
        <f>ROW(Source!A29)</f>
        <v>29</v>
      </c>
      <c r="B3">
        <v>15805332</v>
      </c>
      <c r="C3">
        <v>15805589</v>
      </c>
      <c r="D3">
        <v>14435398</v>
      </c>
      <c r="E3">
        <v>1</v>
      </c>
      <c r="F3">
        <v>1</v>
      </c>
      <c r="G3">
        <v>27</v>
      </c>
      <c r="H3">
        <v>2</v>
      </c>
      <c r="I3" t="s">
        <v>165</v>
      </c>
      <c r="J3" t="s">
        <v>166</v>
      </c>
      <c r="K3" t="s">
        <v>167</v>
      </c>
      <c r="L3">
        <v>1368</v>
      </c>
      <c r="N3">
        <v>1011</v>
      </c>
      <c r="O3" t="s">
        <v>168</v>
      </c>
      <c r="P3" t="s">
        <v>168</v>
      </c>
      <c r="Q3">
        <v>1</v>
      </c>
      <c r="W3">
        <v>0</v>
      </c>
      <c r="X3">
        <v>2028281919</v>
      </c>
      <c r="Y3">
        <v>2.64</v>
      </c>
      <c r="AA3">
        <v>0</v>
      </c>
      <c r="AB3">
        <v>531.41</v>
      </c>
      <c r="AC3">
        <v>373.56</v>
      </c>
      <c r="AD3">
        <v>0</v>
      </c>
      <c r="AE3">
        <v>0</v>
      </c>
      <c r="AF3">
        <v>531.41</v>
      </c>
      <c r="AG3">
        <v>373.56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2.64</v>
      </c>
      <c r="AU3" t="s">
        <v>3</v>
      </c>
      <c r="AV3">
        <v>0</v>
      </c>
      <c r="AW3">
        <v>2</v>
      </c>
      <c r="AX3">
        <v>15805601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9.3218400000000017</v>
      </c>
      <c r="CY3">
        <f>AB3</f>
        <v>531.41</v>
      </c>
      <c r="CZ3">
        <f>AF3</f>
        <v>531.41</v>
      </c>
      <c r="DA3">
        <f>AJ3</f>
        <v>1</v>
      </c>
      <c r="DB3">
        <f t="shared" si="0"/>
        <v>1402.92</v>
      </c>
      <c r="DC3">
        <f t="shared" si="1"/>
        <v>986.2</v>
      </c>
    </row>
    <row r="4" spans="1:107" x14ac:dyDescent="0.2">
      <c r="A4">
        <f>ROW(Source!A29)</f>
        <v>29</v>
      </c>
      <c r="B4">
        <v>15805332</v>
      </c>
      <c r="C4">
        <v>15805589</v>
      </c>
      <c r="D4">
        <v>14435621</v>
      </c>
      <c r="E4">
        <v>1</v>
      </c>
      <c r="F4">
        <v>1</v>
      </c>
      <c r="G4">
        <v>27</v>
      </c>
      <c r="H4">
        <v>2</v>
      </c>
      <c r="I4" t="s">
        <v>169</v>
      </c>
      <c r="J4" t="s">
        <v>170</v>
      </c>
      <c r="K4" t="s">
        <v>171</v>
      </c>
      <c r="L4">
        <v>1368</v>
      </c>
      <c r="N4">
        <v>1011</v>
      </c>
      <c r="O4" t="s">
        <v>168</v>
      </c>
      <c r="P4" t="s">
        <v>168</v>
      </c>
      <c r="Q4">
        <v>1</v>
      </c>
      <c r="W4">
        <v>0</v>
      </c>
      <c r="X4">
        <v>-1222982568</v>
      </c>
      <c r="Y4">
        <v>1.18</v>
      </c>
      <c r="AA4">
        <v>0</v>
      </c>
      <c r="AB4">
        <v>7.44</v>
      </c>
      <c r="AC4">
        <v>0.98</v>
      </c>
      <c r="AD4">
        <v>0</v>
      </c>
      <c r="AE4">
        <v>0</v>
      </c>
      <c r="AF4">
        <v>7.44</v>
      </c>
      <c r="AG4">
        <v>0.98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1.18</v>
      </c>
      <c r="AU4" t="s">
        <v>3</v>
      </c>
      <c r="AV4">
        <v>0</v>
      </c>
      <c r="AW4">
        <v>2</v>
      </c>
      <c r="AX4">
        <v>15805602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4.1665799999999997</v>
      </c>
      <c r="CY4">
        <f>AB4</f>
        <v>7.44</v>
      </c>
      <c r="CZ4">
        <f>AF4</f>
        <v>7.44</v>
      </c>
      <c r="DA4">
        <f>AJ4</f>
        <v>1</v>
      </c>
      <c r="DB4">
        <f t="shared" si="0"/>
        <v>8.7799999999999994</v>
      </c>
      <c r="DC4">
        <f t="shared" si="1"/>
        <v>1.1599999999999999</v>
      </c>
    </row>
    <row r="5" spans="1:107" x14ac:dyDescent="0.2">
      <c r="A5">
        <f>ROW(Source!A29)</f>
        <v>29</v>
      </c>
      <c r="B5">
        <v>15805332</v>
      </c>
      <c r="C5">
        <v>15805589</v>
      </c>
      <c r="D5">
        <v>14434823</v>
      </c>
      <c r="E5">
        <v>1</v>
      </c>
      <c r="F5">
        <v>1</v>
      </c>
      <c r="G5">
        <v>27</v>
      </c>
      <c r="H5">
        <v>2</v>
      </c>
      <c r="I5" t="s">
        <v>172</v>
      </c>
      <c r="J5" t="s">
        <v>173</v>
      </c>
      <c r="K5" t="s">
        <v>174</v>
      </c>
      <c r="L5">
        <v>1368</v>
      </c>
      <c r="N5">
        <v>1011</v>
      </c>
      <c r="O5" t="s">
        <v>168</v>
      </c>
      <c r="P5" t="s">
        <v>168</v>
      </c>
      <c r="Q5">
        <v>1</v>
      </c>
      <c r="W5">
        <v>0</v>
      </c>
      <c r="X5">
        <v>-929482187</v>
      </c>
      <c r="Y5">
        <v>0.01</v>
      </c>
      <c r="AA5">
        <v>0</v>
      </c>
      <c r="AB5">
        <v>616.73</v>
      </c>
      <c r="AC5">
        <v>511.29</v>
      </c>
      <c r="AD5">
        <v>0</v>
      </c>
      <c r="AE5">
        <v>0</v>
      </c>
      <c r="AF5">
        <v>616.73</v>
      </c>
      <c r="AG5">
        <v>511.29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0.01</v>
      </c>
      <c r="AU5" t="s">
        <v>3</v>
      </c>
      <c r="AV5">
        <v>0</v>
      </c>
      <c r="AW5">
        <v>2</v>
      </c>
      <c r="AX5">
        <v>15805603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Y5*Source!I29</f>
        <v>3.5310000000000001E-2</v>
      </c>
      <c r="CY5">
        <f>AB5</f>
        <v>616.73</v>
      </c>
      <c r="CZ5">
        <f>AF5</f>
        <v>616.73</v>
      </c>
      <c r="DA5">
        <f>AJ5</f>
        <v>1</v>
      </c>
      <c r="DB5">
        <f t="shared" si="0"/>
        <v>6.17</v>
      </c>
      <c r="DC5">
        <f t="shared" si="1"/>
        <v>5.1100000000000003</v>
      </c>
    </row>
    <row r="6" spans="1:107" x14ac:dyDescent="0.2">
      <c r="A6">
        <f>ROW(Source!A29)</f>
        <v>29</v>
      </c>
      <c r="B6">
        <v>15805332</v>
      </c>
      <c r="C6">
        <v>15805589</v>
      </c>
      <c r="D6">
        <v>14435007</v>
      </c>
      <c r="E6">
        <v>1</v>
      </c>
      <c r="F6">
        <v>1</v>
      </c>
      <c r="G6">
        <v>27</v>
      </c>
      <c r="H6">
        <v>2</v>
      </c>
      <c r="I6" t="s">
        <v>175</v>
      </c>
      <c r="J6" t="s">
        <v>176</v>
      </c>
      <c r="K6" t="s">
        <v>177</v>
      </c>
      <c r="L6">
        <v>1368</v>
      </c>
      <c r="N6">
        <v>1011</v>
      </c>
      <c r="O6" t="s">
        <v>168</v>
      </c>
      <c r="P6" t="s">
        <v>168</v>
      </c>
      <c r="Q6">
        <v>1</v>
      </c>
      <c r="W6">
        <v>0</v>
      </c>
      <c r="X6">
        <v>1948933241</v>
      </c>
      <c r="Y6">
        <v>2.64</v>
      </c>
      <c r="AA6">
        <v>0</v>
      </c>
      <c r="AB6">
        <v>454.31</v>
      </c>
      <c r="AC6">
        <v>405.68</v>
      </c>
      <c r="AD6">
        <v>0</v>
      </c>
      <c r="AE6">
        <v>0</v>
      </c>
      <c r="AF6">
        <v>454.31</v>
      </c>
      <c r="AG6">
        <v>405.68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2.64</v>
      </c>
      <c r="AU6" t="s">
        <v>3</v>
      </c>
      <c r="AV6">
        <v>0</v>
      </c>
      <c r="AW6">
        <v>2</v>
      </c>
      <c r="AX6">
        <v>15805604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Y6*Source!I29</f>
        <v>9.3218400000000017</v>
      </c>
      <c r="CY6">
        <f>AB6</f>
        <v>454.31</v>
      </c>
      <c r="CZ6">
        <f>AF6</f>
        <v>454.31</v>
      </c>
      <c r="DA6">
        <f>AJ6</f>
        <v>1</v>
      </c>
      <c r="DB6">
        <f t="shared" si="0"/>
        <v>1199.3800000000001</v>
      </c>
      <c r="DC6">
        <f t="shared" si="1"/>
        <v>1071</v>
      </c>
    </row>
    <row r="7" spans="1:107" x14ac:dyDescent="0.2">
      <c r="A7">
        <f>ROW(Source!A29)</f>
        <v>29</v>
      </c>
      <c r="B7">
        <v>15805332</v>
      </c>
      <c r="C7">
        <v>15805589</v>
      </c>
      <c r="D7">
        <v>14437831</v>
      </c>
      <c r="E7">
        <v>1</v>
      </c>
      <c r="F7">
        <v>1</v>
      </c>
      <c r="G7">
        <v>27</v>
      </c>
      <c r="H7">
        <v>3</v>
      </c>
      <c r="I7" t="s">
        <v>178</v>
      </c>
      <c r="J7" t="s">
        <v>179</v>
      </c>
      <c r="K7" t="s">
        <v>180</v>
      </c>
      <c r="L7">
        <v>1327</v>
      </c>
      <c r="N7">
        <v>1005</v>
      </c>
      <c r="O7" t="s">
        <v>181</v>
      </c>
      <c r="P7" t="s">
        <v>181</v>
      </c>
      <c r="Q7">
        <v>1</v>
      </c>
      <c r="W7">
        <v>0</v>
      </c>
      <c r="X7">
        <v>-656702110</v>
      </c>
      <c r="Y7">
        <v>5.6</v>
      </c>
      <c r="AA7">
        <v>12.02</v>
      </c>
      <c r="AB7">
        <v>0</v>
      </c>
      <c r="AC7">
        <v>0</v>
      </c>
      <c r="AD7">
        <v>0</v>
      </c>
      <c r="AE7">
        <v>12.02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5.6</v>
      </c>
      <c r="AU7" t="s">
        <v>3</v>
      </c>
      <c r="AV7">
        <v>0</v>
      </c>
      <c r="AW7">
        <v>2</v>
      </c>
      <c r="AX7">
        <v>15805605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Y7*Source!I29</f>
        <v>19.773599999999998</v>
      </c>
      <c r="CY7">
        <f>AA7</f>
        <v>12.02</v>
      </c>
      <c r="CZ7">
        <f>AE7</f>
        <v>12.02</v>
      </c>
      <c r="DA7">
        <f>AI7</f>
        <v>1</v>
      </c>
      <c r="DB7">
        <f t="shared" si="0"/>
        <v>67.31</v>
      </c>
      <c r="DC7">
        <f t="shared" si="1"/>
        <v>0</v>
      </c>
    </row>
    <row r="8" spans="1:107" x14ac:dyDescent="0.2">
      <c r="A8">
        <f>ROW(Source!A29)</f>
        <v>29</v>
      </c>
      <c r="B8">
        <v>15805332</v>
      </c>
      <c r="C8">
        <v>15805589</v>
      </c>
      <c r="D8">
        <v>14437918</v>
      </c>
      <c r="E8">
        <v>1</v>
      </c>
      <c r="F8">
        <v>1</v>
      </c>
      <c r="G8">
        <v>27</v>
      </c>
      <c r="H8">
        <v>3</v>
      </c>
      <c r="I8" t="s">
        <v>182</v>
      </c>
      <c r="J8" t="s">
        <v>183</v>
      </c>
      <c r="K8" t="s">
        <v>184</v>
      </c>
      <c r="L8">
        <v>1348</v>
      </c>
      <c r="N8">
        <v>1009</v>
      </c>
      <c r="O8" t="s">
        <v>30</v>
      </c>
      <c r="P8" t="s">
        <v>30</v>
      </c>
      <c r="Q8">
        <v>1000</v>
      </c>
      <c r="W8">
        <v>0</v>
      </c>
      <c r="X8">
        <v>2135985724</v>
      </c>
      <c r="Y8">
        <v>3.15E-3</v>
      </c>
      <c r="AA8">
        <v>343020.03</v>
      </c>
      <c r="AB8">
        <v>0</v>
      </c>
      <c r="AC8">
        <v>0</v>
      </c>
      <c r="AD8">
        <v>0</v>
      </c>
      <c r="AE8">
        <v>343020.03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3.15E-3</v>
      </c>
      <c r="AU8" t="s">
        <v>3</v>
      </c>
      <c r="AV8">
        <v>0</v>
      </c>
      <c r="AW8">
        <v>2</v>
      </c>
      <c r="AX8">
        <v>15805606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Y8*Source!I29</f>
        <v>1.1122650000000001E-2</v>
      </c>
      <c r="CY8">
        <f>AA8</f>
        <v>343020.03</v>
      </c>
      <c r="CZ8">
        <f>AE8</f>
        <v>343020.03</v>
      </c>
      <c r="DA8">
        <f>AI8</f>
        <v>1</v>
      </c>
      <c r="DB8">
        <f t="shared" si="0"/>
        <v>1080.51</v>
      </c>
      <c r="DC8">
        <f t="shared" si="1"/>
        <v>0</v>
      </c>
    </row>
    <row r="9" spans="1:107" x14ac:dyDescent="0.2">
      <c r="A9">
        <f>ROW(Source!A29)</f>
        <v>29</v>
      </c>
      <c r="B9">
        <v>15805332</v>
      </c>
      <c r="C9">
        <v>15805589</v>
      </c>
      <c r="D9">
        <v>14438135</v>
      </c>
      <c r="E9">
        <v>1</v>
      </c>
      <c r="F9">
        <v>1</v>
      </c>
      <c r="G9">
        <v>27</v>
      </c>
      <c r="H9">
        <v>3</v>
      </c>
      <c r="I9" t="s">
        <v>38</v>
      </c>
      <c r="J9" t="s">
        <v>41</v>
      </c>
      <c r="K9" t="s">
        <v>39</v>
      </c>
      <c r="L9">
        <v>1346</v>
      </c>
      <c r="N9">
        <v>1009</v>
      </c>
      <c r="O9" t="s">
        <v>40</v>
      </c>
      <c r="P9" t="s">
        <v>40</v>
      </c>
      <c r="Q9">
        <v>1</v>
      </c>
      <c r="W9">
        <v>0</v>
      </c>
      <c r="X9">
        <v>-78256104</v>
      </c>
      <c r="Y9">
        <v>735</v>
      </c>
      <c r="AA9">
        <v>17.77</v>
      </c>
      <c r="AB9">
        <v>0</v>
      </c>
      <c r="AC9">
        <v>0</v>
      </c>
      <c r="AD9">
        <v>0</v>
      </c>
      <c r="AE9">
        <v>17.77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735</v>
      </c>
      <c r="AU9" t="s">
        <v>3</v>
      </c>
      <c r="AV9">
        <v>0</v>
      </c>
      <c r="AW9">
        <v>2</v>
      </c>
      <c r="AX9">
        <v>15805607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Y9*Source!I29</f>
        <v>2595.2850000000003</v>
      </c>
      <c r="CY9">
        <f>AA9</f>
        <v>17.77</v>
      </c>
      <c r="CZ9">
        <f>AE9</f>
        <v>17.77</v>
      </c>
      <c r="DA9">
        <f>AI9</f>
        <v>1</v>
      </c>
      <c r="DB9">
        <f t="shared" si="0"/>
        <v>13060.95</v>
      </c>
      <c r="DC9">
        <f t="shared" si="1"/>
        <v>0</v>
      </c>
    </row>
    <row r="10" spans="1:107" x14ac:dyDescent="0.2">
      <c r="A10">
        <f>ROW(Source!A29)</f>
        <v>29</v>
      </c>
      <c r="B10">
        <v>15805332</v>
      </c>
      <c r="C10">
        <v>15805589</v>
      </c>
      <c r="D10">
        <v>14438142</v>
      </c>
      <c r="E10">
        <v>1</v>
      </c>
      <c r="F10">
        <v>1</v>
      </c>
      <c r="G10">
        <v>27</v>
      </c>
      <c r="H10">
        <v>3</v>
      </c>
      <c r="I10" t="s">
        <v>185</v>
      </c>
      <c r="J10" t="s">
        <v>186</v>
      </c>
      <c r="K10" t="s">
        <v>187</v>
      </c>
      <c r="L10">
        <v>1346</v>
      </c>
      <c r="N10">
        <v>1009</v>
      </c>
      <c r="O10" t="s">
        <v>40</v>
      </c>
      <c r="P10" t="s">
        <v>40</v>
      </c>
      <c r="Q10">
        <v>1</v>
      </c>
      <c r="W10">
        <v>0</v>
      </c>
      <c r="X10">
        <v>1434584530</v>
      </c>
      <c r="Y10">
        <v>241.5</v>
      </c>
      <c r="AA10">
        <v>202.34</v>
      </c>
      <c r="AB10">
        <v>0</v>
      </c>
      <c r="AC10">
        <v>0</v>
      </c>
      <c r="AD10">
        <v>0</v>
      </c>
      <c r="AE10">
        <v>202.34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241.5</v>
      </c>
      <c r="AU10" t="s">
        <v>3</v>
      </c>
      <c r="AV10">
        <v>0</v>
      </c>
      <c r="AW10">
        <v>2</v>
      </c>
      <c r="AX10">
        <v>15805608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Y10*Source!I29</f>
        <v>852.73649999999998</v>
      </c>
      <c r="CY10">
        <f>AA10</f>
        <v>202.34</v>
      </c>
      <c r="CZ10">
        <f>AE10</f>
        <v>202.34</v>
      </c>
      <c r="DA10">
        <f>AI10</f>
        <v>1</v>
      </c>
      <c r="DB10">
        <f t="shared" si="0"/>
        <v>48865.11</v>
      </c>
      <c r="DC10">
        <f t="shared" si="1"/>
        <v>0</v>
      </c>
    </row>
    <row r="11" spans="1:107" x14ac:dyDescent="0.2">
      <c r="A11">
        <f>ROW(Source!A29)</f>
        <v>29</v>
      </c>
      <c r="B11">
        <v>15805332</v>
      </c>
      <c r="C11">
        <v>15805589</v>
      </c>
      <c r="D11">
        <v>14436109</v>
      </c>
      <c r="E11">
        <v>1</v>
      </c>
      <c r="F11">
        <v>1</v>
      </c>
      <c r="G11">
        <v>27</v>
      </c>
      <c r="H11">
        <v>3</v>
      </c>
      <c r="I11" t="s">
        <v>28</v>
      </c>
      <c r="J11" t="s">
        <v>31</v>
      </c>
      <c r="K11" t="s">
        <v>29</v>
      </c>
      <c r="L11">
        <v>1348</v>
      </c>
      <c r="N11">
        <v>1009</v>
      </c>
      <c r="O11" t="s">
        <v>30</v>
      </c>
      <c r="P11" t="s">
        <v>30</v>
      </c>
      <c r="Q11">
        <v>1000</v>
      </c>
      <c r="W11">
        <v>1</v>
      </c>
      <c r="X11">
        <v>-629368275</v>
      </c>
      <c r="Y11">
        <v>-5.2499999999999998E-2</v>
      </c>
      <c r="AA11">
        <v>748299.67</v>
      </c>
      <c r="AB11">
        <v>0</v>
      </c>
      <c r="AC11">
        <v>0</v>
      </c>
      <c r="AD11">
        <v>0</v>
      </c>
      <c r="AE11">
        <v>748299.67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-5.2499999999999998E-2</v>
      </c>
      <c r="AU11" t="s">
        <v>3</v>
      </c>
      <c r="AV11">
        <v>0</v>
      </c>
      <c r="AW11">
        <v>2</v>
      </c>
      <c r="AX11">
        <v>15805609</v>
      </c>
      <c r="AY11">
        <v>1</v>
      </c>
      <c r="AZ11">
        <v>6144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Y11*Source!I29</f>
        <v>-0.1853775</v>
      </c>
      <c r="CY11">
        <f>AA11</f>
        <v>748299.67</v>
      </c>
      <c r="CZ11">
        <f>AE11</f>
        <v>748299.67</v>
      </c>
      <c r="DA11">
        <f>AI11</f>
        <v>1</v>
      </c>
      <c r="DB11">
        <f t="shared" si="0"/>
        <v>-39285.730000000003</v>
      </c>
      <c r="DC11">
        <f t="shared" si="1"/>
        <v>0</v>
      </c>
    </row>
    <row r="12" spans="1:107" x14ac:dyDescent="0.2">
      <c r="A12">
        <f>ROW(Source!A31)</f>
        <v>31</v>
      </c>
      <c r="B12">
        <v>15805332</v>
      </c>
      <c r="C12">
        <v>15805611</v>
      </c>
      <c r="D12">
        <v>14422539</v>
      </c>
      <c r="E12">
        <v>27</v>
      </c>
      <c r="F12">
        <v>1</v>
      </c>
      <c r="G12">
        <v>27</v>
      </c>
      <c r="H12">
        <v>1</v>
      </c>
      <c r="I12" t="s">
        <v>162</v>
      </c>
      <c r="J12" t="s">
        <v>3</v>
      </c>
      <c r="K12" t="s">
        <v>163</v>
      </c>
      <c r="L12">
        <v>1191</v>
      </c>
      <c r="N12">
        <v>1013</v>
      </c>
      <c r="O12" t="s">
        <v>164</v>
      </c>
      <c r="P12" t="s">
        <v>164</v>
      </c>
      <c r="Q12">
        <v>1</v>
      </c>
      <c r="W12">
        <v>0</v>
      </c>
      <c r="X12">
        <v>476480486</v>
      </c>
      <c r="Y12">
        <v>13.25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3</v>
      </c>
      <c r="AT12">
        <v>2.65</v>
      </c>
      <c r="AU12" t="s">
        <v>36</v>
      </c>
      <c r="AV12">
        <v>1</v>
      </c>
      <c r="AW12">
        <v>2</v>
      </c>
      <c r="AX12">
        <v>15805618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Y12*Source!I31</f>
        <v>46.78575</v>
      </c>
      <c r="CY12">
        <f>AD12</f>
        <v>0</v>
      </c>
      <c r="CZ12">
        <f>AH12</f>
        <v>0</v>
      </c>
      <c r="DA12">
        <f>AL12</f>
        <v>1</v>
      </c>
      <c r="DB12">
        <f>ROUND((ROUND(AT12*CZ12,2)*5),6)</f>
        <v>0</v>
      </c>
      <c r="DC12">
        <f>ROUND((ROUND(AT12*AG12,2)*5),6)</f>
        <v>0</v>
      </c>
    </row>
    <row r="13" spans="1:107" x14ac:dyDescent="0.2">
      <c r="A13">
        <f>ROW(Source!A31)</f>
        <v>31</v>
      </c>
      <c r="B13">
        <v>15805332</v>
      </c>
      <c r="C13">
        <v>15805611</v>
      </c>
      <c r="D13">
        <v>14435398</v>
      </c>
      <c r="E13">
        <v>1</v>
      </c>
      <c r="F13">
        <v>1</v>
      </c>
      <c r="G13">
        <v>27</v>
      </c>
      <c r="H13">
        <v>2</v>
      </c>
      <c r="I13" t="s">
        <v>165</v>
      </c>
      <c r="J13" t="s">
        <v>166</v>
      </c>
      <c r="K13" t="s">
        <v>167</v>
      </c>
      <c r="L13">
        <v>1368</v>
      </c>
      <c r="N13">
        <v>1011</v>
      </c>
      <c r="O13" t="s">
        <v>168</v>
      </c>
      <c r="P13" t="s">
        <v>168</v>
      </c>
      <c r="Q13">
        <v>1</v>
      </c>
      <c r="W13">
        <v>0</v>
      </c>
      <c r="X13">
        <v>2028281919</v>
      </c>
      <c r="Y13">
        <v>2.5</v>
      </c>
      <c r="AA13">
        <v>0</v>
      </c>
      <c r="AB13">
        <v>531.41</v>
      </c>
      <c r="AC13">
        <v>373.56</v>
      </c>
      <c r="AD13">
        <v>0</v>
      </c>
      <c r="AE13">
        <v>0</v>
      </c>
      <c r="AF13">
        <v>531.41</v>
      </c>
      <c r="AG13">
        <v>373.56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0.5</v>
      </c>
      <c r="AU13" t="s">
        <v>36</v>
      </c>
      <c r="AV13">
        <v>0</v>
      </c>
      <c r="AW13">
        <v>2</v>
      </c>
      <c r="AX13">
        <v>15805619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Y13*Source!I31</f>
        <v>8.8275000000000006</v>
      </c>
      <c r="CY13">
        <f>AB13</f>
        <v>531.41</v>
      </c>
      <c r="CZ13">
        <f>AF13</f>
        <v>531.41</v>
      </c>
      <c r="DA13">
        <f>AJ13</f>
        <v>1</v>
      </c>
      <c r="DB13">
        <f>ROUND((ROUND(AT13*CZ13,2)*5),6)</f>
        <v>1328.55</v>
      </c>
      <c r="DC13">
        <f>ROUND((ROUND(AT13*AG13,2)*5),6)</f>
        <v>933.9</v>
      </c>
    </row>
    <row r="14" spans="1:107" x14ac:dyDescent="0.2">
      <c r="A14">
        <f>ROW(Source!A31)</f>
        <v>31</v>
      </c>
      <c r="B14">
        <v>15805332</v>
      </c>
      <c r="C14">
        <v>15805611</v>
      </c>
      <c r="D14">
        <v>14435007</v>
      </c>
      <c r="E14">
        <v>1</v>
      </c>
      <c r="F14">
        <v>1</v>
      </c>
      <c r="G14">
        <v>27</v>
      </c>
      <c r="H14">
        <v>2</v>
      </c>
      <c r="I14" t="s">
        <v>175</v>
      </c>
      <c r="J14" t="s">
        <v>176</v>
      </c>
      <c r="K14" t="s">
        <v>177</v>
      </c>
      <c r="L14">
        <v>1368</v>
      </c>
      <c r="N14">
        <v>1011</v>
      </c>
      <c r="O14" t="s">
        <v>168</v>
      </c>
      <c r="P14" t="s">
        <v>168</v>
      </c>
      <c r="Q14">
        <v>1</v>
      </c>
      <c r="W14">
        <v>0</v>
      </c>
      <c r="X14">
        <v>1948933241</v>
      </c>
      <c r="Y14">
        <v>2.5</v>
      </c>
      <c r="AA14">
        <v>0</v>
      </c>
      <c r="AB14">
        <v>454.31</v>
      </c>
      <c r="AC14">
        <v>405.68</v>
      </c>
      <c r="AD14">
        <v>0</v>
      </c>
      <c r="AE14">
        <v>0</v>
      </c>
      <c r="AF14">
        <v>454.31</v>
      </c>
      <c r="AG14">
        <v>405.68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0.5</v>
      </c>
      <c r="AU14" t="s">
        <v>36</v>
      </c>
      <c r="AV14">
        <v>0</v>
      </c>
      <c r="AW14">
        <v>2</v>
      </c>
      <c r="AX14">
        <v>15805620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Y14*Source!I31</f>
        <v>8.8275000000000006</v>
      </c>
      <c r="CY14">
        <f>AB14</f>
        <v>454.31</v>
      </c>
      <c r="CZ14">
        <f>AF14</f>
        <v>454.31</v>
      </c>
      <c r="DA14">
        <f>AJ14</f>
        <v>1</v>
      </c>
      <c r="DB14">
        <f>ROUND((ROUND(AT14*CZ14,2)*5),6)</f>
        <v>1135.8</v>
      </c>
      <c r="DC14">
        <f>ROUND((ROUND(AT14*AG14,2)*5),6)</f>
        <v>1014.2</v>
      </c>
    </row>
    <row r="15" spans="1:107" x14ac:dyDescent="0.2">
      <c r="A15">
        <f>ROW(Source!A31)</f>
        <v>31</v>
      </c>
      <c r="B15">
        <v>15805332</v>
      </c>
      <c r="C15">
        <v>15805611</v>
      </c>
      <c r="D15">
        <v>14438135</v>
      </c>
      <c r="E15">
        <v>1</v>
      </c>
      <c r="F15">
        <v>1</v>
      </c>
      <c r="G15">
        <v>27</v>
      </c>
      <c r="H15">
        <v>3</v>
      </c>
      <c r="I15" t="s">
        <v>38</v>
      </c>
      <c r="J15" t="s">
        <v>41</v>
      </c>
      <c r="K15" t="s">
        <v>39</v>
      </c>
      <c r="L15">
        <v>1346</v>
      </c>
      <c r="N15">
        <v>1009</v>
      </c>
      <c r="O15" t="s">
        <v>40</v>
      </c>
      <c r="P15" t="s">
        <v>40</v>
      </c>
      <c r="Q15">
        <v>1</v>
      </c>
      <c r="W15">
        <v>1</v>
      </c>
      <c r="X15">
        <v>-78256104</v>
      </c>
      <c r="Y15">
        <v>-735</v>
      </c>
      <c r="AA15">
        <v>17.77</v>
      </c>
      <c r="AB15">
        <v>0</v>
      </c>
      <c r="AC15">
        <v>0</v>
      </c>
      <c r="AD15">
        <v>0</v>
      </c>
      <c r="AE15">
        <v>17.77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3</v>
      </c>
      <c r="AT15">
        <v>-147</v>
      </c>
      <c r="AU15" t="s">
        <v>36</v>
      </c>
      <c r="AV15">
        <v>0</v>
      </c>
      <c r="AW15">
        <v>2</v>
      </c>
      <c r="AX15">
        <v>15805621</v>
      </c>
      <c r="AY15">
        <v>1</v>
      </c>
      <c r="AZ15">
        <v>6144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Y15*Source!I31</f>
        <v>-2595.2850000000003</v>
      </c>
      <c r="CY15">
        <f>AA15</f>
        <v>17.77</v>
      </c>
      <c r="CZ15">
        <f>AE15</f>
        <v>17.77</v>
      </c>
      <c r="DA15">
        <f>AI15</f>
        <v>1</v>
      </c>
      <c r="DB15">
        <f>ROUND((ROUND(AT15*CZ15,2)*5),6)</f>
        <v>-13060.95</v>
      </c>
      <c r="DC15">
        <f>ROUND((ROUND(AT15*AG15,2)*5),6)</f>
        <v>0</v>
      </c>
    </row>
    <row r="16" spans="1:107" x14ac:dyDescent="0.2">
      <c r="A16">
        <f>ROW(Source!A31)</f>
        <v>31</v>
      </c>
      <c r="B16">
        <v>15805332</v>
      </c>
      <c r="C16">
        <v>15805611</v>
      </c>
      <c r="D16">
        <v>14438136</v>
      </c>
      <c r="E16">
        <v>1</v>
      </c>
      <c r="F16">
        <v>1</v>
      </c>
      <c r="G16">
        <v>27</v>
      </c>
      <c r="H16">
        <v>3</v>
      </c>
      <c r="I16" t="s">
        <v>43</v>
      </c>
      <c r="J16" t="s">
        <v>45</v>
      </c>
      <c r="K16" t="s">
        <v>44</v>
      </c>
      <c r="L16">
        <v>1346</v>
      </c>
      <c r="N16">
        <v>1009</v>
      </c>
      <c r="O16" t="s">
        <v>40</v>
      </c>
      <c r="P16" t="s">
        <v>40</v>
      </c>
      <c r="Q16">
        <v>1</v>
      </c>
      <c r="W16">
        <v>0</v>
      </c>
      <c r="X16">
        <v>-229590560</v>
      </c>
      <c r="Y16">
        <v>735</v>
      </c>
      <c r="AA16">
        <v>94.72</v>
      </c>
      <c r="AB16">
        <v>0</v>
      </c>
      <c r="AC16">
        <v>0</v>
      </c>
      <c r="AD16">
        <v>0</v>
      </c>
      <c r="AE16">
        <v>94.72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 t="s">
        <v>3</v>
      </c>
      <c r="AT16">
        <v>735</v>
      </c>
      <c r="AU16" t="s">
        <v>3</v>
      </c>
      <c r="AV16">
        <v>0</v>
      </c>
      <c r="AW16">
        <v>1</v>
      </c>
      <c r="AX16">
        <v>-1</v>
      </c>
      <c r="AY16">
        <v>0</v>
      </c>
      <c r="AZ16">
        <v>0</v>
      </c>
      <c r="BA16" t="s">
        <v>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Y16*Source!I31</f>
        <v>2595.2850000000003</v>
      </c>
      <c r="CY16">
        <f>AA16</f>
        <v>94.72</v>
      </c>
      <c r="CZ16">
        <f>AE16</f>
        <v>94.72</v>
      </c>
      <c r="DA16">
        <f>AI16</f>
        <v>1</v>
      </c>
      <c r="DB16">
        <f>ROUND(ROUND(AT16*CZ16,2),6)</f>
        <v>69619.199999999997</v>
      </c>
      <c r="DC16">
        <f>ROUND(ROUND(AT16*AG16,2),6)</f>
        <v>0</v>
      </c>
    </row>
    <row r="17" spans="1:107" x14ac:dyDescent="0.2">
      <c r="A17">
        <f>ROW(Source!A31)</f>
        <v>31</v>
      </c>
      <c r="B17">
        <v>15805332</v>
      </c>
      <c r="C17">
        <v>15805611</v>
      </c>
      <c r="D17">
        <v>14438142</v>
      </c>
      <c r="E17">
        <v>1</v>
      </c>
      <c r="F17">
        <v>1</v>
      </c>
      <c r="G17">
        <v>27</v>
      </c>
      <c r="H17">
        <v>3</v>
      </c>
      <c r="I17" t="s">
        <v>185</v>
      </c>
      <c r="J17" t="s">
        <v>186</v>
      </c>
      <c r="K17" t="s">
        <v>187</v>
      </c>
      <c r="L17">
        <v>1346</v>
      </c>
      <c r="N17">
        <v>1009</v>
      </c>
      <c r="O17" t="s">
        <v>40</v>
      </c>
      <c r="P17" t="s">
        <v>40</v>
      </c>
      <c r="Q17">
        <v>1</v>
      </c>
      <c r="W17">
        <v>0</v>
      </c>
      <c r="X17">
        <v>1434584530</v>
      </c>
      <c r="Y17">
        <v>210</v>
      </c>
      <c r="AA17">
        <v>202.34</v>
      </c>
      <c r="AB17">
        <v>0</v>
      </c>
      <c r="AC17">
        <v>0</v>
      </c>
      <c r="AD17">
        <v>0</v>
      </c>
      <c r="AE17">
        <v>202.34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1</v>
      </c>
      <c r="AQ17">
        <v>0</v>
      </c>
      <c r="AR17">
        <v>0</v>
      </c>
      <c r="AS17" t="s">
        <v>3</v>
      </c>
      <c r="AT17">
        <v>42</v>
      </c>
      <c r="AU17" t="s">
        <v>36</v>
      </c>
      <c r="AV17">
        <v>0</v>
      </c>
      <c r="AW17">
        <v>2</v>
      </c>
      <c r="AX17">
        <v>15805622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Y17*Source!I31</f>
        <v>741.51</v>
      </c>
      <c r="CY17">
        <f>AA17</f>
        <v>202.34</v>
      </c>
      <c r="CZ17">
        <f>AE17</f>
        <v>202.34</v>
      </c>
      <c r="DA17">
        <f>AI17</f>
        <v>1</v>
      </c>
      <c r="DB17">
        <f>ROUND((ROUND(AT17*CZ17,2)*5),6)</f>
        <v>42491.4</v>
      </c>
      <c r="DC17">
        <f>ROUND((ROUND(AT17*AG17,2)*5),6)</f>
        <v>0</v>
      </c>
    </row>
    <row r="18" spans="1:107" x14ac:dyDescent="0.2">
      <c r="A18">
        <f>ROW(Source!A31)</f>
        <v>31</v>
      </c>
      <c r="B18">
        <v>15805332</v>
      </c>
      <c r="C18">
        <v>15805611</v>
      </c>
      <c r="D18">
        <v>14436109</v>
      </c>
      <c r="E18">
        <v>1</v>
      </c>
      <c r="F18">
        <v>1</v>
      </c>
      <c r="G18">
        <v>27</v>
      </c>
      <c r="H18">
        <v>3</v>
      </c>
      <c r="I18" t="s">
        <v>28</v>
      </c>
      <c r="J18" t="s">
        <v>31</v>
      </c>
      <c r="K18" t="s">
        <v>29</v>
      </c>
      <c r="L18">
        <v>1348</v>
      </c>
      <c r="N18">
        <v>1009</v>
      </c>
      <c r="O18" t="s">
        <v>30</v>
      </c>
      <c r="P18" t="s">
        <v>30</v>
      </c>
      <c r="Q18">
        <v>1000</v>
      </c>
      <c r="W18">
        <v>0</v>
      </c>
      <c r="X18">
        <v>-629368275</v>
      </c>
      <c r="Y18">
        <v>5.2500000000000005E-2</v>
      </c>
      <c r="AA18">
        <v>748299.67</v>
      </c>
      <c r="AB18">
        <v>0</v>
      </c>
      <c r="AC18">
        <v>0</v>
      </c>
      <c r="AD18">
        <v>0</v>
      </c>
      <c r="AE18">
        <v>748299.67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1</v>
      </c>
      <c r="AQ18">
        <v>0</v>
      </c>
      <c r="AR18">
        <v>0</v>
      </c>
      <c r="AS18" t="s">
        <v>3</v>
      </c>
      <c r="AT18">
        <v>1.0500000000000001E-2</v>
      </c>
      <c r="AU18" t="s">
        <v>36</v>
      </c>
      <c r="AV18">
        <v>0</v>
      </c>
      <c r="AW18">
        <v>2</v>
      </c>
      <c r="AX18">
        <v>15805623</v>
      </c>
      <c r="AY18">
        <v>1</v>
      </c>
      <c r="AZ18">
        <v>0</v>
      </c>
      <c r="BA18">
        <v>17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Y18*Source!I31</f>
        <v>0.18537750000000003</v>
      </c>
      <c r="CY18">
        <f>AA18</f>
        <v>748299.67</v>
      </c>
      <c r="CZ18">
        <f>AE18</f>
        <v>748299.67</v>
      </c>
      <c r="DA18">
        <f>AI18</f>
        <v>1</v>
      </c>
      <c r="DB18">
        <f>ROUND((ROUND(AT18*CZ18,2)*5),6)</f>
        <v>39285.75</v>
      </c>
      <c r="DC18">
        <f>ROUND((ROUND(AT18*AG18,2)*5),6)</f>
        <v>0</v>
      </c>
    </row>
    <row r="19" spans="1:107" x14ac:dyDescent="0.2">
      <c r="A19">
        <f>ROW(Source!A34)</f>
        <v>34</v>
      </c>
      <c r="B19">
        <v>15805332</v>
      </c>
      <c r="C19">
        <v>15805624</v>
      </c>
      <c r="D19">
        <v>14434710</v>
      </c>
      <c r="E19">
        <v>1</v>
      </c>
      <c r="F19">
        <v>1</v>
      </c>
      <c r="G19">
        <v>27</v>
      </c>
      <c r="H19">
        <v>2</v>
      </c>
      <c r="I19" t="s">
        <v>188</v>
      </c>
      <c r="J19" t="s">
        <v>189</v>
      </c>
      <c r="K19" t="s">
        <v>190</v>
      </c>
      <c r="L19">
        <v>1368</v>
      </c>
      <c r="N19">
        <v>1011</v>
      </c>
      <c r="O19" t="s">
        <v>168</v>
      </c>
      <c r="P19" t="s">
        <v>168</v>
      </c>
      <c r="Q19">
        <v>1</v>
      </c>
      <c r="W19">
        <v>0</v>
      </c>
      <c r="X19">
        <v>770341722</v>
      </c>
      <c r="Y19">
        <v>5.3699999999999998E-2</v>
      </c>
      <c r="AA19">
        <v>0</v>
      </c>
      <c r="AB19">
        <v>1494.43</v>
      </c>
      <c r="AC19">
        <v>481.21</v>
      </c>
      <c r="AD19">
        <v>0</v>
      </c>
      <c r="AE19">
        <v>0</v>
      </c>
      <c r="AF19">
        <v>1494.43</v>
      </c>
      <c r="AG19">
        <v>481.21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5.3699999999999998E-2</v>
      </c>
      <c r="AU19" t="s">
        <v>3</v>
      </c>
      <c r="AV19">
        <v>0</v>
      </c>
      <c r="AW19">
        <v>2</v>
      </c>
      <c r="AX19">
        <v>15805626</v>
      </c>
      <c r="AY19">
        <v>1</v>
      </c>
      <c r="AZ19">
        <v>0</v>
      </c>
      <c r="BA19">
        <v>18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Y19*Source!I34</f>
        <v>0.32791904999999999</v>
      </c>
      <c r="CY19">
        <f>AB19</f>
        <v>1494.43</v>
      </c>
      <c r="CZ19">
        <f>AF19</f>
        <v>1494.43</v>
      </c>
      <c r="DA19">
        <f>AJ19</f>
        <v>1</v>
      </c>
      <c r="DB19">
        <f t="shared" ref="DB19:DB24" si="2">ROUND(ROUND(AT19*CZ19,2),6)</f>
        <v>80.25</v>
      </c>
      <c r="DC19">
        <f t="shared" ref="DC19:DC24" si="3">ROUND(ROUND(AT19*AG19,2),6)</f>
        <v>25.84</v>
      </c>
    </row>
    <row r="20" spans="1:107" x14ac:dyDescent="0.2">
      <c r="A20">
        <f>ROW(Source!A35)</f>
        <v>35</v>
      </c>
      <c r="B20">
        <v>15805332</v>
      </c>
      <c r="C20">
        <v>15805627</v>
      </c>
      <c r="D20">
        <v>14422539</v>
      </c>
      <c r="E20">
        <v>27</v>
      </c>
      <c r="F20">
        <v>1</v>
      </c>
      <c r="G20">
        <v>27</v>
      </c>
      <c r="H20">
        <v>1</v>
      </c>
      <c r="I20" t="s">
        <v>162</v>
      </c>
      <c r="J20" t="s">
        <v>3</v>
      </c>
      <c r="K20" t="s">
        <v>163</v>
      </c>
      <c r="L20">
        <v>1191</v>
      </c>
      <c r="N20">
        <v>1013</v>
      </c>
      <c r="O20" t="s">
        <v>164</v>
      </c>
      <c r="P20" t="s">
        <v>164</v>
      </c>
      <c r="Q20">
        <v>1</v>
      </c>
      <c r="W20">
        <v>0</v>
      </c>
      <c r="X20">
        <v>476480486</v>
      </c>
      <c r="Y20">
        <v>1.02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1.02</v>
      </c>
      <c r="AU20" t="s">
        <v>3</v>
      </c>
      <c r="AV20">
        <v>1</v>
      </c>
      <c r="AW20">
        <v>2</v>
      </c>
      <c r="AX20">
        <v>15805629</v>
      </c>
      <c r="AY20">
        <v>1</v>
      </c>
      <c r="AZ20">
        <v>0</v>
      </c>
      <c r="BA20">
        <v>19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Y20*Source!I35</f>
        <v>0.69206999999999996</v>
      </c>
      <c r="CY20">
        <f>AD20</f>
        <v>0</v>
      </c>
      <c r="CZ20">
        <f>AH20</f>
        <v>0</v>
      </c>
      <c r="DA20">
        <f>AL20</f>
        <v>1</v>
      </c>
      <c r="DB20">
        <f t="shared" si="2"/>
        <v>0</v>
      </c>
      <c r="DC20">
        <f t="shared" si="3"/>
        <v>0</v>
      </c>
    </row>
    <row r="21" spans="1:107" x14ac:dyDescent="0.2">
      <c r="A21">
        <f>ROW(Source!A36)</f>
        <v>36</v>
      </c>
      <c r="B21">
        <v>15805332</v>
      </c>
      <c r="C21">
        <v>15805630</v>
      </c>
      <c r="D21">
        <v>14435508</v>
      </c>
      <c r="E21">
        <v>1</v>
      </c>
      <c r="F21">
        <v>1</v>
      </c>
      <c r="G21">
        <v>27</v>
      </c>
      <c r="H21">
        <v>2</v>
      </c>
      <c r="I21" t="s">
        <v>191</v>
      </c>
      <c r="J21" t="s">
        <v>192</v>
      </c>
      <c r="K21" t="s">
        <v>193</v>
      </c>
      <c r="L21">
        <v>1368</v>
      </c>
      <c r="N21">
        <v>1011</v>
      </c>
      <c r="O21" t="s">
        <v>168</v>
      </c>
      <c r="P21" t="s">
        <v>168</v>
      </c>
      <c r="Q21">
        <v>1</v>
      </c>
      <c r="W21">
        <v>0</v>
      </c>
      <c r="X21">
        <v>238809398</v>
      </c>
      <c r="Y21">
        <v>5.3999999999999999E-2</v>
      </c>
      <c r="AA21">
        <v>0</v>
      </c>
      <c r="AB21">
        <v>1009.4</v>
      </c>
      <c r="AC21">
        <v>316.82</v>
      </c>
      <c r="AD21">
        <v>0</v>
      </c>
      <c r="AE21">
        <v>0</v>
      </c>
      <c r="AF21">
        <v>1009.4</v>
      </c>
      <c r="AG21">
        <v>316.82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5.3999999999999999E-2</v>
      </c>
      <c r="AU21" t="s">
        <v>3</v>
      </c>
      <c r="AV21">
        <v>0</v>
      </c>
      <c r="AW21">
        <v>2</v>
      </c>
      <c r="AX21">
        <v>15805633</v>
      </c>
      <c r="AY21">
        <v>1</v>
      </c>
      <c r="AZ21">
        <v>0</v>
      </c>
      <c r="BA21">
        <v>20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Y21*Source!I36</f>
        <v>3.6638999999999998E-2</v>
      </c>
      <c r="CY21">
        <f t="shared" ref="CY21:CY26" si="4">AB21</f>
        <v>1009.4</v>
      </c>
      <c r="CZ21">
        <f t="shared" ref="CZ21:CZ26" si="5">AF21</f>
        <v>1009.4</v>
      </c>
      <c r="DA21">
        <f t="shared" ref="DA21:DA26" si="6">AJ21</f>
        <v>1</v>
      </c>
      <c r="DB21">
        <f t="shared" si="2"/>
        <v>54.51</v>
      </c>
      <c r="DC21">
        <f t="shared" si="3"/>
        <v>17.11</v>
      </c>
    </row>
    <row r="22" spans="1:107" x14ac:dyDescent="0.2">
      <c r="A22">
        <f>ROW(Source!A36)</f>
        <v>36</v>
      </c>
      <c r="B22">
        <v>15805332</v>
      </c>
      <c r="C22">
        <v>15805630</v>
      </c>
      <c r="D22">
        <v>14435509</v>
      </c>
      <c r="E22">
        <v>1</v>
      </c>
      <c r="F22">
        <v>1</v>
      </c>
      <c r="G22">
        <v>27</v>
      </c>
      <c r="H22">
        <v>2</v>
      </c>
      <c r="I22" t="s">
        <v>194</v>
      </c>
      <c r="J22" t="s">
        <v>195</v>
      </c>
      <c r="K22" t="s">
        <v>196</v>
      </c>
      <c r="L22">
        <v>1368</v>
      </c>
      <c r="N22">
        <v>1011</v>
      </c>
      <c r="O22" t="s">
        <v>168</v>
      </c>
      <c r="P22" t="s">
        <v>168</v>
      </c>
      <c r="Q22">
        <v>1</v>
      </c>
      <c r="W22">
        <v>0</v>
      </c>
      <c r="X22">
        <v>-1786200580</v>
      </c>
      <c r="Y22">
        <v>5.5E-2</v>
      </c>
      <c r="AA22">
        <v>0</v>
      </c>
      <c r="AB22">
        <v>1014.12</v>
      </c>
      <c r="AC22">
        <v>317.13</v>
      </c>
      <c r="AD22">
        <v>0</v>
      </c>
      <c r="AE22">
        <v>0</v>
      </c>
      <c r="AF22">
        <v>1014.12</v>
      </c>
      <c r="AG22">
        <v>317.13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5.5E-2</v>
      </c>
      <c r="AU22" t="s">
        <v>3</v>
      </c>
      <c r="AV22">
        <v>0</v>
      </c>
      <c r="AW22">
        <v>2</v>
      </c>
      <c r="AX22">
        <v>15805634</v>
      </c>
      <c r="AY22">
        <v>1</v>
      </c>
      <c r="AZ22">
        <v>0</v>
      </c>
      <c r="BA22">
        <v>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Y22*Source!I36</f>
        <v>3.7317499999999997E-2</v>
      </c>
      <c r="CY22">
        <f t="shared" si="4"/>
        <v>1014.12</v>
      </c>
      <c r="CZ22">
        <f t="shared" si="5"/>
        <v>1014.12</v>
      </c>
      <c r="DA22">
        <f t="shared" si="6"/>
        <v>1</v>
      </c>
      <c r="DB22">
        <f t="shared" si="2"/>
        <v>55.78</v>
      </c>
      <c r="DC22">
        <f t="shared" si="3"/>
        <v>17.440000000000001</v>
      </c>
    </row>
    <row r="23" spans="1:107" x14ac:dyDescent="0.2">
      <c r="A23">
        <f>ROW(Source!A37)</f>
        <v>37</v>
      </c>
      <c r="B23">
        <v>15805332</v>
      </c>
      <c r="C23">
        <v>15805635</v>
      </c>
      <c r="D23">
        <v>14435508</v>
      </c>
      <c r="E23">
        <v>1</v>
      </c>
      <c r="F23">
        <v>1</v>
      </c>
      <c r="G23">
        <v>27</v>
      </c>
      <c r="H23">
        <v>2</v>
      </c>
      <c r="I23" t="s">
        <v>191</v>
      </c>
      <c r="J23" t="s">
        <v>192</v>
      </c>
      <c r="K23" t="s">
        <v>193</v>
      </c>
      <c r="L23">
        <v>1368</v>
      </c>
      <c r="N23">
        <v>1011</v>
      </c>
      <c r="O23" t="s">
        <v>168</v>
      </c>
      <c r="P23" t="s">
        <v>168</v>
      </c>
      <c r="Q23">
        <v>1</v>
      </c>
      <c r="W23">
        <v>0</v>
      </c>
      <c r="X23">
        <v>238809398</v>
      </c>
      <c r="Y23">
        <v>0.02</v>
      </c>
      <c r="AA23">
        <v>0</v>
      </c>
      <c r="AB23">
        <v>1009.4</v>
      </c>
      <c r="AC23">
        <v>316.82</v>
      </c>
      <c r="AD23">
        <v>0</v>
      </c>
      <c r="AE23">
        <v>0</v>
      </c>
      <c r="AF23">
        <v>1009.4</v>
      </c>
      <c r="AG23">
        <v>316.82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0.02</v>
      </c>
      <c r="AU23" t="s">
        <v>3</v>
      </c>
      <c r="AV23">
        <v>0</v>
      </c>
      <c r="AW23">
        <v>2</v>
      </c>
      <c r="AX23">
        <v>15805638</v>
      </c>
      <c r="AY23">
        <v>1</v>
      </c>
      <c r="AZ23">
        <v>0</v>
      </c>
      <c r="BA23">
        <v>22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Y23*Source!I37</f>
        <v>0.12212999999999999</v>
      </c>
      <c r="CY23">
        <f t="shared" si="4"/>
        <v>1009.4</v>
      </c>
      <c r="CZ23">
        <f t="shared" si="5"/>
        <v>1009.4</v>
      </c>
      <c r="DA23">
        <f t="shared" si="6"/>
        <v>1</v>
      </c>
      <c r="DB23">
        <f t="shared" si="2"/>
        <v>20.190000000000001</v>
      </c>
      <c r="DC23">
        <f t="shared" si="3"/>
        <v>6.34</v>
      </c>
    </row>
    <row r="24" spans="1:107" x14ac:dyDescent="0.2">
      <c r="A24">
        <f>ROW(Source!A37)</f>
        <v>37</v>
      </c>
      <c r="B24">
        <v>15805332</v>
      </c>
      <c r="C24">
        <v>15805635</v>
      </c>
      <c r="D24">
        <v>14435509</v>
      </c>
      <c r="E24">
        <v>1</v>
      </c>
      <c r="F24">
        <v>1</v>
      </c>
      <c r="G24">
        <v>27</v>
      </c>
      <c r="H24">
        <v>2</v>
      </c>
      <c r="I24" t="s">
        <v>194</v>
      </c>
      <c r="J24" t="s">
        <v>195</v>
      </c>
      <c r="K24" t="s">
        <v>196</v>
      </c>
      <c r="L24">
        <v>1368</v>
      </c>
      <c r="N24">
        <v>1011</v>
      </c>
      <c r="O24" t="s">
        <v>168</v>
      </c>
      <c r="P24" t="s">
        <v>168</v>
      </c>
      <c r="Q24">
        <v>1</v>
      </c>
      <c r="W24">
        <v>0</v>
      </c>
      <c r="X24">
        <v>-1786200580</v>
      </c>
      <c r="Y24">
        <v>1.7999999999999999E-2</v>
      </c>
      <c r="AA24">
        <v>0</v>
      </c>
      <c r="AB24">
        <v>1014.12</v>
      </c>
      <c r="AC24">
        <v>317.13</v>
      </c>
      <c r="AD24">
        <v>0</v>
      </c>
      <c r="AE24">
        <v>0</v>
      </c>
      <c r="AF24">
        <v>1014.12</v>
      </c>
      <c r="AG24">
        <v>317.13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1.7999999999999999E-2</v>
      </c>
      <c r="AU24" t="s">
        <v>3</v>
      </c>
      <c r="AV24">
        <v>0</v>
      </c>
      <c r="AW24">
        <v>2</v>
      </c>
      <c r="AX24">
        <v>15805639</v>
      </c>
      <c r="AY24">
        <v>1</v>
      </c>
      <c r="AZ24">
        <v>0</v>
      </c>
      <c r="BA24">
        <v>23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Y24*Source!I37</f>
        <v>0.10991699999999999</v>
      </c>
      <c r="CY24">
        <f t="shared" si="4"/>
        <v>1014.12</v>
      </c>
      <c r="CZ24">
        <f t="shared" si="5"/>
        <v>1014.12</v>
      </c>
      <c r="DA24">
        <f t="shared" si="6"/>
        <v>1</v>
      </c>
      <c r="DB24">
        <f t="shared" si="2"/>
        <v>18.25</v>
      </c>
      <c r="DC24">
        <f t="shared" si="3"/>
        <v>5.71</v>
      </c>
    </row>
    <row r="25" spans="1:107" x14ac:dyDescent="0.2">
      <c r="A25">
        <f>ROW(Source!A38)</f>
        <v>38</v>
      </c>
      <c r="B25">
        <v>15805332</v>
      </c>
      <c r="C25">
        <v>15805640</v>
      </c>
      <c r="D25">
        <v>14435508</v>
      </c>
      <c r="E25">
        <v>1</v>
      </c>
      <c r="F25">
        <v>1</v>
      </c>
      <c r="G25">
        <v>27</v>
      </c>
      <c r="H25">
        <v>2</v>
      </c>
      <c r="I25" t="s">
        <v>191</v>
      </c>
      <c r="J25" t="s">
        <v>192</v>
      </c>
      <c r="K25" t="s">
        <v>193</v>
      </c>
      <c r="L25">
        <v>1368</v>
      </c>
      <c r="N25">
        <v>1011</v>
      </c>
      <c r="O25" t="s">
        <v>168</v>
      </c>
      <c r="P25" t="s">
        <v>168</v>
      </c>
      <c r="Q25">
        <v>1</v>
      </c>
      <c r="W25">
        <v>0</v>
      </c>
      <c r="X25">
        <v>238809398</v>
      </c>
      <c r="Y25">
        <v>0.49</v>
      </c>
      <c r="AA25">
        <v>0</v>
      </c>
      <c r="AB25">
        <v>1009.4</v>
      </c>
      <c r="AC25">
        <v>316.82</v>
      </c>
      <c r="AD25">
        <v>0</v>
      </c>
      <c r="AE25">
        <v>0</v>
      </c>
      <c r="AF25">
        <v>1009.4</v>
      </c>
      <c r="AG25">
        <v>316.82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1</v>
      </c>
      <c r="AQ25">
        <v>0</v>
      </c>
      <c r="AR25">
        <v>0</v>
      </c>
      <c r="AS25" t="s">
        <v>3</v>
      </c>
      <c r="AT25">
        <v>0.01</v>
      </c>
      <c r="AU25" t="s">
        <v>67</v>
      </c>
      <c r="AV25">
        <v>0</v>
      </c>
      <c r="AW25">
        <v>2</v>
      </c>
      <c r="AX25">
        <v>15805643</v>
      </c>
      <c r="AY25">
        <v>1</v>
      </c>
      <c r="AZ25">
        <v>0</v>
      </c>
      <c r="BA25">
        <v>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Y25*Source!I38</f>
        <v>3.3246500000000001</v>
      </c>
      <c r="CY25">
        <f t="shared" si="4"/>
        <v>1009.4</v>
      </c>
      <c r="CZ25">
        <f t="shared" si="5"/>
        <v>1009.4</v>
      </c>
      <c r="DA25">
        <f t="shared" si="6"/>
        <v>1</v>
      </c>
      <c r="DB25">
        <f>ROUND((ROUND(AT25*CZ25,2)*49),6)</f>
        <v>494.41</v>
      </c>
      <c r="DC25">
        <f>ROUND((ROUND(AT25*AG25,2)*49),6)</f>
        <v>155.33000000000001</v>
      </c>
    </row>
    <row r="26" spans="1:107" x14ac:dyDescent="0.2">
      <c r="A26">
        <f>ROW(Source!A38)</f>
        <v>38</v>
      </c>
      <c r="B26">
        <v>15805332</v>
      </c>
      <c r="C26">
        <v>15805640</v>
      </c>
      <c r="D26">
        <v>14435509</v>
      </c>
      <c r="E26">
        <v>1</v>
      </c>
      <c r="F26">
        <v>1</v>
      </c>
      <c r="G26">
        <v>27</v>
      </c>
      <c r="H26">
        <v>2</v>
      </c>
      <c r="I26" t="s">
        <v>194</v>
      </c>
      <c r="J26" t="s">
        <v>195</v>
      </c>
      <c r="K26" t="s">
        <v>196</v>
      </c>
      <c r="L26">
        <v>1368</v>
      </c>
      <c r="N26">
        <v>1011</v>
      </c>
      <c r="O26" t="s">
        <v>168</v>
      </c>
      <c r="P26" t="s">
        <v>168</v>
      </c>
      <c r="Q26">
        <v>1</v>
      </c>
      <c r="W26">
        <v>0</v>
      </c>
      <c r="X26">
        <v>-1786200580</v>
      </c>
      <c r="Y26">
        <v>0.39200000000000002</v>
      </c>
      <c r="AA26">
        <v>0</v>
      </c>
      <c r="AB26">
        <v>1014.12</v>
      </c>
      <c r="AC26">
        <v>317.13</v>
      </c>
      <c r="AD26">
        <v>0</v>
      </c>
      <c r="AE26">
        <v>0</v>
      </c>
      <c r="AF26">
        <v>1014.12</v>
      </c>
      <c r="AG26">
        <v>317.13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 t="s">
        <v>3</v>
      </c>
      <c r="AT26">
        <v>8.0000000000000002E-3</v>
      </c>
      <c r="AU26" t="s">
        <v>67</v>
      </c>
      <c r="AV26">
        <v>0</v>
      </c>
      <c r="AW26">
        <v>2</v>
      </c>
      <c r="AX26">
        <v>15805644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Y26*Source!I38</f>
        <v>2.6597200000000001</v>
      </c>
      <c r="CY26">
        <f t="shared" si="4"/>
        <v>1014.12</v>
      </c>
      <c r="CZ26">
        <f t="shared" si="5"/>
        <v>1014.12</v>
      </c>
      <c r="DA26">
        <f t="shared" si="6"/>
        <v>1</v>
      </c>
      <c r="DB26">
        <f>ROUND((ROUND(AT26*CZ26,2)*49),6)</f>
        <v>397.39</v>
      </c>
      <c r="DC26">
        <f>ROUND((ROUND(AT26*AG26,2)*49),6)</f>
        <v>124.46</v>
      </c>
    </row>
    <row r="27" spans="1:107" x14ac:dyDescent="0.2">
      <c r="A27">
        <f>ROW(Source!A76)</f>
        <v>76</v>
      </c>
      <c r="B27">
        <v>15805332</v>
      </c>
      <c r="C27">
        <v>15805671</v>
      </c>
      <c r="D27">
        <v>14422539</v>
      </c>
      <c r="E27">
        <v>27</v>
      </c>
      <c r="F27">
        <v>1</v>
      </c>
      <c r="G27">
        <v>27</v>
      </c>
      <c r="H27">
        <v>1</v>
      </c>
      <c r="I27" t="s">
        <v>162</v>
      </c>
      <c r="J27" t="s">
        <v>3</v>
      </c>
      <c r="K27" t="s">
        <v>163</v>
      </c>
      <c r="L27">
        <v>1191</v>
      </c>
      <c r="N27">
        <v>1013</v>
      </c>
      <c r="O27" t="s">
        <v>164</v>
      </c>
      <c r="P27" t="s">
        <v>164</v>
      </c>
      <c r="Q27">
        <v>1</v>
      </c>
      <c r="W27">
        <v>0</v>
      </c>
      <c r="X27">
        <v>476480486</v>
      </c>
      <c r="Y27">
        <v>18.440000000000001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18.440000000000001</v>
      </c>
      <c r="AU27" t="s">
        <v>3</v>
      </c>
      <c r="AV27">
        <v>1</v>
      </c>
      <c r="AW27">
        <v>2</v>
      </c>
      <c r="AX27">
        <v>15805682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Y27*Source!I76</f>
        <v>92.365960000000015</v>
      </c>
      <c r="CY27">
        <f>AD27</f>
        <v>0</v>
      </c>
      <c r="CZ27">
        <f>AH27</f>
        <v>0</v>
      </c>
      <c r="DA27">
        <f>AL27</f>
        <v>1</v>
      </c>
      <c r="DB27">
        <f t="shared" ref="DB27:DB36" si="7">ROUND(ROUND(AT27*CZ27,2),6)</f>
        <v>0</v>
      </c>
      <c r="DC27">
        <f t="shared" ref="DC27:DC36" si="8">ROUND(ROUND(AT27*AG27,2),6)</f>
        <v>0</v>
      </c>
    </row>
    <row r="28" spans="1:107" x14ac:dyDescent="0.2">
      <c r="A28">
        <f>ROW(Source!A76)</f>
        <v>76</v>
      </c>
      <c r="B28">
        <v>15805332</v>
      </c>
      <c r="C28">
        <v>15805671</v>
      </c>
      <c r="D28">
        <v>14435398</v>
      </c>
      <c r="E28">
        <v>1</v>
      </c>
      <c r="F28">
        <v>1</v>
      </c>
      <c r="G28">
        <v>27</v>
      </c>
      <c r="H28">
        <v>2</v>
      </c>
      <c r="I28" t="s">
        <v>165</v>
      </c>
      <c r="J28" t="s">
        <v>166</v>
      </c>
      <c r="K28" t="s">
        <v>167</v>
      </c>
      <c r="L28">
        <v>1368</v>
      </c>
      <c r="N28">
        <v>1011</v>
      </c>
      <c r="O28" t="s">
        <v>168</v>
      </c>
      <c r="P28" t="s">
        <v>168</v>
      </c>
      <c r="Q28">
        <v>1</v>
      </c>
      <c r="W28">
        <v>0</v>
      </c>
      <c r="X28">
        <v>2028281919</v>
      </c>
      <c r="Y28">
        <v>2.64</v>
      </c>
      <c r="AA28">
        <v>0</v>
      </c>
      <c r="AB28">
        <v>531.41</v>
      </c>
      <c r="AC28">
        <v>373.56</v>
      </c>
      <c r="AD28">
        <v>0</v>
      </c>
      <c r="AE28">
        <v>0</v>
      </c>
      <c r="AF28">
        <v>531.41</v>
      </c>
      <c r="AG28">
        <v>373.56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2.64</v>
      </c>
      <c r="AU28" t="s">
        <v>3</v>
      </c>
      <c r="AV28">
        <v>0</v>
      </c>
      <c r="AW28">
        <v>2</v>
      </c>
      <c r="AX28">
        <v>15805683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Y28*Source!I76</f>
        <v>13.223760000000002</v>
      </c>
      <c r="CY28">
        <f>AB28</f>
        <v>531.41</v>
      </c>
      <c r="CZ28">
        <f>AF28</f>
        <v>531.41</v>
      </c>
      <c r="DA28">
        <f>AJ28</f>
        <v>1</v>
      </c>
      <c r="DB28">
        <f t="shared" si="7"/>
        <v>1402.92</v>
      </c>
      <c r="DC28">
        <f t="shared" si="8"/>
        <v>986.2</v>
      </c>
    </row>
    <row r="29" spans="1:107" x14ac:dyDescent="0.2">
      <c r="A29">
        <f>ROW(Source!A76)</f>
        <v>76</v>
      </c>
      <c r="B29">
        <v>15805332</v>
      </c>
      <c r="C29">
        <v>15805671</v>
      </c>
      <c r="D29">
        <v>14435621</v>
      </c>
      <c r="E29">
        <v>1</v>
      </c>
      <c r="F29">
        <v>1</v>
      </c>
      <c r="G29">
        <v>27</v>
      </c>
      <c r="H29">
        <v>2</v>
      </c>
      <c r="I29" t="s">
        <v>169</v>
      </c>
      <c r="J29" t="s">
        <v>170</v>
      </c>
      <c r="K29" t="s">
        <v>171</v>
      </c>
      <c r="L29">
        <v>1368</v>
      </c>
      <c r="N29">
        <v>1011</v>
      </c>
      <c r="O29" t="s">
        <v>168</v>
      </c>
      <c r="P29" t="s">
        <v>168</v>
      </c>
      <c r="Q29">
        <v>1</v>
      </c>
      <c r="W29">
        <v>0</v>
      </c>
      <c r="X29">
        <v>-1222982568</v>
      </c>
      <c r="Y29">
        <v>1.18</v>
      </c>
      <c r="AA29">
        <v>0</v>
      </c>
      <c r="AB29">
        <v>7.44</v>
      </c>
      <c r="AC29">
        <v>0.98</v>
      </c>
      <c r="AD29">
        <v>0</v>
      </c>
      <c r="AE29">
        <v>0</v>
      </c>
      <c r="AF29">
        <v>7.44</v>
      </c>
      <c r="AG29">
        <v>0.98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1.18</v>
      </c>
      <c r="AU29" t="s">
        <v>3</v>
      </c>
      <c r="AV29">
        <v>0</v>
      </c>
      <c r="AW29">
        <v>2</v>
      </c>
      <c r="AX29">
        <v>15805684</v>
      </c>
      <c r="AY29">
        <v>1</v>
      </c>
      <c r="AZ29">
        <v>0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Y29*Source!I76</f>
        <v>5.9106199999999998</v>
      </c>
      <c r="CY29">
        <f>AB29</f>
        <v>7.44</v>
      </c>
      <c r="CZ29">
        <f>AF29</f>
        <v>7.44</v>
      </c>
      <c r="DA29">
        <f>AJ29</f>
        <v>1</v>
      </c>
      <c r="DB29">
        <f t="shared" si="7"/>
        <v>8.7799999999999994</v>
      </c>
      <c r="DC29">
        <f t="shared" si="8"/>
        <v>1.1599999999999999</v>
      </c>
    </row>
    <row r="30" spans="1:107" x14ac:dyDescent="0.2">
      <c r="A30">
        <f>ROW(Source!A76)</f>
        <v>76</v>
      </c>
      <c r="B30">
        <v>15805332</v>
      </c>
      <c r="C30">
        <v>15805671</v>
      </c>
      <c r="D30">
        <v>14434823</v>
      </c>
      <c r="E30">
        <v>1</v>
      </c>
      <c r="F30">
        <v>1</v>
      </c>
      <c r="G30">
        <v>27</v>
      </c>
      <c r="H30">
        <v>2</v>
      </c>
      <c r="I30" t="s">
        <v>172</v>
      </c>
      <c r="J30" t="s">
        <v>173</v>
      </c>
      <c r="K30" t="s">
        <v>174</v>
      </c>
      <c r="L30">
        <v>1368</v>
      </c>
      <c r="N30">
        <v>1011</v>
      </c>
      <c r="O30" t="s">
        <v>168</v>
      </c>
      <c r="P30" t="s">
        <v>168</v>
      </c>
      <c r="Q30">
        <v>1</v>
      </c>
      <c r="W30">
        <v>0</v>
      </c>
      <c r="X30">
        <v>-929482187</v>
      </c>
      <c r="Y30">
        <v>0.01</v>
      </c>
      <c r="AA30">
        <v>0</v>
      </c>
      <c r="AB30">
        <v>616.73</v>
      </c>
      <c r="AC30">
        <v>511.29</v>
      </c>
      <c r="AD30">
        <v>0</v>
      </c>
      <c r="AE30">
        <v>0</v>
      </c>
      <c r="AF30">
        <v>616.73</v>
      </c>
      <c r="AG30">
        <v>511.29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0.01</v>
      </c>
      <c r="AU30" t="s">
        <v>3</v>
      </c>
      <c r="AV30">
        <v>0</v>
      </c>
      <c r="AW30">
        <v>2</v>
      </c>
      <c r="AX30">
        <v>15805685</v>
      </c>
      <c r="AY30">
        <v>1</v>
      </c>
      <c r="AZ30">
        <v>0</v>
      </c>
      <c r="BA30">
        <v>29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Y30*Source!I76</f>
        <v>5.0090000000000003E-2</v>
      </c>
      <c r="CY30">
        <f>AB30</f>
        <v>616.73</v>
      </c>
      <c r="CZ30">
        <f>AF30</f>
        <v>616.73</v>
      </c>
      <c r="DA30">
        <f>AJ30</f>
        <v>1</v>
      </c>
      <c r="DB30">
        <f t="shared" si="7"/>
        <v>6.17</v>
      </c>
      <c r="DC30">
        <f t="shared" si="8"/>
        <v>5.1100000000000003</v>
      </c>
    </row>
    <row r="31" spans="1:107" x14ac:dyDescent="0.2">
      <c r="A31">
        <f>ROW(Source!A76)</f>
        <v>76</v>
      </c>
      <c r="B31">
        <v>15805332</v>
      </c>
      <c r="C31">
        <v>15805671</v>
      </c>
      <c r="D31">
        <v>14435007</v>
      </c>
      <c r="E31">
        <v>1</v>
      </c>
      <c r="F31">
        <v>1</v>
      </c>
      <c r="G31">
        <v>27</v>
      </c>
      <c r="H31">
        <v>2</v>
      </c>
      <c r="I31" t="s">
        <v>175</v>
      </c>
      <c r="J31" t="s">
        <v>176</v>
      </c>
      <c r="K31" t="s">
        <v>177</v>
      </c>
      <c r="L31">
        <v>1368</v>
      </c>
      <c r="N31">
        <v>1011</v>
      </c>
      <c r="O31" t="s">
        <v>168</v>
      </c>
      <c r="P31" t="s">
        <v>168</v>
      </c>
      <c r="Q31">
        <v>1</v>
      </c>
      <c r="W31">
        <v>0</v>
      </c>
      <c r="X31">
        <v>1948933241</v>
      </c>
      <c r="Y31">
        <v>2.64</v>
      </c>
      <c r="AA31">
        <v>0</v>
      </c>
      <c r="AB31">
        <v>454.31</v>
      </c>
      <c r="AC31">
        <v>405.68</v>
      </c>
      <c r="AD31">
        <v>0</v>
      </c>
      <c r="AE31">
        <v>0</v>
      </c>
      <c r="AF31">
        <v>454.31</v>
      </c>
      <c r="AG31">
        <v>405.68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2.64</v>
      </c>
      <c r="AU31" t="s">
        <v>3</v>
      </c>
      <c r="AV31">
        <v>0</v>
      </c>
      <c r="AW31">
        <v>2</v>
      </c>
      <c r="AX31">
        <v>15805686</v>
      </c>
      <c r="AY31">
        <v>1</v>
      </c>
      <c r="AZ31">
        <v>0</v>
      </c>
      <c r="BA31">
        <v>30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Y31*Source!I76</f>
        <v>13.223760000000002</v>
      </c>
      <c r="CY31">
        <f>AB31</f>
        <v>454.31</v>
      </c>
      <c r="CZ31">
        <f>AF31</f>
        <v>454.31</v>
      </c>
      <c r="DA31">
        <f>AJ31</f>
        <v>1</v>
      </c>
      <c r="DB31">
        <f t="shared" si="7"/>
        <v>1199.3800000000001</v>
      </c>
      <c r="DC31">
        <f t="shared" si="8"/>
        <v>1071</v>
      </c>
    </row>
    <row r="32" spans="1:107" x14ac:dyDescent="0.2">
      <c r="A32">
        <f>ROW(Source!A76)</f>
        <v>76</v>
      </c>
      <c r="B32">
        <v>15805332</v>
      </c>
      <c r="C32">
        <v>15805671</v>
      </c>
      <c r="D32">
        <v>14437831</v>
      </c>
      <c r="E32">
        <v>1</v>
      </c>
      <c r="F32">
        <v>1</v>
      </c>
      <c r="G32">
        <v>27</v>
      </c>
      <c r="H32">
        <v>3</v>
      </c>
      <c r="I32" t="s">
        <v>178</v>
      </c>
      <c r="J32" t="s">
        <v>179</v>
      </c>
      <c r="K32" t="s">
        <v>180</v>
      </c>
      <c r="L32">
        <v>1327</v>
      </c>
      <c r="N32">
        <v>1005</v>
      </c>
      <c r="O32" t="s">
        <v>181</v>
      </c>
      <c r="P32" t="s">
        <v>181</v>
      </c>
      <c r="Q32">
        <v>1</v>
      </c>
      <c r="W32">
        <v>0</v>
      </c>
      <c r="X32">
        <v>-656702110</v>
      </c>
      <c r="Y32">
        <v>5.6</v>
      </c>
      <c r="AA32">
        <v>12.02</v>
      </c>
      <c r="AB32">
        <v>0</v>
      </c>
      <c r="AC32">
        <v>0</v>
      </c>
      <c r="AD32">
        <v>0</v>
      </c>
      <c r="AE32">
        <v>12.02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5.6</v>
      </c>
      <c r="AU32" t="s">
        <v>3</v>
      </c>
      <c r="AV32">
        <v>0</v>
      </c>
      <c r="AW32">
        <v>2</v>
      </c>
      <c r="AX32">
        <v>15805687</v>
      </c>
      <c r="AY32">
        <v>1</v>
      </c>
      <c r="AZ32">
        <v>0</v>
      </c>
      <c r="BA32">
        <v>31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Y32*Source!I76</f>
        <v>28.0504</v>
      </c>
      <c r="CY32">
        <f>AA32</f>
        <v>12.02</v>
      </c>
      <c r="CZ32">
        <f>AE32</f>
        <v>12.02</v>
      </c>
      <c r="DA32">
        <f>AI32</f>
        <v>1</v>
      </c>
      <c r="DB32">
        <f t="shared" si="7"/>
        <v>67.31</v>
      </c>
      <c r="DC32">
        <f t="shared" si="8"/>
        <v>0</v>
      </c>
    </row>
    <row r="33" spans="1:107" x14ac:dyDescent="0.2">
      <c r="A33">
        <f>ROW(Source!A76)</f>
        <v>76</v>
      </c>
      <c r="B33">
        <v>15805332</v>
      </c>
      <c r="C33">
        <v>15805671</v>
      </c>
      <c r="D33">
        <v>14437918</v>
      </c>
      <c r="E33">
        <v>1</v>
      </c>
      <c r="F33">
        <v>1</v>
      </c>
      <c r="G33">
        <v>27</v>
      </c>
      <c r="H33">
        <v>3</v>
      </c>
      <c r="I33" t="s">
        <v>182</v>
      </c>
      <c r="J33" t="s">
        <v>183</v>
      </c>
      <c r="K33" t="s">
        <v>184</v>
      </c>
      <c r="L33">
        <v>1348</v>
      </c>
      <c r="N33">
        <v>1009</v>
      </c>
      <c r="O33" t="s">
        <v>30</v>
      </c>
      <c r="P33" t="s">
        <v>30</v>
      </c>
      <c r="Q33">
        <v>1000</v>
      </c>
      <c r="W33">
        <v>0</v>
      </c>
      <c r="X33">
        <v>2135985724</v>
      </c>
      <c r="Y33">
        <v>3.15E-3</v>
      </c>
      <c r="AA33">
        <v>343020.03</v>
      </c>
      <c r="AB33">
        <v>0</v>
      </c>
      <c r="AC33">
        <v>0</v>
      </c>
      <c r="AD33">
        <v>0</v>
      </c>
      <c r="AE33">
        <v>343020.03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3.15E-3</v>
      </c>
      <c r="AU33" t="s">
        <v>3</v>
      </c>
      <c r="AV33">
        <v>0</v>
      </c>
      <c r="AW33">
        <v>2</v>
      </c>
      <c r="AX33">
        <v>15805688</v>
      </c>
      <c r="AY33">
        <v>1</v>
      </c>
      <c r="AZ33">
        <v>0</v>
      </c>
      <c r="BA33">
        <v>32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Y33*Source!I76</f>
        <v>1.577835E-2</v>
      </c>
      <c r="CY33">
        <f>AA33</f>
        <v>343020.03</v>
      </c>
      <c r="CZ33">
        <f>AE33</f>
        <v>343020.03</v>
      </c>
      <c r="DA33">
        <f>AI33</f>
        <v>1</v>
      </c>
      <c r="DB33">
        <f t="shared" si="7"/>
        <v>1080.51</v>
      </c>
      <c r="DC33">
        <f t="shared" si="8"/>
        <v>0</v>
      </c>
    </row>
    <row r="34" spans="1:107" x14ac:dyDescent="0.2">
      <c r="A34">
        <f>ROW(Source!A76)</f>
        <v>76</v>
      </c>
      <c r="B34">
        <v>15805332</v>
      </c>
      <c r="C34">
        <v>15805671</v>
      </c>
      <c r="D34">
        <v>14438135</v>
      </c>
      <c r="E34">
        <v>1</v>
      </c>
      <c r="F34">
        <v>1</v>
      </c>
      <c r="G34">
        <v>27</v>
      </c>
      <c r="H34">
        <v>3</v>
      </c>
      <c r="I34" t="s">
        <v>38</v>
      </c>
      <c r="J34" t="s">
        <v>41</v>
      </c>
      <c r="K34" t="s">
        <v>39</v>
      </c>
      <c r="L34">
        <v>1346</v>
      </c>
      <c r="N34">
        <v>1009</v>
      </c>
      <c r="O34" t="s">
        <v>40</v>
      </c>
      <c r="P34" t="s">
        <v>40</v>
      </c>
      <c r="Q34">
        <v>1</v>
      </c>
      <c r="W34">
        <v>0</v>
      </c>
      <c r="X34">
        <v>-78256104</v>
      </c>
      <c r="Y34">
        <v>735</v>
      </c>
      <c r="AA34">
        <v>17.77</v>
      </c>
      <c r="AB34">
        <v>0</v>
      </c>
      <c r="AC34">
        <v>0</v>
      </c>
      <c r="AD34">
        <v>0</v>
      </c>
      <c r="AE34">
        <v>17.77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735</v>
      </c>
      <c r="AU34" t="s">
        <v>3</v>
      </c>
      <c r="AV34">
        <v>0</v>
      </c>
      <c r="AW34">
        <v>2</v>
      </c>
      <c r="AX34">
        <v>15805689</v>
      </c>
      <c r="AY34">
        <v>1</v>
      </c>
      <c r="AZ34">
        <v>0</v>
      </c>
      <c r="BA34">
        <v>33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Y34*Source!I76</f>
        <v>3681.6150000000002</v>
      </c>
      <c r="CY34">
        <f>AA34</f>
        <v>17.77</v>
      </c>
      <c r="CZ34">
        <f>AE34</f>
        <v>17.77</v>
      </c>
      <c r="DA34">
        <f>AI34</f>
        <v>1</v>
      </c>
      <c r="DB34">
        <f t="shared" si="7"/>
        <v>13060.95</v>
      </c>
      <c r="DC34">
        <f t="shared" si="8"/>
        <v>0</v>
      </c>
    </row>
    <row r="35" spans="1:107" x14ac:dyDescent="0.2">
      <c r="A35">
        <f>ROW(Source!A76)</f>
        <v>76</v>
      </c>
      <c r="B35">
        <v>15805332</v>
      </c>
      <c r="C35">
        <v>15805671</v>
      </c>
      <c r="D35">
        <v>14438142</v>
      </c>
      <c r="E35">
        <v>1</v>
      </c>
      <c r="F35">
        <v>1</v>
      </c>
      <c r="G35">
        <v>27</v>
      </c>
      <c r="H35">
        <v>3</v>
      </c>
      <c r="I35" t="s">
        <v>185</v>
      </c>
      <c r="J35" t="s">
        <v>186</v>
      </c>
      <c r="K35" t="s">
        <v>187</v>
      </c>
      <c r="L35">
        <v>1346</v>
      </c>
      <c r="N35">
        <v>1009</v>
      </c>
      <c r="O35" t="s">
        <v>40</v>
      </c>
      <c r="P35" t="s">
        <v>40</v>
      </c>
      <c r="Q35">
        <v>1</v>
      </c>
      <c r="W35">
        <v>0</v>
      </c>
      <c r="X35">
        <v>1434584530</v>
      </c>
      <c r="Y35">
        <v>241.5</v>
      </c>
      <c r="AA35">
        <v>202.34</v>
      </c>
      <c r="AB35">
        <v>0</v>
      </c>
      <c r="AC35">
        <v>0</v>
      </c>
      <c r="AD35">
        <v>0</v>
      </c>
      <c r="AE35">
        <v>202.34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241.5</v>
      </c>
      <c r="AU35" t="s">
        <v>3</v>
      </c>
      <c r="AV35">
        <v>0</v>
      </c>
      <c r="AW35">
        <v>2</v>
      </c>
      <c r="AX35">
        <v>15805690</v>
      </c>
      <c r="AY35">
        <v>1</v>
      </c>
      <c r="AZ35">
        <v>0</v>
      </c>
      <c r="BA35">
        <v>34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Y35*Source!I76</f>
        <v>1209.6735000000001</v>
      </c>
      <c r="CY35">
        <f>AA35</f>
        <v>202.34</v>
      </c>
      <c r="CZ35">
        <f>AE35</f>
        <v>202.34</v>
      </c>
      <c r="DA35">
        <f>AI35</f>
        <v>1</v>
      </c>
      <c r="DB35">
        <f t="shared" si="7"/>
        <v>48865.11</v>
      </c>
      <c r="DC35">
        <f t="shared" si="8"/>
        <v>0</v>
      </c>
    </row>
    <row r="36" spans="1:107" x14ac:dyDescent="0.2">
      <c r="A36">
        <f>ROW(Source!A76)</f>
        <v>76</v>
      </c>
      <c r="B36">
        <v>15805332</v>
      </c>
      <c r="C36">
        <v>15805671</v>
      </c>
      <c r="D36">
        <v>14436109</v>
      </c>
      <c r="E36">
        <v>1</v>
      </c>
      <c r="F36">
        <v>1</v>
      </c>
      <c r="G36">
        <v>27</v>
      </c>
      <c r="H36">
        <v>3</v>
      </c>
      <c r="I36" t="s">
        <v>28</v>
      </c>
      <c r="J36" t="s">
        <v>31</v>
      </c>
      <c r="K36" t="s">
        <v>29</v>
      </c>
      <c r="L36">
        <v>1348</v>
      </c>
      <c r="N36">
        <v>1009</v>
      </c>
      <c r="O36" t="s">
        <v>30</v>
      </c>
      <c r="P36" t="s">
        <v>30</v>
      </c>
      <c r="Q36">
        <v>1000</v>
      </c>
      <c r="W36">
        <v>1</v>
      </c>
      <c r="X36">
        <v>-629368275</v>
      </c>
      <c r="Y36">
        <v>-5.2499999999999998E-2</v>
      </c>
      <c r="AA36">
        <v>748299.67</v>
      </c>
      <c r="AB36">
        <v>0</v>
      </c>
      <c r="AC36">
        <v>0</v>
      </c>
      <c r="AD36">
        <v>0</v>
      </c>
      <c r="AE36">
        <v>748299.67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-5.2499999999999998E-2</v>
      </c>
      <c r="AU36" t="s">
        <v>3</v>
      </c>
      <c r="AV36">
        <v>0</v>
      </c>
      <c r="AW36">
        <v>2</v>
      </c>
      <c r="AX36">
        <v>15805691</v>
      </c>
      <c r="AY36">
        <v>1</v>
      </c>
      <c r="AZ36">
        <v>6144</v>
      </c>
      <c r="BA36">
        <v>35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Y36*Source!I76</f>
        <v>-0.2629725</v>
      </c>
      <c r="CY36">
        <f>AA36</f>
        <v>748299.67</v>
      </c>
      <c r="CZ36">
        <f>AE36</f>
        <v>748299.67</v>
      </c>
      <c r="DA36">
        <f>AI36</f>
        <v>1</v>
      </c>
      <c r="DB36">
        <f t="shared" si="7"/>
        <v>-39285.730000000003</v>
      </c>
      <c r="DC36">
        <f t="shared" si="8"/>
        <v>0</v>
      </c>
    </row>
    <row r="37" spans="1:107" x14ac:dyDescent="0.2">
      <c r="A37">
        <f>ROW(Source!A78)</f>
        <v>78</v>
      </c>
      <c r="B37">
        <v>15805332</v>
      </c>
      <c r="C37">
        <v>15805693</v>
      </c>
      <c r="D37">
        <v>14422539</v>
      </c>
      <c r="E37">
        <v>27</v>
      </c>
      <c r="F37">
        <v>1</v>
      </c>
      <c r="G37">
        <v>27</v>
      </c>
      <c r="H37">
        <v>1</v>
      </c>
      <c r="I37" t="s">
        <v>162</v>
      </c>
      <c r="J37" t="s">
        <v>3</v>
      </c>
      <c r="K37" t="s">
        <v>163</v>
      </c>
      <c r="L37">
        <v>1191</v>
      </c>
      <c r="N37">
        <v>1013</v>
      </c>
      <c r="O37" t="s">
        <v>164</v>
      </c>
      <c r="P37" t="s">
        <v>164</v>
      </c>
      <c r="Q37">
        <v>1</v>
      </c>
      <c r="W37">
        <v>0</v>
      </c>
      <c r="X37">
        <v>476480486</v>
      </c>
      <c r="Y37">
        <v>13.25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 t="s">
        <v>3</v>
      </c>
      <c r="AT37">
        <v>2.65</v>
      </c>
      <c r="AU37" t="s">
        <v>36</v>
      </c>
      <c r="AV37">
        <v>1</v>
      </c>
      <c r="AW37">
        <v>2</v>
      </c>
      <c r="AX37">
        <v>15805700</v>
      </c>
      <c r="AY37">
        <v>1</v>
      </c>
      <c r="AZ37">
        <v>0</v>
      </c>
      <c r="BA37">
        <v>36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Y37*Source!I78</f>
        <v>66.369250000000008</v>
      </c>
      <c r="CY37">
        <f>AD37</f>
        <v>0</v>
      </c>
      <c r="CZ37">
        <f>AH37</f>
        <v>0</v>
      </c>
      <c r="DA37">
        <f>AL37</f>
        <v>1</v>
      </c>
      <c r="DB37">
        <f>ROUND((ROUND(AT37*CZ37,2)*5),6)</f>
        <v>0</v>
      </c>
      <c r="DC37">
        <f>ROUND((ROUND(AT37*AG37,2)*5),6)</f>
        <v>0</v>
      </c>
    </row>
    <row r="38" spans="1:107" x14ac:dyDescent="0.2">
      <c r="A38">
        <f>ROW(Source!A78)</f>
        <v>78</v>
      </c>
      <c r="B38">
        <v>15805332</v>
      </c>
      <c r="C38">
        <v>15805693</v>
      </c>
      <c r="D38">
        <v>14435398</v>
      </c>
      <c r="E38">
        <v>1</v>
      </c>
      <c r="F38">
        <v>1</v>
      </c>
      <c r="G38">
        <v>27</v>
      </c>
      <c r="H38">
        <v>2</v>
      </c>
      <c r="I38" t="s">
        <v>165</v>
      </c>
      <c r="J38" t="s">
        <v>166</v>
      </c>
      <c r="K38" t="s">
        <v>167</v>
      </c>
      <c r="L38">
        <v>1368</v>
      </c>
      <c r="N38">
        <v>1011</v>
      </c>
      <c r="O38" t="s">
        <v>168</v>
      </c>
      <c r="P38" t="s">
        <v>168</v>
      </c>
      <c r="Q38">
        <v>1</v>
      </c>
      <c r="W38">
        <v>0</v>
      </c>
      <c r="X38">
        <v>2028281919</v>
      </c>
      <c r="Y38">
        <v>2.5</v>
      </c>
      <c r="AA38">
        <v>0</v>
      </c>
      <c r="AB38">
        <v>531.41</v>
      </c>
      <c r="AC38">
        <v>373.56</v>
      </c>
      <c r="AD38">
        <v>0</v>
      </c>
      <c r="AE38">
        <v>0</v>
      </c>
      <c r="AF38">
        <v>531.41</v>
      </c>
      <c r="AG38">
        <v>373.56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1</v>
      </c>
      <c r="AQ38">
        <v>0</v>
      </c>
      <c r="AR38">
        <v>0</v>
      </c>
      <c r="AS38" t="s">
        <v>3</v>
      </c>
      <c r="AT38">
        <v>0.5</v>
      </c>
      <c r="AU38" t="s">
        <v>36</v>
      </c>
      <c r="AV38">
        <v>0</v>
      </c>
      <c r="AW38">
        <v>2</v>
      </c>
      <c r="AX38">
        <v>15805701</v>
      </c>
      <c r="AY38">
        <v>1</v>
      </c>
      <c r="AZ38">
        <v>0</v>
      </c>
      <c r="BA38">
        <v>37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Y38*Source!I78</f>
        <v>12.522500000000001</v>
      </c>
      <c r="CY38">
        <f>AB38</f>
        <v>531.41</v>
      </c>
      <c r="CZ38">
        <f>AF38</f>
        <v>531.41</v>
      </c>
      <c r="DA38">
        <f>AJ38</f>
        <v>1</v>
      </c>
      <c r="DB38">
        <f>ROUND((ROUND(AT38*CZ38,2)*5),6)</f>
        <v>1328.55</v>
      </c>
      <c r="DC38">
        <f>ROUND((ROUND(AT38*AG38,2)*5),6)</f>
        <v>933.9</v>
      </c>
    </row>
    <row r="39" spans="1:107" x14ac:dyDescent="0.2">
      <c r="A39">
        <f>ROW(Source!A78)</f>
        <v>78</v>
      </c>
      <c r="B39">
        <v>15805332</v>
      </c>
      <c r="C39">
        <v>15805693</v>
      </c>
      <c r="D39">
        <v>14435007</v>
      </c>
      <c r="E39">
        <v>1</v>
      </c>
      <c r="F39">
        <v>1</v>
      </c>
      <c r="G39">
        <v>27</v>
      </c>
      <c r="H39">
        <v>2</v>
      </c>
      <c r="I39" t="s">
        <v>175</v>
      </c>
      <c r="J39" t="s">
        <v>176</v>
      </c>
      <c r="K39" t="s">
        <v>177</v>
      </c>
      <c r="L39">
        <v>1368</v>
      </c>
      <c r="N39">
        <v>1011</v>
      </c>
      <c r="O39" t="s">
        <v>168</v>
      </c>
      <c r="P39" t="s">
        <v>168</v>
      </c>
      <c r="Q39">
        <v>1</v>
      </c>
      <c r="W39">
        <v>0</v>
      </c>
      <c r="X39">
        <v>1948933241</v>
      </c>
      <c r="Y39">
        <v>2.5</v>
      </c>
      <c r="AA39">
        <v>0</v>
      </c>
      <c r="AB39">
        <v>454.31</v>
      </c>
      <c r="AC39">
        <v>405.68</v>
      </c>
      <c r="AD39">
        <v>0</v>
      </c>
      <c r="AE39">
        <v>0</v>
      </c>
      <c r="AF39">
        <v>454.31</v>
      </c>
      <c r="AG39">
        <v>405.68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 t="s">
        <v>3</v>
      </c>
      <c r="AT39">
        <v>0.5</v>
      </c>
      <c r="AU39" t="s">
        <v>36</v>
      </c>
      <c r="AV39">
        <v>0</v>
      </c>
      <c r="AW39">
        <v>2</v>
      </c>
      <c r="AX39">
        <v>15805702</v>
      </c>
      <c r="AY39">
        <v>1</v>
      </c>
      <c r="AZ39">
        <v>0</v>
      </c>
      <c r="BA39">
        <v>38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Y39*Source!I78</f>
        <v>12.522500000000001</v>
      </c>
      <c r="CY39">
        <f>AB39</f>
        <v>454.31</v>
      </c>
      <c r="CZ39">
        <f>AF39</f>
        <v>454.31</v>
      </c>
      <c r="DA39">
        <f>AJ39</f>
        <v>1</v>
      </c>
      <c r="DB39">
        <f>ROUND((ROUND(AT39*CZ39,2)*5),6)</f>
        <v>1135.8</v>
      </c>
      <c r="DC39">
        <f>ROUND((ROUND(AT39*AG39,2)*5),6)</f>
        <v>1014.2</v>
      </c>
    </row>
    <row r="40" spans="1:107" x14ac:dyDescent="0.2">
      <c r="A40">
        <f>ROW(Source!A78)</f>
        <v>78</v>
      </c>
      <c r="B40">
        <v>15805332</v>
      </c>
      <c r="C40">
        <v>15805693</v>
      </c>
      <c r="D40">
        <v>14438135</v>
      </c>
      <c r="E40">
        <v>1</v>
      </c>
      <c r="F40">
        <v>1</v>
      </c>
      <c r="G40">
        <v>27</v>
      </c>
      <c r="H40">
        <v>3</v>
      </c>
      <c r="I40" t="s">
        <v>38</v>
      </c>
      <c r="J40" t="s">
        <v>41</v>
      </c>
      <c r="K40" t="s">
        <v>39</v>
      </c>
      <c r="L40">
        <v>1346</v>
      </c>
      <c r="N40">
        <v>1009</v>
      </c>
      <c r="O40" t="s">
        <v>40</v>
      </c>
      <c r="P40" t="s">
        <v>40</v>
      </c>
      <c r="Q40">
        <v>1</v>
      </c>
      <c r="W40">
        <v>1</v>
      </c>
      <c r="X40">
        <v>-78256104</v>
      </c>
      <c r="Y40">
        <v>-735</v>
      </c>
      <c r="AA40">
        <v>17.77</v>
      </c>
      <c r="AB40">
        <v>0</v>
      </c>
      <c r="AC40">
        <v>0</v>
      </c>
      <c r="AD40">
        <v>0</v>
      </c>
      <c r="AE40">
        <v>17.77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3</v>
      </c>
      <c r="AT40">
        <v>-147</v>
      </c>
      <c r="AU40" t="s">
        <v>36</v>
      </c>
      <c r="AV40">
        <v>0</v>
      </c>
      <c r="AW40">
        <v>2</v>
      </c>
      <c r="AX40">
        <v>15805703</v>
      </c>
      <c r="AY40">
        <v>1</v>
      </c>
      <c r="AZ40">
        <v>6144</v>
      </c>
      <c r="BA40">
        <v>39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Y40*Source!I78</f>
        <v>-3681.6150000000002</v>
      </c>
      <c r="CY40">
        <f>AA40</f>
        <v>17.77</v>
      </c>
      <c r="CZ40">
        <f>AE40</f>
        <v>17.77</v>
      </c>
      <c r="DA40">
        <f>AI40</f>
        <v>1</v>
      </c>
      <c r="DB40">
        <f>ROUND((ROUND(AT40*CZ40,2)*5),6)</f>
        <v>-13060.95</v>
      </c>
      <c r="DC40">
        <f>ROUND((ROUND(AT40*AG40,2)*5),6)</f>
        <v>0</v>
      </c>
    </row>
    <row r="41" spans="1:107" x14ac:dyDescent="0.2">
      <c r="A41">
        <f>ROW(Source!A78)</f>
        <v>78</v>
      </c>
      <c r="B41">
        <v>15805332</v>
      </c>
      <c r="C41">
        <v>15805693</v>
      </c>
      <c r="D41">
        <v>14438136</v>
      </c>
      <c r="E41">
        <v>1</v>
      </c>
      <c r="F41">
        <v>1</v>
      </c>
      <c r="G41">
        <v>27</v>
      </c>
      <c r="H41">
        <v>3</v>
      </c>
      <c r="I41" t="s">
        <v>43</v>
      </c>
      <c r="J41" t="s">
        <v>45</v>
      </c>
      <c r="K41" t="s">
        <v>44</v>
      </c>
      <c r="L41">
        <v>1346</v>
      </c>
      <c r="N41">
        <v>1009</v>
      </c>
      <c r="O41" t="s">
        <v>40</v>
      </c>
      <c r="P41" t="s">
        <v>40</v>
      </c>
      <c r="Q41">
        <v>1</v>
      </c>
      <c r="W41">
        <v>0</v>
      </c>
      <c r="X41">
        <v>-229590560</v>
      </c>
      <c r="Y41">
        <v>735</v>
      </c>
      <c r="AA41">
        <v>94.72</v>
      </c>
      <c r="AB41">
        <v>0</v>
      </c>
      <c r="AC41">
        <v>0</v>
      </c>
      <c r="AD41">
        <v>0</v>
      </c>
      <c r="AE41">
        <v>94.72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 t="s">
        <v>3</v>
      </c>
      <c r="AT41">
        <v>735</v>
      </c>
      <c r="AU41" t="s">
        <v>3</v>
      </c>
      <c r="AV41">
        <v>0</v>
      </c>
      <c r="AW41">
        <v>1</v>
      </c>
      <c r="AX41">
        <v>-1</v>
      </c>
      <c r="AY41">
        <v>0</v>
      </c>
      <c r="AZ41">
        <v>0</v>
      </c>
      <c r="BA41" t="s">
        <v>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Y41*Source!I78</f>
        <v>3681.6150000000002</v>
      </c>
      <c r="CY41">
        <f>AA41</f>
        <v>94.72</v>
      </c>
      <c r="CZ41">
        <f>AE41</f>
        <v>94.72</v>
      </c>
      <c r="DA41">
        <f>AI41</f>
        <v>1</v>
      </c>
      <c r="DB41">
        <f>ROUND(ROUND(AT41*CZ41,2),6)</f>
        <v>69619.199999999997</v>
      </c>
      <c r="DC41">
        <f>ROUND(ROUND(AT41*AG41,2),6)</f>
        <v>0</v>
      </c>
    </row>
    <row r="42" spans="1:107" x14ac:dyDescent="0.2">
      <c r="A42">
        <f>ROW(Source!A78)</f>
        <v>78</v>
      </c>
      <c r="B42">
        <v>15805332</v>
      </c>
      <c r="C42">
        <v>15805693</v>
      </c>
      <c r="D42">
        <v>14438142</v>
      </c>
      <c r="E42">
        <v>1</v>
      </c>
      <c r="F42">
        <v>1</v>
      </c>
      <c r="G42">
        <v>27</v>
      </c>
      <c r="H42">
        <v>3</v>
      </c>
      <c r="I42" t="s">
        <v>185</v>
      </c>
      <c r="J42" t="s">
        <v>186</v>
      </c>
      <c r="K42" t="s">
        <v>187</v>
      </c>
      <c r="L42">
        <v>1346</v>
      </c>
      <c r="N42">
        <v>1009</v>
      </c>
      <c r="O42" t="s">
        <v>40</v>
      </c>
      <c r="P42" t="s">
        <v>40</v>
      </c>
      <c r="Q42">
        <v>1</v>
      </c>
      <c r="W42">
        <v>0</v>
      </c>
      <c r="X42">
        <v>1434584530</v>
      </c>
      <c r="Y42">
        <v>210</v>
      </c>
      <c r="AA42">
        <v>202.34</v>
      </c>
      <c r="AB42">
        <v>0</v>
      </c>
      <c r="AC42">
        <v>0</v>
      </c>
      <c r="AD42">
        <v>0</v>
      </c>
      <c r="AE42">
        <v>202.34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 t="s">
        <v>3</v>
      </c>
      <c r="AT42">
        <v>42</v>
      </c>
      <c r="AU42" t="s">
        <v>36</v>
      </c>
      <c r="AV42">
        <v>0</v>
      </c>
      <c r="AW42">
        <v>2</v>
      </c>
      <c r="AX42">
        <v>15805704</v>
      </c>
      <c r="AY42">
        <v>1</v>
      </c>
      <c r="AZ42">
        <v>0</v>
      </c>
      <c r="BA42">
        <v>40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Y42*Source!I78</f>
        <v>1051.8900000000001</v>
      </c>
      <c r="CY42">
        <f>AA42</f>
        <v>202.34</v>
      </c>
      <c r="CZ42">
        <f>AE42</f>
        <v>202.34</v>
      </c>
      <c r="DA42">
        <f>AI42</f>
        <v>1</v>
      </c>
      <c r="DB42">
        <f>ROUND((ROUND(AT42*CZ42,2)*5),6)</f>
        <v>42491.4</v>
      </c>
      <c r="DC42">
        <f>ROUND((ROUND(AT42*AG42,2)*5),6)</f>
        <v>0</v>
      </c>
    </row>
    <row r="43" spans="1:107" x14ac:dyDescent="0.2">
      <c r="A43">
        <f>ROW(Source!A78)</f>
        <v>78</v>
      </c>
      <c r="B43">
        <v>15805332</v>
      </c>
      <c r="C43">
        <v>15805693</v>
      </c>
      <c r="D43">
        <v>14436109</v>
      </c>
      <c r="E43">
        <v>1</v>
      </c>
      <c r="F43">
        <v>1</v>
      </c>
      <c r="G43">
        <v>27</v>
      </c>
      <c r="H43">
        <v>3</v>
      </c>
      <c r="I43" t="s">
        <v>28</v>
      </c>
      <c r="J43" t="s">
        <v>31</v>
      </c>
      <c r="K43" t="s">
        <v>29</v>
      </c>
      <c r="L43">
        <v>1348</v>
      </c>
      <c r="N43">
        <v>1009</v>
      </c>
      <c r="O43" t="s">
        <v>30</v>
      </c>
      <c r="P43" t="s">
        <v>30</v>
      </c>
      <c r="Q43">
        <v>1000</v>
      </c>
      <c r="W43">
        <v>0</v>
      </c>
      <c r="X43">
        <v>-629368275</v>
      </c>
      <c r="Y43">
        <v>5.2500000000000005E-2</v>
      </c>
      <c r="AA43">
        <v>748299.67</v>
      </c>
      <c r="AB43">
        <v>0</v>
      </c>
      <c r="AC43">
        <v>0</v>
      </c>
      <c r="AD43">
        <v>0</v>
      </c>
      <c r="AE43">
        <v>748299.67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1</v>
      </c>
      <c r="AQ43">
        <v>0</v>
      </c>
      <c r="AR43">
        <v>0</v>
      </c>
      <c r="AS43" t="s">
        <v>3</v>
      </c>
      <c r="AT43">
        <v>1.0500000000000001E-2</v>
      </c>
      <c r="AU43" t="s">
        <v>36</v>
      </c>
      <c r="AV43">
        <v>0</v>
      </c>
      <c r="AW43">
        <v>2</v>
      </c>
      <c r="AX43">
        <v>15805705</v>
      </c>
      <c r="AY43">
        <v>1</v>
      </c>
      <c r="AZ43">
        <v>0</v>
      </c>
      <c r="BA43">
        <v>41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Y43*Source!I78</f>
        <v>0.26297250000000005</v>
      </c>
      <c r="CY43">
        <f>AA43</f>
        <v>748299.67</v>
      </c>
      <c r="CZ43">
        <f>AE43</f>
        <v>748299.67</v>
      </c>
      <c r="DA43">
        <f>AI43</f>
        <v>1</v>
      </c>
      <c r="DB43">
        <f>ROUND((ROUND(AT43*CZ43,2)*5),6)</f>
        <v>39285.75</v>
      </c>
      <c r="DC43">
        <f>ROUND((ROUND(AT43*AG43,2)*5),6)</f>
        <v>0</v>
      </c>
    </row>
    <row r="44" spans="1:107" x14ac:dyDescent="0.2">
      <c r="A44">
        <f>ROW(Source!A122)</f>
        <v>122</v>
      </c>
      <c r="B44">
        <v>15805332</v>
      </c>
      <c r="C44">
        <v>15805711</v>
      </c>
      <c r="D44">
        <v>14422539</v>
      </c>
      <c r="E44">
        <v>27</v>
      </c>
      <c r="F44">
        <v>1</v>
      </c>
      <c r="G44">
        <v>27</v>
      </c>
      <c r="H44">
        <v>1</v>
      </c>
      <c r="I44" t="s">
        <v>162</v>
      </c>
      <c r="J44" t="s">
        <v>3</v>
      </c>
      <c r="K44" t="s">
        <v>163</v>
      </c>
      <c r="L44">
        <v>1191</v>
      </c>
      <c r="N44">
        <v>1013</v>
      </c>
      <c r="O44" t="s">
        <v>164</v>
      </c>
      <c r="P44" t="s">
        <v>164</v>
      </c>
      <c r="Q44">
        <v>1</v>
      </c>
      <c r="W44">
        <v>0</v>
      </c>
      <c r="X44">
        <v>476480486</v>
      </c>
      <c r="Y44">
        <v>9.11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9.11</v>
      </c>
      <c r="AU44" t="s">
        <v>3</v>
      </c>
      <c r="AV44">
        <v>1</v>
      </c>
      <c r="AW44">
        <v>2</v>
      </c>
      <c r="AX44">
        <v>15805714</v>
      </c>
      <c r="AY44">
        <v>1</v>
      </c>
      <c r="AZ44">
        <v>0</v>
      </c>
      <c r="BA44">
        <v>42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Y44*Source!I122</f>
        <v>62.230409999999999</v>
      </c>
      <c r="CY44">
        <f>AD44</f>
        <v>0</v>
      </c>
      <c r="CZ44">
        <f>AH44</f>
        <v>0</v>
      </c>
      <c r="DA44">
        <f>AL44</f>
        <v>1</v>
      </c>
      <c r="DB44">
        <f t="shared" ref="DB44:DB63" si="9">ROUND(ROUND(AT44*CZ44,2),6)</f>
        <v>0</v>
      </c>
      <c r="DC44">
        <f t="shared" ref="DC44:DC63" si="10">ROUND(ROUND(AT44*AG44,2),6)</f>
        <v>0</v>
      </c>
    </row>
    <row r="45" spans="1:107" x14ac:dyDescent="0.2">
      <c r="A45">
        <f>ROW(Source!A122)</f>
        <v>122</v>
      </c>
      <c r="B45">
        <v>15805332</v>
      </c>
      <c r="C45">
        <v>15805711</v>
      </c>
      <c r="D45">
        <v>14435425</v>
      </c>
      <c r="E45">
        <v>1</v>
      </c>
      <c r="F45">
        <v>1</v>
      </c>
      <c r="G45">
        <v>27</v>
      </c>
      <c r="H45">
        <v>2</v>
      </c>
      <c r="I45" t="s">
        <v>197</v>
      </c>
      <c r="J45" t="s">
        <v>198</v>
      </c>
      <c r="K45" t="s">
        <v>199</v>
      </c>
      <c r="L45">
        <v>1368</v>
      </c>
      <c r="N45">
        <v>1011</v>
      </c>
      <c r="O45" t="s">
        <v>168</v>
      </c>
      <c r="P45" t="s">
        <v>168</v>
      </c>
      <c r="Q45">
        <v>1</v>
      </c>
      <c r="W45">
        <v>0</v>
      </c>
      <c r="X45">
        <v>1695681849</v>
      </c>
      <c r="Y45">
        <v>0.52</v>
      </c>
      <c r="AA45">
        <v>0</v>
      </c>
      <c r="AB45">
        <v>12.28</v>
      </c>
      <c r="AC45">
        <v>0.04</v>
      </c>
      <c r="AD45">
        <v>0</v>
      </c>
      <c r="AE45">
        <v>0</v>
      </c>
      <c r="AF45">
        <v>12.28</v>
      </c>
      <c r="AG45">
        <v>0.04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0.52</v>
      </c>
      <c r="AU45" t="s">
        <v>3</v>
      </c>
      <c r="AV45">
        <v>0</v>
      </c>
      <c r="AW45">
        <v>2</v>
      </c>
      <c r="AX45">
        <v>15805715</v>
      </c>
      <c r="AY45">
        <v>1</v>
      </c>
      <c r="AZ45">
        <v>0</v>
      </c>
      <c r="BA45">
        <v>43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Y45*Source!I122</f>
        <v>3.5521200000000004</v>
      </c>
      <c r="CY45">
        <f>AB45</f>
        <v>12.28</v>
      </c>
      <c r="CZ45">
        <f>AF45</f>
        <v>12.28</v>
      </c>
      <c r="DA45">
        <f>AJ45</f>
        <v>1</v>
      </c>
      <c r="DB45">
        <f t="shared" si="9"/>
        <v>6.39</v>
      </c>
      <c r="DC45">
        <f t="shared" si="10"/>
        <v>0.02</v>
      </c>
    </row>
    <row r="46" spans="1:107" x14ac:dyDescent="0.2">
      <c r="A46">
        <f>ROW(Source!A123)</f>
        <v>123</v>
      </c>
      <c r="B46">
        <v>15805332</v>
      </c>
      <c r="C46">
        <v>15820389</v>
      </c>
      <c r="D46">
        <v>14422539</v>
      </c>
      <c r="E46">
        <v>27</v>
      </c>
      <c r="F46">
        <v>1</v>
      </c>
      <c r="G46">
        <v>27</v>
      </c>
      <c r="H46">
        <v>1</v>
      </c>
      <c r="I46" t="s">
        <v>162</v>
      </c>
      <c r="J46" t="s">
        <v>3</v>
      </c>
      <c r="K46" t="s">
        <v>163</v>
      </c>
      <c r="L46">
        <v>1191</v>
      </c>
      <c r="N46">
        <v>1013</v>
      </c>
      <c r="O46" t="s">
        <v>164</v>
      </c>
      <c r="P46" t="s">
        <v>164</v>
      </c>
      <c r="Q46">
        <v>1</v>
      </c>
      <c r="W46">
        <v>0</v>
      </c>
      <c r="X46">
        <v>476480486</v>
      </c>
      <c r="Y46">
        <v>114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114</v>
      </c>
      <c r="AU46" t="s">
        <v>3</v>
      </c>
      <c r="AV46">
        <v>1</v>
      </c>
      <c r="AW46">
        <v>2</v>
      </c>
      <c r="AX46">
        <v>15820390</v>
      </c>
      <c r="AY46">
        <v>1</v>
      </c>
      <c r="AZ46">
        <v>0</v>
      </c>
      <c r="BA46">
        <v>44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Y46*Source!I123</f>
        <v>97.47</v>
      </c>
      <c r="CY46">
        <f>AD46</f>
        <v>0</v>
      </c>
      <c r="CZ46">
        <f>AH46</f>
        <v>0</v>
      </c>
      <c r="DA46">
        <f>AL46</f>
        <v>1</v>
      </c>
      <c r="DB46">
        <f t="shared" si="9"/>
        <v>0</v>
      </c>
      <c r="DC46">
        <f t="shared" si="10"/>
        <v>0</v>
      </c>
    </row>
    <row r="47" spans="1:107" x14ac:dyDescent="0.2">
      <c r="A47">
        <f>ROW(Source!A123)</f>
        <v>123</v>
      </c>
      <c r="B47">
        <v>15805332</v>
      </c>
      <c r="C47">
        <v>15820389</v>
      </c>
      <c r="D47">
        <v>14435065</v>
      </c>
      <c r="E47">
        <v>1</v>
      </c>
      <c r="F47">
        <v>1</v>
      </c>
      <c r="G47">
        <v>27</v>
      </c>
      <c r="H47">
        <v>2</v>
      </c>
      <c r="I47" t="s">
        <v>200</v>
      </c>
      <c r="J47" t="s">
        <v>201</v>
      </c>
      <c r="K47" t="s">
        <v>202</v>
      </c>
      <c r="L47">
        <v>1368</v>
      </c>
      <c r="N47">
        <v>1011</v>
      </c>
      <c r="O47" t="s">
        <v>168</v>
      </c>
      <c r="P47" t="s">
        <v>168</v>
      </c>
      <c r="Q47">
        <v>1</v>
      </c>
      <c r="W47">
        <v>0</v>
      </c>
      <c r="X47">
        <v>2087202158</v>
      </c>
      <c r="Y47">
        <v>0.24</v>
      </c>
      <c r="AA47">
        <v>0</v>
      </c>
      <c r="AB47">
        <v>470.71</v>
      </c>
      <c r="AC47">
        <v>359.8</v>
      </c>
      <c r="AD47">
        <v>0</v>
      </c>
      <c r="AE47">
        <v>0</v>
      </c>
      <c r="AF47">
        <v>470.71</v>
      </c>
      <c r="AG47">
        <v>359.8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0.24</v>
      </c>
      <c r="AU47" t="s">
        <v>3</v>
      </c>
      <c r="AV47">
        <v>0</v>
      </c>
      <c r="AW47">
        <v>2</v>
      </c>
      <c r="AX47">
        <v>15820391</v>
      </c>
      <c r="AY47">
        <v>1</v>
      </c>
      <c r="AZ47">
        <v>0</v>
      </c>
      <c r="BA47">
        <v>45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Y47*Source!I123</f>
        <v>0.20519999999999999</v>
      </c>
      <c r="CY47">
        <f>AB47</f>
        <v>470.71</v>
      </c>
      <c r="CZ47">
        <f>AF47</f>
        <v>470.71</v>
      </c>
      <c r="DA47">
        <f>AJ47</f>
        <v>1</v>
      </c>
      <c r="DB47">
        <f t="shared" si="9"/>
        <v>112.97</v>
      </c>
      <c r="DC47">
        <f t="shared" si="10"/>
        <v>86.35</v>
      </c>
    </row>
    <row r="48" spans="1:107" x14ac:dyDescent="0.2">
      <c r="A48">
        <f>ROW(Source!A123)</f>
        <v>123</v>
      </c>
      <c r="B48">
        <v>15805332</v>
      </c>
      <c r="C48">
        <v>15820389</v>
      </c>
      <c r="D48">
        <v>14435533</v>
      </c>
      <c r="E48">
        <v>1</v>
      </c>
      <c r="F48">
        <v>1</v>
      </c>
      <c r="G48">
        <v>27</v>
      </c>
      <c r="H48">
        <v>2</v>
      </c>
      <c r="I48" t="s">
        <v>203</v>
      </c>
      <c r="J48" t="s">
        <v>204</v>
      </c>
      <c r="K48" t="s">
        <v>205</v>
      </c>
      <c r="L48">
        <v>1368</v>
      </c>
      <c r="N48">
        <v>1011</v>
      </c>
      <c r="O48" t="s">
        <v>168</v>
      </c>
      <c r="P48" t="s">
        <v>168</v>
      </c>
      <c r="Q48">
        <v>1</v>
      </c>
      <c r="W48">
        <v>0</v>
      </c>
      <c r="X48">
        <v>2036496436</v>
      </c>
      <c r="Y48">
        <v>0.16</v>
      </c>
      <c r="AA48">
        <v>0</v>
      </c>
      <c r="AB48">
        <v>3.75</v>
      </c>
      <c r="AC48">
        <v>2.56</v>
      </c>
      <c r="AD48">
        <v>0</v>
      </c>
      <c r="AE48">
        <v>0</v>
      </c>
      <c r="AF48">
        <v>3.75</v>
      </c>
      <c r="AG48">
        <v>2.56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0.16</v>
      </c>
      <c r="AU48" t="s">
        <v>3</v>
      </c>
      <c r="AV48">
        <v>0</v>
      </c>
      <c r="AW48">
        <v>2</v>
      </c>
      <c r="AX48">
        <v>15820392</v>
      </c>
      <c r="AY48">
        <v>1</v>
      </c>
      <c r="AZ48">
        <v>0</v>
      </c>
      <c r="BA48">
        <v>46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Y48*Source!I123</f>
        <v>0.1368</v>
      </c>
      <c r="CY48">
        <f>AB48</f>
        <v>3.75</v>
      </c>
      <c r="CZ48">
        <f>AF48</f>
        <v>3.75</v>
      </c>
      <c r="DA48">
        <f>AJ48</f>
        <v>1</v>
      </c>
      <c r="DB48">
        <f t="shared" si="9"/>
        <v>0.6</v>
      </c>
      <c r="DC48">
        <f t="shared" si="10"/>
        <v>0.41</v>
      </c>
    </row>
    <row r="49" spans="1:107" x14ac:dyDescent="0.2">
      <c r="A49">
        <f>ROW(Source!A123)</f>
        <v>123</v>
      </c>
      <c r="B49">
        <v>15805332</v>
      </c>
      <c r="C49">
        <v>15820389</v>
      </c>
      <c r="D49">
        <v>14435581</v>
      </c>
      <c r="E49">
        <v>1</v>
      </c>
      <c r="F49">
        <v>1</v>
      </c>
      <c r="G49">
        <v>27</v>
      </c>
      <c r="H49">
        <v>2</v>
      </c>
      <c r="I49" t="s">
        <v>206</v>
      </c>
      <c r="J49" t="s">
        <v>207</v>
      </c>
      <c r="K49" t="s">
        <v>208</v>
      </c>
      <c r="L49">
        <v>1368</v>
      </c>
      <c r="N49">
        <v>1011</v>
      </c>
      <c r="O49" t="s">
        <v>168</v>
      </c>
      <c r="P49" t="s">
        <v>168</v>
      </c>
      <c r="Q49">
        <v>1</v>
      </c>
      <c r="W49">
        <v>0</v>
      </c>
      <c r="X49">
        <v>-1910609795</v>
      </c>
      <c r="Y49">
        <v>0.08</v>
      </c>
      <c r="AA49">
        <v>0</v>
      </c>
      <c r="AB49">
        <v>6.02</v>
      </c>
      <c r="AC49">
        <v>0.02</v>
      </c>
      <c r="AD49">
        <v>0</v>
      </c>
      <c r="AE49">
        <v>0</v>
      </c>
      <c r="AF49">
        <v>6.02</v>
      </c>
      <c r="AG49">
        <v>0.02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0.08</v>
      </c>
      <c r="AU49" t="s">
        <v>3</v>
      </c>
      <c r="AV49">
        <v>0</v>
      </c>
      <c r="AW49">
        <v>2</v>
      </c>
      <c r="AX49">
        <v>15820393</v>
      </c>
      <c r="AY49">
        <v>1</v>
      </c>
      <c r="AZ49">
        <v>0</v>
      </c>
      <c r="BA49">
        <v>47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Y49*Source!I123</f>
        <v>6.8400000000000002E-2</v>
      </c>
      <c r="CY49">
        <f>AB49</f>
        <v>6.02</v>
      </c>
      <c r="CZ49">
        <f>AF49</f>
        <v>6.02</v>
      </c>
      <c r="DA49">
        <f>AJ49</f>
        <v>1</v>
      </c>
      <c r="DB49">
        <f t="shared" si="9"/>
        <v>0.48</v>
      </c>
      <c r="DC49">
        <f t="shared" si="10"/>
        <v>0</v>
      </c>
    </row>
    <row r="50" spans="1:107" x14ac:dyDescent="0.2">
      <c r="A50">
        <f>ROW(Source!A123)</f>
        <v>123</v>
      </c>
      <c r="B50">
        <v>15805332</v>
      </c>
      <c r="C50">
        <v>15820389</v>
      </c>
      <c r="D50">
        <v>14436865</v>
      </c>
      <c r="E50">
        <v>1</v>
      </c>
      <c r="F50">
        <v>1</v>
      </c>
      <c r="G50">
        <v>27</v>
      </c>
      <c r="H50">
        <v>3</v>
      </c>
      <c r="I50" t="s">
        <v>209</v>
      </c>
      <c r="J50" t="s">
        <v>210</v>
      </c>
      <c r="K50" t="s">
        <v>211</v>
      </c>
      <c r="L50">
        <v>1339</v>
      </c>
      <c r="N50">
        <v>1007</v>
      </c>
      <c r="O50" t="s">
        <v>212</v>
      </c>
      <c r="P50" t="s">
        <v>212</v>
      </c>
      <c r="Q50">
        <v>1</v>
      </c>
      <c r="W50">
        <v>0</v>
      </c>
      <c r="X50">
        <v>1817333636</v>
      </c>
      <c r="Y50">
        <v>0.5</v>
      </c>
      <c r="AA50">
        <v>590.78</v>
      </c>
      <c r="AB50">
        <v>0</v>
      </c>
      <c r="AC50">
        <v>0</v>
      </c>
      <c r="AD50">
        <v>0</v>
      </c>
      <c r="AE50">
        <v>590.78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0.5</v>
      </c>
      <c r="AU50" t="s">
        <v>3</v>
      </c>
      <c r="AV50">
        <v>0</v>
      </c>
      <c r="AW50">
        <v>2</v>
      </c>
      <c r="AX50">
        <v>15820394</v>
      </c>
      <c r="AY50">
        <v>1</v>
      </c>
      <c r="AZ50">
        <v>0</v>
      </c>
      <c r="BA50">
        <v>48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Y50*Source!I123</f>
        <v>0.42749999999999999</v>
      </c>
      <c r="CY50">
        <f>AA50</f>
        <v>590.78</v>
      </c>
      <c r="CZ50">
        <f>AE50</f>
        <v>590.78</v>
      </c>
      <c r="DA50">
        <f>AI50</f>
        <v>1</v>
      </c>
      <c r="DB50">
        <f t="shared" si="9"/>
        <v>295.39</v>
      </c>
      <c r="DC50">
        <f t="shared" si="10"/>
        <v>0</v>
      </c>
    </row>
    <row r="51" spans="1:107" x14ac:dyDescent="0.2">
      <c r="A51">
        <f>ROW(Source!A123)</f>
        <v>123</v>
      </c>
      <c r="B51">
        <v>15805332</v>
      </c>
      <c r="C51">
        <v>15820389</v>
      </c>
      <c r="D51">
        <v>14436890</v>
      </c>
      <c r="E51">
        <v>1</v>
      </c>
      <c r="F51">
        <v>1</v>
      </c>
      <c r="G51">
        <v>27</v>
      </c>
      <c r="H51">
        <v>3</v>
      </c>
      <c r="I51" t="s">
        <v>213</v>
      </c>
      <c r="J51" t="s">
        <v>214</v>
      </c>
      <c r="K51" t="s">
        <v>215</v>
      </c>
      <c r="L51">
        <v>1339</v>
      </c>
      <c r="N51">
        <v>1007</v>
      </c>
      <c r="O51" t="s">
        <v>212</v>
      </c>
      <c r="P51" t="s">
        <v>212</v>
      </c>
      <c r="Q51">
        <v>1</v>
      </c>
      <c r="W51">
        <v>0</v>
      </c>
      <c r="X51">
        <v>-1345696714</v>
      </c>
      <c r="Y51">
        <v>6.3</v>
      </c>
      <c r="AA51">
        <v>1763.75</v>
      </c>
      <c r="AB51">
        <v>0</v>
      </c>
      <c r="AC51">
        <v>0</v>
      </c>
      <c r="AD51">
        <v>0</v>
      </c>
      <c r="AE51">
        <v>1763.75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6.3</v>
      </c>
      <c r="AU51" t="s">
        <v>3</v>
      </c>
      <c r="AV51">
        <v>0</v>
      </c>
      <c r="AW51">
        <v>2</v>
      </c>
      <c r="AX51">
        <v>15820395</v>
      </c>
      <c r="AY51">
        <v>1</v>
      </c>
      <c r="AZ51">
        <v>0</v>
      </c>
      <c r="BA51">
        <v>49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Y51*Source!I123</f>
        <v>5.3864999999999998</v>
      </c>
      <c r="CY51">
        <f>AA51</f>
        <v>1763.75</v>
      </c>
      <c r="CZ51">
        <f>AE51</f>
        <v>1763.75</v>
      </c>
      <c r="DA51">
        <f>AI51</f>
        <v>1</v>
      </c>
      <c r="DB51">
        <f t="shared" si="9"/>
        <v>11111.63</v>
      </c>
      <c r="DC51">
        <f t="shared" si="10"/>
        <v>0</v>
      </c>
    </row>
    <row r="52" spans="1:107" x14ac:dyDescent="0.2">
      <c r="A52">
        <f>ROW(Source!A123)</f>
        <v>123</v>
      </c>
      <c r="B52">
        <v>15805332</v>
      </c>
      <c r="C52">
        <v>15820389</v>
      </c>
      <c r="D52">
        <v>14438777</v>
      </c>
      <c r="E52">
        <v>1</v>
      </c>
      <c r="F52">
        <v>1</v>
      </c>
      <c r="G52">
        <v>27</v>
      </c>
      <c r="H52">
        <v>3</v>
      </c>
      <c r="I52" t="s">
        <v>216</v>
      </c>
      <c r="J52" t="s">
        <v>217</v>
      </c>
      <c r="K52" t="s">
        <v>218</v>
      </c>
      <c r="L52">
        <v>1348</v>
      </c>
      <c r="N52">
        <v>1009</v>
      </c>
      <c r="O52" t="s">
        <v>30</v>
      </c>
      <c r="P52" t="s">
        <v>30</v>
      </c>
      <c r="Q52">
        <v>1000</v>
      </c>
      <c r="W52">
        <v>0</v>
      </c>
      <c r="X52">
        <v>170341360</v>
      </c>
      <c r="Y52">
        <v>5.9</v>
      </c>
      <c r="AA52">
        <v>2562.79</v>
      </c>
      <c r="AB52">
        <v>0</v>
      </c>
      <c r="AC52">
        <v>0</v>
      </c>
      <c r="AD52">
        <v>0</v>
      </c>
      <c r="AE52">
        <v>2562.79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5.9</v>
      </c>
      <c r="AU52" t="s">
        <v>3</v>
      </c>
      <c r="AV52">
        <v>0</v>
      </c>
      <c r="AW52">
        <v>2</v>
      </c>
      <c r="AX52">
        <v>15820396</v>
      </c>
      <c r="AY52">
        <v>1</v>
      </c>
      <c r="AZ52">
        <v>0</v>
      </c>
      <c r="BA52">
        <v>50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Y52*Source!I123</f>
        <v>5.0445000000000002</v>
      </c>
      <c r="CY52">
        <f>AA52</f>
        <v>2562.79</v>
      </c>
      <c r="CZ52">
        <f>AE52</f>
        <v>2562.79</v>
      </c>
      <c r="DA52">
        <f>AI52</f>
        <v>1</v>
      </c>
      <c r="DB52">
        <f t="shared" si="9"/>
        <v>15120.46</v>
      </c>
      <c r="DC52">
        <f t="shared" si="10"/>
        <v>0</v>
      </c>
    </row>
    <row r="53" spans="1:107" x14ac:dyDescent="0.2">
      <c r="A53">
        <f>ROW(Source!A123)</f>
        <v>123</v>
      </c>
      <c r="B53">
        <v>15805332</v>
      </c>
      <c r="C53">
        <v>15820389</v>
      </c>
      <c r="D53">
        <v>14424279</v>
      </c>
      <c r="E53">
        <v>27</v>
      </c>
      <c r="F53">
        <v>1</v>
      </c>
      <c r="G53">
        <v>27</v>
      </c>
      <c r="H53">
        <v>3</v>
      </c>
      <c r="I53" t="s">
        <v>219</v>
      </c>
      <c r="J53" t="s">
        <v>3</v>
      </c>
      <c r="K53" t="s">
        <v>220</v>
      </c>
      <c r="L53">
        <v>1348</v>
      </c>
      <c r="N53">
        <v>1009</v>
      </c>
      <c r="O53" t="s">
        <v>30</v>
      </c>
      <c r="P53" t="s">
        <v>30</v>
      </c>
      <c r="Q53">
        <v>1000</v>
      </c>
      <c r="W53">
        <v>0</v>
      </c>
      <c r="X53">
        <v>1489638031</v>
      </c>
      <c r="Y53">
        <v>16.059999999999999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16.059999999999999</v>
      </c>
      <c r="AU53" t="s">
        <v>3</v>
      </c>
      <c r="AV53">
        <v>0</v>
      </c>
      <c r="AW53">
        <v>2</v>
      </c>
      <c r="AX53">
        <v>15820397</v>
      </c>
      <c r="AY53">
        <v>1</v>
      </c>
      <c r="AZ53">
        <v>0</v>
      </c>
      <c r="BA53">
        <v>51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Y53*Source!I123</f>
        <v>13.731299999999999</v>
      </c>
      <c r="CY53">
        <f>AA53</f>
        <v>0</v>
      </c>
      <c r="CZ53">
        <f>AE53</f>
        <v>0</v>
      </c>
      <c r="DA53">
        <f>AI53</f>
        <v>1</v>
      </c>
      <c r="DB53">
        <f t="shared" si="9"/>
        <v>0</v>
      </c>
      <c r="DC53">
        <f t="shared" si="10"/>
        <v>0</v>
      </c>
    </row>
    <row r="54" spans="1:107" x14ac:dyDescent="0.2">
      <c r="A54">
        <f>ROW(Source!A124)</f>
        <v>124</v>
      </c>
      <c r="B54">
        <v>15805332</v>
      </c>
      <c r="C54">
        <v>15820417</v>
      </c>
      <c r="D54">
        <v>14422539</v>
      </c>
      <c r="E54">
        <v>27</v>
      </c>
      <c r="F54">
        <v>1</v>
      </c>
      <c r="G54">
        <v>27</v>
      </c>
      <c r="H54">
        <v>1</v>
      </c>
      <c r="I54" t="s">
        <v>162</v>
      </c>
      <c r="J54" t="s">
        <v>3</v>
      </c>
      <c r="K54" t="s">
        <v>163</v>
      </c>
      <c r="L54">
        <v>1191</v>
      </c>
      <c r="N54">
        <v>1013</v>
      </c>
      <c r="O54" t="s">
        <v>164</v>
      </c>
      <c r="P54" t="s">
        <v>164</v>
      </c>
      <c r="Q54">
        <v>1</v>
      </c>
      <c r="W54">
        <v>0</v>
      </c>
      <c r="X54">
        <v>476480486</v>
      </c>
      <c r="Y54">
        <v>18.440000000000001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18.440000000000001</v>
      </c>
      <c r="AU54" t="s">
        <v>3</v>
      </c>
      <c r="AV54">
        <v>1</v>
      </c>
      <c r="AW54">
        <v>2</v>
      </c>
      <c r="AX54">
        <v>15820418</v>
      </c>
      <c r="AY54">
        <v>1</v>
      </c>
      <c r="AZ54">
        <v>0</v>
      </c>
      <c r="BA54">
        <v>52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Y54*Source!I124</f>
        <v>125.96364000000001</v>
      </c>
      <c r="CY54">
        <f>AD54</f>
        <v>0</v>
      </c>
      <c r="CZ54">
        <f>AH54</f>
        <v>0</v>
      </c>
      <c r="DA54">
        <f>AL54</f>
        <v>1</v>
      </c>
      <c r="DB54">
        <f t="shared" si="9"/>
        <v>0</v>
      </c>
      <c r="DC54">
        <f t="shared" si="10"/>
        <v>0</v>
      </c>
    </row>
    <row r="55" spans="1:107" x14ac:dyDescent="0.2">
      <c r="A55">
        <f>ROW(Source!A124)</f>
        <v>124</v>
      </c>
      <c r="B55">
        <v>15805332</v>
      </c>
      <c r="C55">
        <v>15820417</v>
      </c>
      <c r="D55">
        <v>14435398</v>
      </c>
      <c r="E55">
        <v>1</v>
      </c>
      <c r="F55">
        <v>1</v>
      </c>
      <c r="G55">
        <v>27</v>
      </c>
      <c r="H55">
        <v>2</v>
      </c>
      <c r="I55" t="s">
        <v>165</v>
      </c>
      <c r="J55" t="s">
        <v>221</v>
      </c>
      <c r="K55" t="s">
        <v>167</v>
      </c>
      <c r="L55">
        <v>1368</v>
      </c>
      <c r="N55">
        <v>1011</v>
      </c>
      <c r="O55" t="s">
        <v>168</v>
      </c>
      <c r="P55" t="s">
        <v>168</v>
      </c>
      <c r="Q55">
        <v>1</v>
      </c>
      <c r="W55">
        <v>0</v>
      </c>
      <c r="X55">
        <v>1236866548</v>
      </c>
      <c r="Y55">
        <v>2.64</v>
      </c>
      <c r="AA55">
        <v>0</v>
      </c>
      <c r="AB55">
        <v>531.41</v>
      </c>
      <c r="AC55">
        <v>373.56</v>
      </c>
      <c r="AD55">
        <v>0</v>
      </c>
      <c r="AE55">
        <v>0</v>
      </c>
      <c r="AF55">
        <v>531.41</v>
      </c>
      <c r="AG55">
        <v>373.56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2.64</v>
      </c>
      <c r="AU55" t="s">
        <v>3</v>
      </c>
      <c r="AV55">
        <v>0</v>
      </c>
      <c r="AW55">
        <v>2</v>
      </c>
      <c r="AX55">
        <v>15820419</v>
      </c>
      <c r="AY55">
        <v>1</v>
      </c>
      <c r="AZ55">
        <v>0</v>
      </c>
      <c r="BA55">
        <v>53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Y55*Source!I124</f>
        <v>18.033840000000001</v>
      </c>
      <c r="CY55">
        <f>AB55</f>
        <v>531.41</v>
      </c>
      <c r="CZ55">
        <f>AF55</f>
        <v>531.41</v>
      </c>
      <c r="DA55">
        <f>AJ55</f>
        <v>1</v>
      </c>
      <c r="DB55">
        <f t="shared" si="9"/>
        <v>1402.92</v>
      </c>
      <c r="DC55">
        <f t="shared" si="10"/>
        <v>986.2</v>
      </c>
    </row>
    <row r="56" spans="1:107" x14ac:dyDescent="0.2">
      <c r="A56">
        <f>ROW(Source!A124)</f>
        <v>124</v>
      </c>
      <c r="B56">
        <v>15805332</v>
      </c>
      <c r="C56">
        <v>15820417</v>
      </c>
      <c r="D56">
        <v>14435621</v>
      </c>
      <c r="E56">
        <v>1</v>
      </c>
      <c r="F56">
        <v>1</v>
      </c>
      <c r="G56">
        <v>27</v>
      </c>
      <c r="H56">
        <v>2</v>
      </c>
      <c r="I56" t="s">
        <v>169</v>
      </c>
      <c r="J56" t="s">
        <v>222</v>
      </c>
      <c r="K56" t="s">
        <v>171</v>
      </c>
      <c r="L56">
        <v>1368</v>
      </c>
      <c r="N56">
        <v>1011</v>
      </c>
      <c r="O56" t="s">
        <v>168</v>
      </c>
      <c r="P56" t="s">
        <v>168</v>
      </c>
      <c r="Q56">
        <v>1</v>
      </c>
      <c r="W56">
        <v>0</v>
      </c>
      <c r="X56">
        <v>1857621217</v>
      </c>
      <c r="Y56">
        <v>1.18</v>
      </c>
      <c r="AA56">
        <v>0</v>
      </c>
      <c r="AB56">
        <v>7.44</v>
      </c>
      <c r="AC56">
        <v>0.98</v>
      </c>
      <c r="AD56">
        <v>0</v>
      </c>
      <c r="AE56">
        <v>0</v>
      </c>
      <c r="AF56">
        <v>7.44</v>
      </c>
      <c r="AG56">
        <v>0.98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1.18</v>
      </c>
      <c r="AU56" t="s">
        <v>3</v>
      </c>
      <c r="AV56">
        <v>0</v>
      </c>
      <c r="AW56">
        <v>2</v>
      </c>
      <c r="AX56">
        <v>15820420</v>
      </c>
      <c r="AY56">
        <v>1</v>
      </c>
      <c r="AZ56">
        <v>0</v>
      </c>
      <c r="BA56">
        <v>54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Y56*Source!I124</f>
        <v>8.0605799999999999</v>
      </c>
      <c r="CY56">
        <f>AB56</f>
        <v>7.44</v>
      </c>
      <c r="CZ56">
        <f>AF56</f>
        <v>7.44</v>
      </c>
      <c r="DA56">
        <f>AJ56</f>
        <v>1</v>
      </c>
      <c r="DB56">
        <f t="shared" si="9"/>
        <v>8.7799999999999994</v>
      </c>
      <c r="DC56">
        <f t="shared" si="10"/>
        <v>1.1599999999999999</v>
      </c>
    </row>
    <row r="57" spans="1:107" x14ac:dyDescent="0.2">
      <c r="A57">
        <f>ROW(Source!A124)</f>
        <v>124</v>
      </c>
      <c r="B57">
        <v>15805332</v>
      </c>
      <c r="C57">
        <v>15820417</v>
      </c>
      <c r="D57">
        <v>14434823</v>
      </c>
      <c r="E57">
        <v>1</v>
      </c>
      <c r="F57">
        <v>1</v>
      </c>
      <c r="G57">
        <v>27</v>
      </c>
      <c r="H57">
        <v>2</v>
      </c>
      <c r="I57" t="s">
        <v>172</v>
      </c>
      <c r="J57" t="s">
        <v>223</v>
      </c>
      <c r="K57" t="s">
        <v>174</v>
      </c>
      <c r="L57">
        <v>1368</v>
      </c>
      <c r="N57">
        <v>1011</v>
      </c>
      <c r="O57" t="s">
        <v>168</v>
      </c>
      <c r="P57" t="s">
        <v>168</v>
      </c>
      <c r="Q57">
        <v>1</v>
      </c>
      <c r="W57">
        <v>0</v>
      </c>
      <c r="X57">
        <v>242928922</v>
      </c>
      <c r="Y57">
        <v>0.01</v>
      </c>
      <c r="AA57">
        <v>0</v>
      </c>
      <c r="AB57">
        <v>616.73</v>
      </c>
      <c r="AC57">
        <v>511.29</v>
      </c>
      <c r="AD57">
        <v>0</v>
      </c>
      <c r="AE57">
        <v>0</v>
      </c>
      <c r="AF57">
        <v>616.73</v>
      </c>
      <c r="AG57">
        <v>511.29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0.01</v>
      </c>
      <c r="AU57" t="s">
        <v>3</v>
      </c>
      <c r="AV57">
        <v>0</v>
      </c>
      <c r="AW57">
        <v>2</v>
      </c>
      <c r="AX57">
        <v>15820421</v>
      </c>
      <c r="AY57">
        <v>1</v>
      </c>
      <c r="AZ57">
        <v>0</v>
      </c>
      <c r="BA57">
        <v>55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Y57*Source!I124</f>
        <v>6.831000000000001E-2</v>
      </c>
      <c r="CY57">
        <f>AB57</f>
        <v>616.73</v>
      </c>
      <c r="CZ57">
        <f>AF57</f>
        <v>616.73</v>
      </c>
      <c r="DA57">
        <f>AJ57</f>
        <v>1</v>
      </c>
      <c r="DB57">
        <f t="shared" si="9"/>
        <v>6.17</v>
      </c>
      <c r="DC57">
        <f t="shared" si="10"/>
        <v>5.1100000000000003</v>
      </c>
    </row>
    <row r="58" spans="1:107" x14ac:dyDescent="0.2">
      <c r="A58">
        <f>ROW(Source!A124)</f>
        <v>124</v>
      </c>
      <c r="B58">
        <v>15805332</v>
      </c>
      <c r="C58">
        <v>15820417</v>
      </c>
      <c r="D58">
        <v>14435007</v>
      </c>
      <c r="E58">
        <v>1</v>
      </c>
      <c r="F58">
        <v>1</v>
      </c>
      <c r="G58">
        <v>27</v>
      </c>
      <c r="H58">
        <v>2</v>
      </c>
      <c r="I58" t="s">
        <v>175</v>
      </c>
      <c r="J58" t="s">
        <v>224</v>
      </c>
      <c r="K58" t="s">
        <v>177</v>
      </c>
      <c r="L58">
        <v>1368</v>
      </c>
      <c r="N58">
        <v>1011</v>
      </c>
      <c r="O58" t="s">
        <v>168</v>
      </c>
      <c r="P58" t="s">
        <v>168</v>
      </c>
      <c r="Q58">
        <v>1</v>
      </c>
      <c r="W58">
        <v>0</v>
      </c>
      <c r="X58">
        <v>407706590</v>
      </c>
      <c r="Y58">
        <v>2.64</v>
      </c>
      <c r="AA58">
        <v>0</v>
      </c>
      <c r="AB58">
        <v>454.31</v>
      </c>
      <c r="AC58">
        <v>405.68</v>
      </c>
      <c r="AD58">
        <v>0</v>
      </c>
      <c r="AE58">
        <v>0</v>
      </c>
      <c r="AF58">
        <v>454.31</v>
      </c>
      <c r="AG58">
        <v>405.68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2.64</v>
      </c>
      <c r="AU58" t="s">
        <v>3</v>
      </c>
      <c r="AV58">
        <v>0</v>
      </c>
      <c r="AW58">
        <v>2</v>
      </c>
      <c r="AX58">
        <v>15820422</v>
      </c>
      <c r="AY58">
        <v>1</v>
      </c>
      <c r="AZ58">
        <v>0</v>
      </c>
      <c r="BA58">
        <v>56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Y58*Source!I124</f>
        <v>18.033840000000001</v>
      </c>
      <c r="CY58">
        <f>AB58</f>
        <v>454.31</v>
      </c>
      <c r="CZ58">
        <f>AF58</f>
        <v>454.31</v>
      </c>
      <c r="DA58">
        <f>AJ58</f>
        <v>1</v>
      </c>
      <c r="DB58">
        <f t="shared" si="9"/>
        <v>1199.3800000000001</v>
      </c>
      <c r="DC58">
        <f t="shared" si="10"/>
        <v>1071</v>
      </c>
    </row>
    <row r="59" spans="1:107" x14ac:dyDescent="0.2">
      <c r="A59">
        <f>ROW(Source!A124)</f>
        <v>124</v>
      </c>
      <c r="B59">
        <v>15805332</v>
      </c>
      <c r="C59">
        <v>15820417</v>
      </c>
      <c r="D59">
        <v>14437831</v>
      </c>
      <c r="E59">
        <v>1</v>
      </c>
      <c r="F59">
        <v>1</v>
      </c>
      <c r="G59">
        <v>27</v>
      </c>
      <c r="H59">
        <v>3</v>
      </c>
      <c r="I59" t="s">
        <v>178</v>
      </c>
      <c r="J59" t="s">
        <v>225</v>
      </c>
      <c r="K59" t="s">
        <v>180</v>
      </c>
      <c r="L59">
        <v>1327</v>
      </c>
      <c r="N59">
        <v>1005</v>
      </c>
      <c r="O59" t="s">
        <v>181</v>
      </c>
      <c r="P59" t="s">
        <v>181</v>
      </c>
      <c r="Q59">
        <v>1</v>
      </c>
      <c r="W59">
        <v>0</v>
      </c>
      <c r="X59">
        <v>-189387650</v>
      </c>
      <c r="Y59">
        <v>5.6</v>
      </c>
      <c r="AA59">
        <v>12.02</v>
      </c>
      <c r="AB59">
        <v>0</v>
      </c>
      <c r="AC59">
        <v>0</v>
      </c>
      <c r="AD59">
        <v>0</v>
      </c>
      <c r="AE59">
        <v>12.02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5.6</v>
      </c>
      <c r="AU59" t="s">
        <v>3</v>
      </c>
      <c r="AV59">
        <v>0</v>
      </c>
      <c r="AW59">
        <v>2</v>
      </c>
      <c r="AX59">
        <v>15820423</v>
      </c>
      <c r="AY59">
        <v>1</v>
      </c>
      <c r="AZ59">
        <v>0</v>
      </c>
      <c r="BA59">
        <v>57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Y59*Source!I124</f>
        <v>38.253599999999999</v>
      </c>
      <c r="CY59">
        <f>AA59</f>
        <v>12.02</v>
      </c>
      <c r="CZ59">
        <f>AE59</f>
        <v>12.02</v>
      </c>
      <c r="DA59">
        <f>AI59</f>
        <v>1</v>
      </c>
      <c r="DB59">
        <f t="shared" si="9"/>
        <v>67.31</v>
      </c>
      <c r="DC59">
        <f t="shared" si="10"/>
        <v>0</v>
      </c>
    </row>
    <row r="60" spans="1:107" x14ac:dyDescent="0.2">
      <c r="A60">
        <f>ROW(Source!A124)</f>
        <v>124</v>
      </c>
      <c r="B60">
        <v>15805332</v>
      </c>
      <c r="C60">
        <v>15820417</v>
      </c>
      <c r="D60">
        <v>14437918</v>
      </c>
      <c r="E60">
        <v>1</v>
      </c>
      <c r="F60">
        <v>1</v>
      </c>
      <c r="G60">
        <v>27</v>
      </c>
      <c r="H60">
        <v>3</v>
      </c>
      <c r="I60" t="s">
        <v>182</v>
      </c>
      <c r="J60" t="s">
        <v>226</v>
      </c>
      <c r="K60" t="s">
        <v>184</v>
      </c>
      <c r="L60">
        <v>1348</v>
      </c>
      <c r="N60">
        <v>1009</v>
      </c>
      <c r="O60" t="s">
        <v>30</v>
      </c>
      <c r="P60" t="s">
        <v>30</v>
      </c>
      <c r="Q60">
        <v>1000</v>
      </c>
      <c r="W60">
        <v>0</v>
      </c>
      <c r="X60">
        <v>383544320</v>
      </c>
      <c r="Y60">
        <v>3.15E-3</v>
      </c>
      <c r="AA60">
        <v>343020.03</v>
      </c>
      <c r="AB60">
        <v>0</v>
      </c>
      <c r="AC60">
        <v>0</v>
      </c>
      <c r="AD60">
        <v>0</v>
      </c>
      <c r="AE60">
        <v>343020.03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3.15E-3</v>
      </c>
      <c r="AU60" t="s">
        <v>3</v>
      </c>
      <c r="AV60">
        <v>0</v>
      </c>
      <c r="AW60">
        <v>2</v>
      </c>
      <c r="AX60">
        <v>15820424</v>
      </c>
      <c r="AY60">
        <v>1</v>
      </c>
      <c r="AZ60">
        <v>0</v>
      </c>
      <c r="BA60">
        <v>58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Y60*Source!I124</f>
        <v>2.1517650000000003E-2</v>
      </c>
      <c r="CY60">
        <f>AA60</f>
        <v>343020.03</v>
      </c>
      <c r="CZ60">
        <f>AE60</f>
        <v>343020.03</v>
      </c>
      <c r="DA60">
        <f>AI60</f>
        <v>1</v>
      </c>
      <c r="DB60">
        <f t="shared" si="9"/>
        <v>1080.51</v>
      </c>
      <c r="DC60">
        <f t="shared" si="10"/>
        <v>0</v>
      </c>
    </row>
    <row r="61" spans="1:107" x14ac:dyDescent="0.2">
      <c r="A61">
        <f>ROW(Source!A124)</f>
        <v>124</v>
      </c>
      <c r="B61">
        <v>15805332</v>
      </c>
      <c r="C61">
        <v>15820417</v>
      </c>
      <c r="D61">
        <v>14438135</v>
      </c>
      <c r="E61">
        <v>1</v>
      </c>
      <c r="F61">
        <v>1</v>
      </c>
      <c r="G61">
        <v>27</v>
      </c>
      <c r="H61">
        <v>3</v>
      </c>
      <c r="I61" t="s">
        <v>38</v>
      </c>
      <c r="J61" t="s">
        <v>227</v>
      </c>
      <c r="K61" t="s">
        <v>39</v>
      </c>
      <c r="L61">
        <v>1346</v>
      </c>
      <c r="N61">
        <v>1009</v>
      </c>
      <c r="O61" t="s">
        <v>40</v>
      </c>
      <c r="P61" t="s">
        <v>40</v>
      </c>
      <c r="Q61">
        <v>1</v>
      </c>
      <c r="W61">
        <v>0</v>
      </c>
      <c r="X61">
        <v>1061183247</v>
      </c>
      <c r="Y61">
        <v>735</v>
      </c>
      <c r="AA61">
        <v>17.77</v>
      </c>
      <c r="AB61">
        <v>0</v>
      </c>
      <c r="AC61">
        <v>0</v>
      </c>
      <c r="AD61">
        <v>0</v>
      </c>
      <c r="AE61">
        <v>17.77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735</v>
      </c>
      <c r="AU61" t="s">
        <v>3</v>
      </c>
      <c r="AV61">
        <v>0</v>
      </c>
      <c r="AW61">
        <v>2</v>
      </c>
      <c r="AX61">
        <v>15820425</v>
      </c>
      <c r="AY61">
        <v>1</v>
      </c>
      <c r="AZ61">
        <v>0</v>
      </c>
      <c r="BA61">
        <v>59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Y61*Source!I124</f>
        <v>5020.7849999999999</v>
      </c>
      <c r="CY61">
        <f>AA61</f>
        <v>17.77</v>
      </c>
      <c r="CZ61">
        <f>AE61</f>
        <v>17.77</v>
      </c>
      <c r="DA61">
        <f>AI61</f>
        <v>1</v>
      </c>
      <c r="DB61">
        <f t="shared" si="9"/>
        <v>13060.95</v>
      </c>
      <c r="DC61">
        <f t="shared" si="10"/>
        <v>0</v>
      </c>
    </row>
    <row r="62" spans="1:107" x14ac:dyDescent="0.2">
      <c r="A62">
        <f>ROW(Source!A124)</f>
        <v>124</v>
      </c>
      <c r="B62">
        <v>15805332</v>
      </c>
      <c r="C62">
        <v>15820417</v>
      </c>
      <c r="D62">
        <v>14438142</v>
      </c>
      <c r="E62">
        <v>1</v>
      </c>
      <c r="F62">
        <v>1</v>
      </c>
      <c r="G62">
        <v>27</v>
      </c>
      <c r="H62">
        <v>3</v>
      </c>
      <c r="I62" t="s">
        <v>185</v>
      </c>
      <c r="J62" t="s">
        <v>228</v>
      </c>
      <c r="K62" t="s">
        <v>187</v>
      </c>
      <c r="L62">
        <v>1346</v>
      </c>
      <c r="N62">
        <v>1009</v>
      </c>
      <c r="O62" t="s">
        <v>40</v>
      </c>
      <c r="P62" t="s">
        <v>40</v>
      </c>
      <c r="Q62">
        <v>1</v>
      </c>
      <c r="W62">
        <v>0</v>
      </c>
      <c r="X62">
        <v>-1591958819</v>
      </c>
      <c r="Y62">
        <v>241.5</v>
      </c>
      <c r="AA62">
        <v>202.34</v>
      </c>
      <c r="AB62">
        <v>0</v>
      </c>
      <c r="AC62">
        <v>0</v>
      </c>
      <c r="AD62">
        <v>0</v>
      </c>
      <c r="AE62">
        <v>202.34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241.5</v>
      </c>
      <c r="AU62" t="s">
        <v>3</v>
      </c>
      <c r="AV62">
        <v>0</v>
      </c>
      <c r="AW62">
        <v>2</v>
      </c>
      <c r="AX62">
        <v>15820426</v>
      </c>
      <c r="AY62">
        <v>1</v>
      </c>
      <c r="AZ62">
        <v>0</v>
      </c>
      <c r="BA62">
        <v>60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Y62*Source!I124</f>
        <v>1649.6865</v>
      </c>
      <c r="CY62">
        <f>AA62</f>
        <v>202.34</v>
      </c>
      <c r="CZ62">
        <f>AE62</f>
        <v>202.34</v>
      </c>
      <c r="DA62">
        <f>AI62</f>
        <v>1</v>
      </c>
      <c r="DB62">
        <f t="shared" si="9"/>
        <v>48865.11</v>
      </c>
      <c r="DC62">
        <f t="shared" si="10"/>
        <v>0</v>
      </c>
    </row>
    <row r="63" spans="1:107" x14ac:dyDescent="0.2">
      <c r="A63">
        <f>ROW(Source!A124)</f>
        <v>124</v>
      </c>
      <c r="B63">
        <v>15805332</v>
      </c>
      <c r="C63">
        <v>15820417</v>
      </c>
      <c r="D63">
        <v>14436109</v>
      </c>
      <c r="E63">
        <v>1</v>
      </c>
      <c r="F63">
        <v>1</v>
      </c>
      <c r="G63">
        <v>27</v>
      </c>
      <c r="H63">
        <v>3</v>
      </c>
      <c r="I63" t="s">
        <v>28</v>
      </c>
      <c r="J63" t="s">
        <v>149</v>
      </c>
      <c r="K63" t="s">
        <v>29</v>
      </c>
      <c r="L63">
        <v>1348</v>
      </c>
      <c r="N63">
        <v>1009</v>
      </c>
      <c r="O63" t="s">
        <v>30</v>
      </c>
      <c r="P63" t="s">
        <v>30</v>
      </c>
      <c r="Q63">
        <v>1000</v>
      </c>
      <c r="W63">
        <v>1</v>
      </c>
      <c r="X63">
        <v>-311034766</v>
      </c>
      <c r="Y63">
        <v>-5.2499999999999998E-2</v>
      </c>
      <c r="AA63">
        <v>748299.67</v>
      </c>
      <c r="AB63">
        <v>0</v>
      </c>
      <c r="AC63">
        <v>0</v>
      </c>
      <c r="AD63">
        <v>0</v>
      </c>
      <c r="AE63">
        <v>748299.67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-5.2499999999999998E-2</v>
      </c>
      <c r="AU63" t="s">
        <v>3</v>
      </c>
      <c r="AV63">
        <v>0</v>
      </c>
      <c r="AW63">
        <v>2</v>
      </c>
      <c r="AX63">
        <v>15820427</v>
      </c>
      <c r="AY63">
        <v>1</v>
      </c>
      <c r="AZ63">
        <v>6144</v>
      </c>
      <c r="BA63">
        <v>61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Y63*Source!I124</f>
        <v>-0.35862749999999999</v>
      </c>
      <c r="CY63">
        <f>AA63</f>
        <v>748299.67</v>
      </c>
      <c r="CZ63">
        <f>AE63</f>
        <v>748299.67</v>
      </c>
      <c r="DA63">
        <f>AI63</f>
        <v>1</v>
      </c>
      <c r="DB63">
        <f t="shared" si="9"/>
        <v>-39285.730000000003</v>
      </c>
      <c r="DC63">
        <f t="shared" si="10"/>
        <v>0</v>
      </c>
    </row>
    <row r="64" spans="1:107" x14ac:dyDescent="0.2">
      <c r="A64">
        <f>ROW(Source!A126)</f>
        <v>126</v>
      </c>
      <c r="B64">
        <v>15805332</v>
      </c>
      <c r="C64">
        <v>15805778</v>
      </c>
      <c r="D64">
        <v>14422539</v>
      </c>
      <c r="E64">
        <v>27</v>
      </c>
      <c r="F64">
        <v>1</v>
      </c>
      <c r="G64">
        <v>27</v>
      </c>
      <c r="H64">
        <v>1</v>
      </c>
      <c r="I64" t="s">
        <v>162</v>
      </c>
      <c r="J64" t="s">
        <v>3</v>
      </c>
      <c r="K64" t="s">
        <v>163</v>
      </c>
      <c r="L64">
        <v>1191</v>
      </c>
      <c r="N64">
        <v>1013</v>
      </c>
      <c r="O64" t="s">
        <v>164</v>
      </c>
      <c r="P64" t="s">
        <v>164</v>
      </c>
      <c r="Q64">
        <v>1</v>
      </c>
      <c r="W64">
        <v>0</v>
      </c>
      <c r="X64">
        <v>476480486</v>
      </c>
      <c r="Y64">
        <v>13.25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 t="s">
        <v>3</v>
      </c>
      <c r="AT64">
        <v>2.65</v>
      </c>
      <c r="AU64" t="s">
        <v>36</v>
      </c>
      <c r="AV64">
        <v>1</v>
      </c>
      <c r="AW64">
        <v>2</v>
      </c>
      <c r="AX64">
        <v>15805785</v>
      </c>
      <c r="AY64">
        <v>1</v>
      </c>
      <c r="AZ64">
        <v>0</v>
      </c>
      <c r="BA64">
        <v>62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Y64*Source!I126</f>
        <v>90.510750000000002</v>
      </c>
      <c r="CY64">
        <f>AD64</f>
        <v>0</v>
      </c>
      <c r="CZ64">
        <f>AH64</f>
        <v>0</v>
      </c>
      <c r="DA64">
        <f>AL64</f>
        <v>1</v>
      </c>
      <c r="DB64">
        <f>ROUND((ROUND(AT64*CZ64,2)*5),6)</f>
        <v>0</v>
      </c>
      <c r="DC64">
        <f>ROUND((ROUND(AT64*AG64,2)*5),6)</f>
        <v>0</v>
      </c>
    </row>
    <row r="65" spans="1:107" x14ac:dyDescent="0.2">
      <c r="A65">
        <f>ROW(Source!A126)</f>
        <v>126</v>
      </c>
      <c r="B65">
        <v>15805332</v>
      </c>
      <c r="C65">
        <v>15805778</v>
      </c>
      <c r="D65">
        <v>14435398</v>
      </c>
      <c r="E65">
        <v>1</v>
      </c>
      <c r="F65">
        <v>1</v>
      </c>
      <c r="G65">
        <v>27</v>
      </c>
      <c r="H65">
        <v>2</v>
      </c>
      <c r="I65" t="s">
        <v>165</v>
      </c>
      <c r="J65" t="s">
        <v>166</v>
      </c>
      <c r="K65" t="s">
        <v>167</v>
      </c>
      <c r="L65">
        <v>1368</v>
      </c>
      <c r="N65">
        <v>1011</v>
      </c>
      <c r="O65" t="s">
        <v>168</v>
      </c>
      <c r="P65" t="s">
        <v>168</v>
      </c>
      <c r="Q65">
        <v>1</v>
      </c>
      <c r="W65">
        <v>0</v>
      </c>
      <c r="X65">
        <v>2028281919</v>
      </c>
      <c r="Y65">
        <v>2.5</v>
      </c>
      <c r="AA65">
        <v>0</v>
      </c>
      <c r="AB65">
        <v>531.41</v>
      </c>
      <c r="AC65">
        <v>373.56</v>
      </c>
      <c r="AD65">
        <v>0</v>
      </c>
      <c r="AE65">
        <v>0</v>
      </c>
      <c r="AF65">
        <v>531.41</v>
      </c>
      <c r="AG65">
        <v>373.56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 t="s">
        <v>3</v>
      </c>
      <c r="AT65">
        <v>0.5</v>
      </c>
      <c r="AU65" t="s">
        <v>36</v>
      </c>
      <c r="AV65">
        <v>0</v>
      </c>
      <c r="AW65">
        <v>2</v>
      </c>
      <c r="AX65">
        <v>15805786</v>
      </c>
      <c r="AY65">
        <v>1</v>
      </c>
      <c r="AZ65">
        <v>0</v>
      </c>
      <c r="BA65">
        <v>63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Y65*Source!I126</f>
        <v>17.077500000000001</v>
      </c>
      <c r="CY65">
        <f>AB65</f>
        <v>531.41</v>
      </c>
      <c r="CZ65">
        <f>AF65</f>
        <v>531.41</v>
      </c>
      <c r="DA65">
        <f>AJ65</f>
        <v>1</v>
      </c>
      <c r="DB65">
        <f>ROUND((ROUND(AT65*CZ65,2)*5),6)</f>
        <v>1328.55</v>
      </c>
      <c r="DC65">
        <f>ROUND((ROUND(AT65*AG65,2)*5),6)</f>
        <v>933.9</v>
      </c>
    </row>
    <row r="66" spans="1:107" x14ac:dyDescent="0.2">
      <c r="A66">
        <f>ROW(Source!A126)</f>
        <v>126</v>
      </c>
      <c r="B66">
        <v>15805332</v>
      </c>
      <c r="C66">
        <v>15805778</v>
      </c>
      <c r="D66">
        <v>14435007</v>
      </c>
      <c r="E66">
        <v>1</v>
      </c>
      <c r="F66">
        <v>1</v>
      </c>
      <c r="G66">
        <v>27</v>
      </c>
      <c r="H66">
        <v>2</v>
      </c>
      <c r="I66" t="s">
        <v>175</v>
      </c>
      <c r="J66" t="s">
        <v>176</v>
      </c>
      <c r="K66" t="s">
        <v>177</v>
      </c>
      <c r="L66">
        <v>1368</v>
      </c>
      <c r="N66">
        <v>1011</v>
      </c>
      <c r="O66" t="s">
        <v>168</v>
      </c>
      <c r="P66" t="s">
        <v>168</v>
      </c>
      <c r="Q66">
        <v>1</v>
      </c>
      <c r="W66">
        <v>0</v>
      </c>
      <c r="X66">
        <v>1948933241</v>
      </c>
      <c r="Y66">
        <v>2.5</v>
      </c>
      <c r="AA66">
        <v>0</v>
      </c>
      <c r="AB66">
        <v>454.31</v>
      </c>
      <c r="AC66">
        <v>405.68</v>
      </c>
      <c r="AD66">
        <v>0</v>
      </c>
      <c r="AE66">
        <v>0</v>
      </c>
      <c r="AF66">
        <v>454.31</v>
      </c>
      <c r="AG66">
        <v>405.68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S66" t="s">
        <v>3</v>
      </c>
      <c r="AT66">
        <v>0.5</v>
      </c>
      <c r="AU66" t="s">
        <v>36</v>
      </c>
      <c r="AV66">
        <v>0</v>
      </c>
      <c r="AW66">
        <v>2</v>
      </c>
      <c r="AX66">
        <v>15805787</v>
      </c>
      <c r="AY66">
        <v>1</v>
      </c>
      <c r="AZ66">
        <v>0</v>
      </c>
      <c r="BA66">
        <v>64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Y66*Source!I126</f>
        <v>17.077500000000001</v>
      </c>
      <c r="CY66">
        <f>AB66</f>
        <v>454.31</v>
      </c>
      <c r="CZ66">
        <f>AF66</f>
        <v>454.31</v>
      </c>
      <c r="DA66">
        <f>AJ66</f>
        <v>1</v>
      </c>
      <c r="DB66">
        <f>ROUND((ROUND(AT66*CZ66,2)*5),6)</f>
        <v>1135.8</v>
      </c>
      <c r="DC66">
        <f>ROUND((ROUND(AT66*AG66,2)*5),6)</f>
        <v>1014.2</v>
      </c>
    </row>
    <row r="67" spans="1:107" x14ac:dyDescent="0.2">
      <c r="A67">
        <f>ROW(Source!A126)</f>
        <v>126</v>
      </c>
      <c r="B67">
        <v>15805332</v>
      </c>
      <c r="C67">
        <v>15805778</v>
      </c>
      <c r="D67">
        <v>14438135</v>
      </c>
      <c r="E67">
        <v>1</v>
      </c>
      <c r="F67">
        <v>1</v>
      </c>
      <c r="G67">
        <v>27</v>
      </c>
      <c r="H67">
        <v>3</v>
      </c>
      <c r="I67" t="s">
        <v>38</v>
      </c>
      <c r="J67" t="s">
        <v>41</v>
      </c>
      <c r="K67" t="s">
        <v>39</v>
      </c>
      <c r="L67">
        <v>1346</v>
      </c>
      <c r="N67">
        <v>1009</v>
      </c>
      <c r="O67" t="s">
        <v>40</v>
      </c>
      <c r="P67" t="s">
        <v>40</v>
      </c>
      <c r="Q67">
        <v>1</v>
      </c>
      <c r="W67">
        <v>1</v>
      </c>
      <c r="X67">
        <v>-78256104</v>
      </c>
      <c r="Y67">
        <v>-735</v>
      </c>
      <c r="AA67">
        <v>17.77</v>
      </c>
      <c r="AB67">
        <v>0</v>
      </c>
      <c r="AC67">
        <v>0</v>
      </c>
      <c r="AD67">
        <v>0</v>
      </c>
      <c r="AE67">
        <v>17.77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1</v>
      </c>
      <c r="AQ67">
        <v>0</v>
      </c>
      <c r="AR67">
        <v>0</v>
      </c>
      <c r="AS67" t="s">
        <v>3</v>
      </c>
      <c r="AT67">
        <v>-147</v>
      </c>
      <c r="AU67" t="s">
        <v>36</v>
      </c>
      <c r="AV67">
        <v>0</v>
      </c>
      <c r="AW67">
        <v>2</v>
      </c>
      <c r="AX67">
        <v>15805788</v>
      </c>
      <c r="AY67">
        <v>1</v>
      </c>
      <c r="AZ67">
        <v>6144</v>
      </c>
      <c r="BA67">
        <v>65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Y67*Source!I126</f>
        <v>-5020.7849999999999</v>
      </c>
      <c r="CY67">
        <f>AA67</f>
        <v>17.77</v>
      </c>
      <c r="CZ67">
        <f>AE67</f>
        <v>17.77</v>
      </c>
      <c r="DA67">
        <f>AI67</f>
        <v>1</v>
      </c>
      <c r="DB67">
        <f>ROUND((ROUND(AT67*CZ67,2)*5),6)</f>
        <v>-13060.95</v>
      </c>
      <c r="DC67">
        <f>ROUND((ROUND(AT67*AG67,2)*5),6)</f>
        <v>0</v>
      </c>
    </row>
    <row r="68" spans="1:107" x14ac:dyDescent="0.2">
      <c r="A68">
        <f>ROW(Source!A126)</f>
        <v>126</v>
      </c>
      <c r="B68">
        <v>15805332</v>
      </c>
      <c r="C68">
        <v>15805778</v>
      </c>
      <c r="D68">
        <v>14438136</v>
      </c>
      <c r="E68">
        <v>1</v>
      </c>
      <c r="F68">
        <v>1</v>
      </c>
      <c r="G68">
        <v>27</v>
      </c>
      <c r="H68">
        <v>3</v>
      </c>
      <c r="I68" t="s">
        <v>43</v>
      </c>
      <c r="J68" t="s">
        <v>45</v>
      </c>
      <c r="K68" t="s">
        <v>44</v>
      </c>
      <c r="L68">
        <v>1346</v>
      </c>
      <c r="N68">
        <v>1009</v>
      </c>
      <c r="O68" t="s">
        <v>40</v>
      </c>
      <c r="P68" t="s">
        <v>40</v>
      </c>
      <c r="Q68">
        <v>1</v>
      </c>
      <c r="W68">
        <v>0</v>
      </c>
      <c r="X68">
        <v>-229590560</v>
      </c>
      <c r="Y68">
        <v>735</v>
      </c>
      <c r="AA68">
        <v>94.72</v>
      </c>
      <c r="AB68">
        <v>0</v>
      </c>
      <c r="AC68">
        <v>0</v>
      </c>
      <c r="AD68">
        <v>0</v>
      </c>
      <c r="AE68">
        <v>94.72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0</v>
      </c>
      <c r="AP68">
        <v>1</v>
      </c>
      <c r="AQ68">
        <v>0</v>
      </c>
      <c r="AR68">
        <v>0</v>
      </c>
      <c r="AS68" t="s">
        <v>3</v>
      </c>
      <c r="AT68">
        <v>735</v>
      </c>
      <c r="AU68" t="s">
        <v>3</v>
      </c>
      <c r="AV68">
        <v>0</v>
      </c>
      <c r="AW68">
        <v>1</v>
      </c>
      <c r="AX68">
        <v>-1</v>
      </c>
      <c r="AY68">
        <v>0</v>
      </c>
      <c r="AZ68">
        <v>0</v>
      </c>
      <c r="BA68" t="s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Y68*Source!I126</f>
        <v>5020.7849999999999</v>
      </c>
      <c r="CY68">
        <f>AA68</f>
        <v>94.72</v>
      </c>
      <c r="CZ68">
        <f>AE68</f>
        <v>94.72</v>
      </c>
      <c r="DA68">
        <f>AI68</f>
        <v>1</v>
      </c>
      <c r="DB68">
        <f>ROUND(ROUND(AT68*CZ68,2),6)</f>
        <v>69619.199999999997</v>
      </c>
      <c r="DC68">
        <f>ROUND(ROUND(AT68*AG68,2),6)</f>
        <v>0</v>
      </c>
    </row>
    <row r="69" spans="1:107" x14ac:dyDescent="0.2">
      <c r="A69">
        <f>ROW(Source!A126)</f>
        <v>126</v>
      </c>
      <c r="B69">
        <v>15805332</v>
      </c>
      <c r="C69">
        <v>15805778</v>
      </c>
      <c r="D69">
        <v>14438142</v>
      </c>
      <c r="E69">
        <v>1</v>
      </c>
      <c r="F69">
        <v>1</v>
      </c>
      <c r="G69">
        <v>27</v>
      </c>
      <c r="H69">
        <v>3</v>
      </c>
      <c r="I69" t="s">
        <v>185</v>
      </c>
      <c r="J69" t="s">
        <v>186</v>
      </c>
      <c r="K69" t="s">
        <v>187</v>
      </c>
      <c r="L69">
        <v>1346</v>
      </c>
      <c r="N69">
        <v>1009</v>
      </c>
      <c r="O69" t="s">
        <v>40</v>
      </c>
      <c r="P69" t="s">
        <v>40</v>
      </c>
      <c r="Q69">
        <v>1</v>
      </c>
      <c r="W69">
        <v>0</v>
      </c>
      <c r="X69">
        <v>1434584530</v>
      </c>
      <c r="Y69">
        <v>210</v>
      </c>
      <c r="AA69">
        <v>202.34</v>
      </c>
      <c r="AB69">
        <v>0</v>
      </c>
      <c r="AC69">
        <v>0</v>
      </c>
      <c r="AD69">
        <v>0</v>
      </c>
      <c r="AE69">
        <v>202.34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1</v>
      </c>
      <c r="AQ69">
        <v>0</v>
      </c>
      <c r="AR69">
        <v>0</v>
      </c>
      <c r="AS69" t="s">
        <v>3</v>
      </c>
      <c r="AT69">
        <v>42</v>
      </c>
      <c r="AU69" t="s">
        <v>36</v>
      </c>
      <c r="AV69">
        <v>0</v>
      </c>
      <c r="AW69">
        <v>2</v>
      </c>
      <c r="AX69">
        <v>15805789</v>
      </c>
      <c r="AY69">
        <v>1</v>
      </c>
      <c r="AZ69">
        <v>0</v>
      </c>
      <c r="BA69">
        <v>66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Y69*Source!I126</f>
        <v>1434.51</v>
      </c>
      <c r="CY69">
        <f>AA69</f>
        <v>202.34</v>
      </c>
      <c r="CZ69">
        <f>AE69</f>
        <v>202.34</v>
      </c>
      <c r="DA69">
        <f>AI69</f>
        <v>1</v>
      </c>
      <c r="DB69">
        <f>ROUND((ROUND(AT69*CZ69,2)*5),6)</f>
        <v>42491.4</v>
      </c>
      <c r="DC69">
        <f>ROUND((ROUND(AT69*AG69,2)*5),6)</f>
        <v>0</v>
      </c>
    </row>
    <row r="70" spans="1:107" x14ac:dyDescent="0.2">
      <c r="A70">
        <f>ROW(Source!A126)</f>
        <v>126</v>
      </c>
      <c r="B70">
        <v>15805332</v>
      </c>
      <c r="C70">
        <v>15805778</v>
      </c>
      <c r="D70">
        <v>14436109</v>
      </c>
      <c r="E70">
        <v>1</v>
      </c>
      <c r="F70">
        <v>1</v>
      </c>
      <c r="G70">
        <v>27</v>
      </c>
      <c r="H70">
        <v>3</v>
      </c>
      <c r="I70" t="s">
        <v>28</v>
      </c>
      <c r="J70" t="s">
        <v>31</v>
      </c>
      <c r="K70" t="s">
        <v>29</v>
      </c>
      <c r="L70">
        <v>1348</v>
      </c>
      <c r="N70">
        <v>1009</v>
      </c>
      <c r="O70" t="s">
        <v>30</v>
      </c>
      <c r="P70" t="s">
        <v>30</v>
      </c>
      <c r="Q70">
        <v>1000</v>
      </c>
      <c r="W70">
        <v>0</v>
      </c>
      <c r="X70">
        <v>-629368275</v>
      </c>
      <c r="Y70">
        <v>5.2500000000000005E-2</v>
      </c>
      <c r="AA70">
        <v>748299.67</v>
      </c>
      <c r="AB70">
        <v>0</v>
      </c>
      <c r="AC70">
        <v>0</v>
      </c>
      <c r="AD70">
        <v>0</v>
      </c>
      <c r="AE70">
        <v>748299.67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 t="s">
        <v>3</v>
      </c>
      <c r="AT70">
        <v>1.0500000000000001E-2</v>
      </c>
      <c r="AU70" t="s">
        <v>36</v>
      </c>
      <c r="AV70">
        <v>0</v>
      </c>
      <c r="AW70">
        <v>2</v>
      </c>
      <c r="AX70">
        <v>15805790</v>
      </c>
      <c r="AY70">
        <v>1</v>
      </c>
      <c r="AZ70">
        <v>0</v>
      </c>
      <c r="BA70">
        <v>67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Y70*Source!I126</f>
        <v>0.35862750000000004</v>
      </c>
      <c r="CY70">
        <f>AA70</f>
        <v>748299.67</v>
      </c>
      <c r="CZ70">
        <f>AE70</f>
        <v>748299.67</v>
      </c>
      <c r="DA70">
        <f>AI70</f>
        <v>1</v>
      </c>
      <c r="DB70">
        <f>ROUND((ROUND(AT70*CZ70,2)*5),6)</f>
        <v>39285.75</v>
      </c>
      <c r="DC70">
        <f>ROUND((ROUND(AT70*AG70,2)*5),6)</f>
        <v>0</v>
      </c>
    </row>
    <row r="71" spans="1:107" x14ac:dyDescent="0.2">
      <c r="A71">
        <f>ROW(Source!A129)</f>
        <v>129</v>
      </c>
      <c r="B71">
        <v>15805332</v>
      </c>
      <c r="C71">
        <v>15805791</v>
      </c>
      <c r="D71">
        <v>14434710</v>
      </c>
      <c r="E71">
        <v>1</v>
      </c>
      <c r="F71">
        <v>1</v>
      </c>
      <c r="G71">
        <v>27</v>
      </c>
      <c r="H71">
        <v>2</v>
      </c>
      <c r="I71" t="s">
        <v>188</v>
      </c>
      <c r="J71" t="s">
        <v>189</v>
      </c>
      <c r="K71" t="s">
        <v>190</v>
      </c>
      <c r="L71">
        <v>1368</v>
      </c>
      <c r="N71">
        <v>1011</v>
      </c>
      <c r="O71" t="s">
        <v>168</v>
      </c>
      <c r="P71" t="s">
        <v>168</v>
      </c>
      <c r="Q71">
        <v>1</v>
      </c>
      <c r="W71">
        <v>0</v>
      </c>
      <c r="X71">
        <v>770341722</v>
      </c>
      <c r="Y71">
        <v>5.3699999999999998E-2</v>
      </c>
      <c r="AA71">
        <v>0</v>
      </c>
      <c r="AB71">
        <v>1494.43</v>
      </c>
      <c r="AC71">
        <v>481.21</v>
      </c>
      <c r="AD71">
        <v>0</v>
      </c>
      <c r="AE71">
        <v>0</v>
      </c>
      <c r="AF71">
        <v>1494.43</v>
      </c>
      <c r="AG71">
        <v>481.21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5.3699999999999998E-2</v>
      </c>
      <c r="AU71" t="s">
        <v>3</v>
      </c>
      <c r="AV71">
        <v>0</v>
      </c>
      <c r="AW71">
        <v>2</v>
      </c>
      <c r="AX71">
        <v>15805793</v>
      </c>
      <c r="AY71">
        <v>1</v>
      </c>
      <c r="AZ71">
        <v>0</v>
      </c>
      <c r="BA71">
        <v>68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Y71*Source!I129</f>
        <v>1.9192722122699999</v>
      </c>
      <c r="CY71">
        <f>AB71</f>
        <v>1494.43</v>
      </c>
      <c r="CZ71">
        <f>AF71</f>
        <v>1494.43</v>
      </c>
      <c r="DA71">
        <f>AJ71</f>
        <v>1</v>
      </c>
      <c r="DB71">
        <f t="shared" ref="DB71:DB76" si="11">ROUND(ROUND(AT71*CZ71,2),6)</f>
        <v>80.25</v>
      </c>
      <c r="DC71">
        <f t="shared" ref="DC71:DC76" si="12">ROUND(ROUND(AT71*AG71,2),6)</f>
        <v>25.84</v>
      </c>
    </row>
    <row r="72" spans="1:107" x14ac:dyDescent="0.2">
      <c r="A72">
        <f>ROW(Source!A130)</f>
        <v>130</v>
      </c>
      <c r="B72">
        <v>15805332</v>
      </c>
      <c r="C72">
        <v>15805794</v>
      </c>
      <c r="D72">
        <v>14422539</v>
      </c>
      <c r="E72">
        <v>27</v>
      </c>
      <c r="F72">
        <v>1</v>
      </c>
      <c r="G72">
        <v>27</v>
      </c>
      <c r="H72">
        <v>1</v>
      </c>
      <c r="I72" t="s">
        <v>162</v>
      </c>
      <c r="J72" t="s">
        <v>3</v>
      </c>
      <c r="K72" t="s">
        <v>163</v>
      </c>
      <c r="L72">
        <v>1191</v>
      </c>
      <c r="N72">
        <v>1013</v>
      </c>
      <c r="O72" t="s">
        <v>164</v>
      </c>
      <c r="P72" t="s">
        <v>164</v>
      </c>
      <c r="Q72">
        <v>1</v>
      </c>
      <c r="W72">
        <v>0</v>
      </c>
      <c r="X72">
        <v>476480486</v>
      </c>
      <c r="Y72">
        <v>1.02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1.02</v>
      </c>
      <c r="AU72" t="s">
        <v>3</v>
      </c>
      <c r="AV72">
        <v>1</v>
      </c>
      <c r="AW72">
        <v>2</v>
      </c>
      <c r="AX72">
        <v>15805796</v>
      </c>
      <c r="AY72">
        <v>1</v>
      </c>
      <c r="AZ72">
        <v>0</v>
      </c>
      <c r="BA72">
        <v>69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Y72*Source!I130</f>
        <v>4.0506055380000001</v>
      </c>
      <c r="CY72">
        <f>AD72</f>
        <v>0</v>
      </c>
      <c r="CZ72">
        <f>AH72</f>
        <v>0</v>
      </c>
      <c r="DA72">
        <f>AL72</f>
        <v>1</v>
      </c>
      <c r="DB72">
        <f t="shared" si="11"/>
        <v>0</v>
      </c>
      <c r="DC72">
        <f t="shared" si="12"/>
        <v>0</v>
      </c>
    </row>
    <row r="73" spans="1:107" x14ac:dyDescent="0.2">
      <c r="A73">
        <f>ROW(Source!A131)</f>
        <v>131</v>
      </c>
      <c r="B73">
        <v>15805332</v>
      </c>
      <c r="C73">
        <v>15805797</v>
      </c>
      <c r="D73">
        <v>14435508</v>
      </c>
      <c r="E73">
        <v>1</v>
      </c>
      <c r="F73">
        <v>1</v>
      </c>
      <c r="G73">
        <v>27</v>
      </c>
      <c r="H73">
        <v>2</v>
      </c>
      <c r="I73" t="s">
        <v>191</v>
      </c>
      <c r="J73" t="s">
        <v>192</v>
      </c>
      <c r="K73" t="s">
        <v>193</v>
      </c>
      <c r="L73">
        <v>1368</v>
      </c>
      <c r="N73">
        <v>1011</v>
      </c>
      <c r="O73" t="s">
        <v>168</v>
      </c>
      <c r="P73" t="s">
        <v>168</v>
      </c>
      <c r="Q73">
        <v>1</v>
      </c>
      <c r="W73">
        <v>0</v>
      </c>
      <c r="X73">
        <v>238809398</v>
      </c>
      <c r="Y73">
        <v>5.3999999999999999E-2</v>
      </c>
      <c r="AA73">
        <v>0</v>
      </c>
      <c r="AB73">
        <v>1009.4</v>
      </c>
      <c r="AC73">
        <v>316.82</v>
      </c>
      <c r="AD73">
        <v>0</v>
      </c>
      <c r="AE73">
        <v>0</v>
      </c>
      <c r="AF73">
        <v>1009.4</v>
      </c>
      <c r="AG73">
        <v>316.82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5.3999999999999999E-2</v>
      </c>
      <c r="AU73" t="s">
        <v>3</v>
      </c>
      <c r="AV73">
        <v>0</v>
      </c>
      <c r="AW73">
        <v>2</v>
      </c>
      <c r="AX73">
        <v>15805800</v>
      </c>
      <c r="AY73">
        <v>1</v>
      </c>
      <c r="AZ73">
        <v>0</v>
      </c>
      <c r="BA73">
        <v>70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Y73*Source!I131</f>
        <v>0.2144438226</v>
      </c>
      <c r="CY73">
        <f t="shared" ref="CY73:CY78" si="13">AB73</f>
        <v>1009.4</v>
      </c>
      <c r="CZ73">
        <f t="shared" ref="CZ73:CZ78" si="14">AF73</f>
        <v>1009.4</v>
      </c>
      <c r="DA73">
        <f t="shared" ref="DA73:DA78" si="15">AJ73</f>
        <v>1</v>
      </c>
      <c r="DB73">
        <f t="shared" si="11"/>
        <v>54.51</v>
      </c>
      <c r="DC73">
        <f t="shared" si="12"/>
        <v>17.11</v>
      </c>
    </row>
    <row r="74" spans="1:107" x14ac:dyDescent="0.2">
      <c r="A74">
        <f>ROW(Source!A131)</f>
        <v>131</v>
      </c>
      <c r="B74">
        <v>15805332</v>
      </c>
      <c r="C74">
        <v>15805797</v>
      </c>
      <c r="D74">
        <v>14435509</v>
      </c>
      <c r="E74">
        <v>1</v>
      </c>
      <c r="F74">
        <v>1</v>
      </c>
      <c r="G74">
        <v>27</v>
      </c>
      <c r="H74">
        <v>2</v>
      </c>
      <c r="I74" t="s">
        <v>194</v>
      </c>
      <c r="J74" t="s">
        <v>195</v>
      </c>
      <c r="K74" t="s">
        <v>196</v>
      </c>
      <c r="L74">
        <v>1368</v>
      </c>
      <c r="N74">
        <v>1011</v>
      </c>
      <c r="O74" t="s">
        <v>168</v>
      </c>
      <c r="P74" t="s">
        <v>168</v>
      </c>
      <c r="Q74">
        <v>1</v>
      </c>
      <c r="W74">
        <v>0</v>
      </c>
      <c r="X74">
        <v>-1786200580</v>
      </c>
      <c r="Y74">
        <v>5.5E-2</v>
      </c>
      <c r="AA74">
        <v>0</v>
      </c>
      <c r="AB74">
        <v>1014.12</v>
      </c>
      <c r="AC74">
        <v>317.13</v>
      </c>
      <c r="AD74">
        <v>0</v>
      </c>
      <c r="AE74">
        <v>0</v>
      </c>
      <c r="AF74">
        <v>1014.12</v>
      </c>
      <c r="AG74">
        <v>317.13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5.5E-2</v>
      </c>
      <c r="AU74" t="s">
        <v>3</v>
      </c>
      <c r="AV74">
        <v>0</v>
      </c>
      <c r="AW74">
        <v>2</v>
      </c>
      <c r="AX74">
        <v>15805801</v>
      </c>
      <c r="AY74">
        <v>1</v>
      </c>
      <c r="AZ74">
        <v>0</v>
      </c>
      <c r="BA74">
        <v>71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Y74*Source!I131</f>
        <v>0.21841500450000001</v>
      </c>
      <c r="CY74">
        <f t="shared" si="13"/>
        <v>1014.12</v>
      </c>
      <c r="CZ74">
        <f t="shared" si="14"/>
        <v>1014.12</v>
      </c>
      <c r="DA74">
        <f t="shared" si="15"/>
        <v>1</v>
      </c>
      <c r="DB74">
        <f t="shared" si="11"/>
        <v>55.78</v>
      </c>
      <c r="DC74">
        <f t="shared" si="12"/>
        <v>17.440000000000001</v>
      </c>
    </row>
    <row r="75" spans="1:107" x14ac:dyDescent="0.2">
      <c r="A75">
        <f>ROW(Source!A132)</f>
        <v>132</v>
      </c>
      <c r="B75">
        <v>15805332</v>
      </c>
      <c r="C75">
        <v>15805802</v>
      </c>
      <c r="D75">
        <v>14435508</v>
      </c>
      <c r="E75">
        <v>1</v>
      </c>
      <c r="F75">
        <v>1</v>
      </c>
      <c r="G75">
        <v>27</v>
      </c>
      <c r="H75">
        <v>2</v>
      </c>
      <c r="I75" t="s">
        <v>191</v>
      </c>
      <c r="J75" t="s">
        <v>192</v>
      </c>
      <c r="K75" t="s">
        <v>193</v>
      </c>
      <c r="L75">
        <v>1368</v>
      </c>
      <c r="N75">
        <v>1011</v>
      </c>
      <c r="O75" t="s">
        <v>168</v>
      </c>
      <c r="P75" t="s">
        <v>168</v>
      </c>
      <c r="Q75">
        <v>1</v>
      </c>
      <c r="W75">
        <v>0</v>
      </c>
      <c r="X75">
        <v>238809398</v>
      </c>
      <c r="Y75">
        <v>0.02</v>
      </c>
      <c r="AA75">
        <v>0</v>
      </c>
      <c r="AB75">
        <v>1009.4</v>
      </c>
      <c r="AC75">
        <v>316.82</v>
      </c>
      <c r="AD75">
        <v>0</v>
      </c>
      <c r="AE75">
        <v>0</v>
      </c>
      <c r="AF75">
        <v>1009.4</v>
      </c>
      <c r="AG75">
        <v>316.82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0.02</v>
      </c>
      <c r="AU75" t="s">
        <v>3</v>
      </c>
      <c r="AV75">
        <v>0</v>
      </c>
      <c r="AW75">
        <v>2</v>
      </c>
      <c r="AX75">
        <v>15805805</v>
      </c>
      <c r="AY75">
        <v>1</v>
      </c>
      <c r="AZ75">
        <v>0</v>
      </c>
      <c r="BA75">
        <v>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Y75*Source!I132</f>
        <v>0.714812742</v>
      </c>
      <c r="CY75">
        <f t="shared" si="13"/>
        <v>1009.4</v>
      </c>
      <c r="CZ75">
        <f t="shared" si="14"/>
        <v>1009.4</v>
      </c>
      <c r="DA75">
        <f t="shared" si="15"/>
        <v>1</v>
      </c>
      <c r="DB75">
        <f t="shared" si="11"/>
        <v>20.190000000000001</v>
      </c>
      <c r="DC75">
        <f t="shared" si="12"/>
        <v>6.34</v>
      </c>
    </row>
    <row r="76" spans="1:107" x14ac:dyDescent="0.2">
      <c r="A76">
        <f>ROW(Source!A132)</f>
        <v>132</v>
      </c>
      <c r="B76">
        <v>15805332</v>
      </c>
      <c r="C76">
        <v>15805802</v>
      </c>
      <c r="D76">
        <v>14435509</v>
      </c>
      <c r="E76">
        <v>1</v>
      </c>
      <c r="F76">
        <v>1</v>
      </c>
      <c r="G76">
        <v>27</v>
      </c>
      <c r="H76">
        <v>2</v>
      </c>
      <c r="I76" t="s">
        <v>194</v>
      </c>
      <c r="J76" t="s">
        <v>195</v>
      </c>
      <c r="K76" t="s">
        <v>196</v>
      </c>
      <c r="L76">
        <v>1368</v>
      </c>
      <c r="N76">
        <v>1011</v>
      </c>
      <c r="O76" t="s">
        <v>168</v>
      </c>
      <c r="P76" t="s">
        <v>168</v>
      </c>
      <c r="Q76">
        <v>1</v>
      </c>
      <c r="W76">
        <v>0</v>
      </c>
      <c r="X76">
        <v>-1786200580</v>
      </c>
      <c r="Y76">
        <v>1.7999999999999999E-2</v>
      </c>
      <c r="AA76">
        <v>0</v>
      </c>
      <c r="AB76">
        <v>1014.12</v>
      </c>
      <c r="AC76">
        <v>317.13</v>
      </c>
      <c r="AD76">
        <v>0</v>
      </c>
      <c r="AE76">
        <v>0</v>
      </c>
      <c r="AF76">
        <v>1014.12</v>
      </c>
      <c r="AG76">
        <v>317.13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1.7999999999999999E-2</v>
      </c>
      <c r="AU76" t="s">
        <v>3</v>
      </c>
      <c r="AV76">
        <v>0</v>
      </c>
      <c r="AW76">
        <v>2</v>
      </c>
      <c r="AX76">
        <v>15805806</v>
      </c>
      <c r="AY76">
        <v>1</v>
      </c>
      <c r="AZ76">
        <v>0</v>
      </c>
      <c r="BA76">
        <v>73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Y76*Source!I132</f>
        <v>0.64333146779999995</v>
      </c>
      <c r="CY76">
        <f t="shared" si="13"/>
        <v>1014.12</v>
      </c>
      <c r="CZ76">
        <f t="shared" si="14"/>
        <v>1014.12</v>
      </c>
      <c r="DA76">
        <f t="shared" si="15"/>
        <v>1</v>
      </c>
      <c r="DB76">
        <f t="shared" si="11"/>
        <v>18.25</v>
      </c>
      <c r="DC76">
        <f t="shared" si="12"/>
        <v>5.71</v>
      </c>
    </row>
    <row r="77" spans="1:107" x14ac:dyDescent="0.2">
      <c r="A77">
        <f>ROW(Source!A133)</f>
        <v>133</v>
      </c>
      <c r="B77">
        <v>15805332</v>
      </c>
      <c r="C77">
        <v>15805807</v>
      </c>
      <c r="D77">
        <v>14435508</v>
      </c>
      <c r="E77">
        <v>1</v>
      </c>
      <c r="F77">
        <v>1</v>
      </c>
      <c r="G77">
        <v>27</v>
      </c>
      <c r="H77">
        <v>2</v>
      </c>
      <c r="I77" t="s">
        <v>191</v>
      </c>
      <c r="J77" t="s">
        <v>192</v>
      </c>
      <c r="K77" t="s">
        <v>193</v>
      </c>
      <c r="L77">
        <v>1368</v>
      </c>
      <c r="N77">
        <v>1011</v>
      </c>
      <c r="O77" t="s">
        <v>168</v>
      </c>
      <c r="P77" t="s">
        <v>168</v>
      </c>
      <c r="Q77">
        <v>1</v>
      </c>
      <c r="W77">
        <v>0</v>
      </c>
      <c r="X77">
        <v>238809398</v>
      </c>
      <c r="Y77">
        <v>0.49</v>
      </c>
      <c r="AA77">
        <v>0</v>
      </c>
      <c r="AB77">
        <v>1009.4</v>
      </c>
      <c r="AC77">
        <v>316.82</v>
      </c>
      <c r="AD77">
        <v>0</v>
      </c>
      <c r="AE77">
        <v>0</v>
      </c>
      <c r="AF77">
        <v>1009.4</v>
      </c>
      <c r="AG77">
        <v>316.82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S77" t="s">
        <v>3</v>
      </c>
      <c r="AT77">
        <v>0.01</v>
      </c>
      <c r="AU77" t="s">
        <v>67</v>
      </c>
      <c r="AV77">
        <v>0</v>
      </c>
      <c r="AW77">
        <v>2</v>
      </c>
      <c r="AX77">
        <v>15805810</v>
      </c>
      <c r="AY77">
        <v>1</v>
      </c>
      <c r="AZ77">
        <v>0</v>
      </c>
      <c r="BA77">
        <v>74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Y77*Source!I133</f>
        <v>19.458791309999999</v>
      </c>
      <c r="CY77">
        <f t="shared" si="13"/>
        <v>1009.4</v>
      </c>
      <c r="CZ77">
        <f t="shared" si="14"/>
        <v>1009.4</v>
      </c>
      <c r="DA77">
        <f t="shared" si="15"/>
        <v>1</v>
      </c>
      <c r="DB77">
        <f>ROUND((ROUND(AT77*CZ77,2)*49),6)</f>
        <v>494.41</v>
      </c>
      <c r="DC77">
        <f>ROUND((ROUND(AT77*AG77,2)*49),6)</f>
        <v>155.33000000000001</v>
      </c>
    </row>
    <row r="78" spans="1:107" x14ac:dyDescent="0.2">
      <c r="A78">
        <f>ROW(Source!A133)</f>
        <v>133</v>
      </c>
      <c r="B78">
        <v>15805332</v>
      </c>
      <c r="C78">
        <v>15805807</v>
      </c>
      <c r="D78">
        <v>14435509</v>
      </c>
      <c r="E78">
        <v>1</v>
      </c>
      <c r="F78">
        <v>1</v>
      </c>
      <c r="G78">
        <v>27</v>
      </c>
      <c r="H78">
        <v>2</v>
      </c>
      <c r="I78" t="s">
        <v>194</v>
      </c>
      <c r="J78" t="s">
        <v>195</v>
      </c>
      <c r="K78" t="s">
        <v>196</v>
      </c>
      <c r="L78">
        <v>1368</v>
      </c>
      <c r="N78">
        <v>1011</v>
      </c>
      <c r="O78" t="s">
        <v>168</v>
      </c>
      <c r="P78" t="s">
        <v>168</v>
      </c>
      <c r="Q78">
        <v>1</v>
      </c>
      <c r="W78">
        <v>0</v>
      </c>
      <c r="X78">
        <v>-1786200580</v>
      </c>
      <c r="Y78">
        <v>0.39200000000000002</v>
      </c>
      <c r="AA78">
        <v>0</v>
      </c>
      <c r="AB78">
        <v>1014.12</v>
      </c>
      <c r="AC78">
        <v>317.13</v>
      </c>
      <c r="AD78">
        <v>0</v>
      </c>
      <c r="AE78">
        <v>0</v>
      </c>
      <c r="AF78">
        <v>1014.12</v>
      </c>
      <c r="AG78">
        <v>317.13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 t="s">
        <v>3</v>
      </c>
      <c r="AT78">
        <v>8.0000000000000002E-3</v>
      </c>
      <c r="AU78" t="s">
        <v>67</v>
      </c>
      <c r="AV78">
        <v>0</v>
      </c>
      <c r="AW78">
        <v>2</v>
      </c>
      <c r="AX78">
        <v>15805811</v>
      </c>
      <c r="AY78">
        <v>1</v>
      </c>
      <c r="AZ78">
        <v>0</v>
      </c>
      <c r="BA78">
        <v>75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Y78*Source!I133</f>
        <v>15.567033048000001</v>
      </c>
      <c r="CY78">
        <f t="shared" si="13"/>
        <v>1014.12</v>
      </c>
      <c r="CZ78">
        <f t="shared" si="14"/>
        <v>1014.12</v>
      </c>
      <c r="DA78">
        <f t="shared" si="15"/>
        <v>1</v>
      </c>
      <c r="DB78">
        <f>ROUND((ROUND(AT78*CZ78,2)*49),6)</f>
        <v>397.39</v>
      </c>
      <c r="DC78">
        <f>ROUND((ROUND(AT78*AG78,2)*49),6)</f>
        <v>124.46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15805563</v>
      </c>
      <c r="C1">
        <v>15805561</v>
      </c>
      <c r="D1">
        <v>14422539</v>
      </c>
      <c r="E1">
        <v>27</v>
      </c>
      <c r="F1">
        <v>1</v>
      </c>
      <c r="G1">
        <v>27</v>
      </c>
      <c r="H1">
        <v>1</v>
      </c>
      <c r="I1" t="s">
        <v>162</v>
      </c>
      <c r="J1" t="s">
        <v>3</v>
      </c>
      <c r="K1" t="s">
        <v>163</v>
      </c>
      <c r="L1">
        <v>1191</v>
      </c>
      <c r="N1">
        <v>1013</v>
      </c>
      <c r="O1" t="s">
        <v>164</v>
      </c>
      <c r="P1" t="s">
        <v>164</v>
      </c>
      <c r="Q1">
        <v>1</v>
      </c>
      <c r="X1">
        <v>3.3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3.3</v>
      </c>
      <c r="AH1">
        <v>2</v>
      </c>
      <c r="AI1">
        <v>15805562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ROW(Source!A29)</f>
        <v>29</v>
      </c>
      <c r="B2">
        <v>15805600</v>
      </c>
      <c r="C2">
        <v>15805589</v>
      </c>
      <c r="D2">
        <v>14422539</v>
      </c>
      <c r="E2">
        <v>27</v>
      </c>
      <c r="F2">
        <v>1</v>
      </c>
      <c r="G2">
        <v>27</v>
      </c>
      <c r="H2">
        <v>1</v>
      </c>
      <c r="I2" t="s">
        <v>162</v>
      </c>
      <c r="J2" t="s">
        <v>3</v>
      </c>
      <c r="K2" t="s">
        <v>163</v>
      </c>
      <c r="L2">
        <v>1191</v>
      </c>
      <c r="N2">
        <v>1013</v>
      </c>
      <c r="O2" t="s">
        <v>164</v>
      </c>
      <c r="P2" t="s">
        <v>164</v>
      </c>
      <c r="Q2">
        <v>1</v>
      </c>
      <c r="X2">
        <v>18.440000000000001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 t="s">
        <v>3</v>
      </c>
      <c r="AG2">
        <v>18.440000000000001</v>
      </c>
      <c r="AH2">
        <v>2</v>
      </c>
      <c r="AI2">
        <v>15805590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ROW(Source!A29)</f>
        <v>29</v>
      </c>
      <c r="B3">
        <v>15805601</v>
      </c>
      <c r="C3">
        <v>15805589</v>
      </c>
      <c r="D3">
        <v>14435398</v>
      </c>
      <c r="E3">
        <v>1</v>
      </c>
      <c r="F3">
        <v>1</v>
      </c>
      <c r="G3">
        <v>27</v>
      </c>
      <c r="H3">
        <v>2</v>
      </c>
      <c r="I3" t="s">
        <v>165</v>
      </c>
      <c r="J3" t="s">
        <v>166</v>
      </c>
      <c r="K3" t="s">
        <v>167</v>
      </c>
      <c r="L3">
        <v>1368</v>
      </c>
      <c r="N3">
        <v>1011</v>
      </c>
      <c r="O3" t="s">
        <v>168</v>
      </c>
      <c r="P3" t="s">
        <v>168</v>
      </c>
      <c r="Q3">
        <v>1</v>
      </c>
      <c r="X3">
        <v>2.64</v>
      </c>
      <c r="Y3">
        <v>0</v>
      </c>
      <c r="Z3">
        <v>531.41</v>
      </c>
      <c r="AA3">
        <v>373.56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2.64</v>
      </c>
      <c r="AH3">
        <v>2</v>
      </c>
      <c r="AI3">
        <v>15805591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ROW(Source!A29)</f>
        <v>29</v>
      </c>
      <c r="B4">
        <v>15805602</v>
      </c>
      <c r="C4">
        <v>15805589</v>
      </c>
      <c r="D4">
        <v>14435621</v>
      </c>
      <c r="E4">
        <v>1</v>
      </c>
      <c r="F4">
        <v>1</v>
      </c>
      <c r="G4">
        <v>27</v>
      </c>
      <c r="H4">
        <v>2</v>
      </c>
      <c r="I4" t="s">
        <v>169</v>
      </c>
      <c r="J4" t="s">
        <v>170</v>
      </c>
      <c r="K4" t="s">
        <v>171</v>
      </c>
      <c r="L4">
        <v>1368</v>
      </c>
      <c r="N4">
        <v>1011</v>
      </c>
      <c r="O4" t="s">
        <v>168</v>
      </c>
      <c r="P4" t="s">
        <v>168</v>
      </c>
      <c r="Q4">
        <v>1</v>
      </c>
      <c r="X4">
        <v>1.18</v>
      </c>
      <c r="Y4">
        <v>0</v>
      </c>
      <c r="Z4">
        <v>7.44</v>
      </c>
      <c r="AA4">
        <v>0.98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1.18</v>
      </c>
      <c r="AH4">
        <v>2</v>
      </c>
      <c r="AI4">
        <v>15805592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ROW(Source!A29)</f>
        <v>29</v>
      </c>
      <c r="B5">
        <v>15805603</v>
      </c>
      <c r="C5">
        <v>15805589</v>
      </c>
      <c r="D5">
        <v>14434823</v>
      </c>
      <c r="E5">
        <v>1</v>
      </c>
      <c r="F5">
        <v>1</v>
      </c>
      <c r="G5">
        <v>27</v>
      </c>
      <c r="H5">
        <v>2</v>
      </c>
      <c r="I5" t="s">
        <v>172</v>
      </c>
      <c r="J5" t="s">
        <v>173</v>
      </c>
      <c r="K5" t="s">
        <v>174</v>
      </c>
      <c r="L5">
        <v>1368</v>
      </c>
      <c r="N5">
        <v>1011</v>
      </c>
      <c r="O5" t="s">
        <v>168</v>
      </c>
      <c r="P5" t="s">
        <v>168</v>
      </c>
      <c r="Q5">
        <v>1</v>
      </c>
      <c r="X5">
        <v>0.01</v>
      </c>
      <c r="Y5">
        <v>0</v>
      </c>
      <c r="Z5">
        <v>616.73</v>
      </c>
      <c r="AA5">
        <v>511.29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0.01</v>
      </c>
      <c r="AH5">
        <v>2</v>
      </c>
      <c r="AI5">
        <v>15805593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ROW(Source!A29)</f>
        <v>29</v>
      </c>
      <c r="B6">
        <v>15805604</v>
      </c>
      <c r="C6">
        <v>15805589</v>
      </c>
      <c r="D6">
        <v>14435007</v>
      </c>
      <c r="E6">
        <v>1</v>
      </c>
      <c r="F6">
        <v>1</v>
      </c>
      <c r="G6">
        <v>27</v>
      </c>
      <c r="H6">
        <v>2</v>
      </c>
      <c r="I6" t="s">
        <v>175</v>
      </c>
      <c r="J6" t="s">
        <v>176</v>
      </c>
      <c r="K6" t="s">
        <v>177</v>
      </c>
      <c r="L6">
        <v>1368</v>
      </c>
      <c r="N6">
        <v>1011</v>
      </c>
      <c r="O6" t="s">
        <v>168</v>
      </c>
      <c r="P6" t="s">
        <v>168</v>
      </c>
      <c r="Q6">
        <v>1</v>
      </c>
      <c r="X6">
        <v>2.64</v>
      </c>
      <c r="Y6">
        <v>0</v>
      </c>
      <c r="Z6">
        <v>454.31</v>
      </c>
      <c r="AA6">
        <v>405.68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2.64</v>
      </c>
      <c r="AH6">
        <v>2</v>
      </c>
      <c r="AI6">
        <v>15805594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ROW(Source!A29)</f>
        <v>29</v>
      </c>
      <c r="B7">
        <v>15805605</v>
      </c>
      <c r="C7">
        <v>15805589</v>
      </c>
      <c r="D7">
        <v>14437831</v>
      </c>
      <c r="E7">
        <v>1</v>
      </c>
      <c r="F7">
        <v>1</v>
      </c>
      <c r="G7">
        <v>27</v>
      </c>
      <c r="H7">
        <v>3</v>
      </c>
      <c r="I7" t="s">
        <v>178</v>
      </c>
      <c r="J7" t="s">
        <v>179</v>
      </c>
      <c r="K7" t="s">
        <v>180</v>
      </c>
      <c r="L7">
        <v>1327</v>
      </c>
      <c r="N7">
        <v>1005</v>
      </c>
      <c r="O7" t="s">
        <v>181</v>
      </c>
      <c r="P7" t="s">
        <v>181</v>
      </c>
      <c r="Q7">
        <v>1</v>
      </c>
      <c r="X7">
        <v>5.6</v>
      </c>
      <c r="Y7">
        <v>12.02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5.6</v>
      </c>
      <c r="AH7">
        <v>2</v>
      </c>
      <c r="AI7">
        <v>15805595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ROW(Source!A29)</f>
        <v>29</v>
      </c>
      <c r="B8">
        <v>15805606</v>
      </c>
      <c r="C8">
        <v>15805589</v>
      </c>
      <c r="D8">
        <v>14437918</v>
      </c>
      <c r="E8">
        <v>1</v>
      </c>
      <c r="F8">
        <v>1</v>
      </c>
      <c r="G8">
        <v>27</v>
      </c>
      <c r="H8">
        <v>3</v>
      </c>
      <c r="I8" t="s">
        <v>182</v>
      </c>
      <c r="J8" t="s">
        <v>183</v>
      </c>
      <c r="K8" t="s">
        <v>184</v>
      </c>
      <c r="L8">
        <v>1348</v>
      </c>
      <c r="N8">
        <v>1009</v>
      </c>
      <c r="O8" t="s">
        <v>30</v>
      </c>
      <c r="P8" t="s">
        <v>30</v>
      </c>
      <c r="Q8">
        <v>1000</v>
      </c>
      <c r="X8">
        <v>3.15E-3</v>
      </c>
      <c r="Y8">
        <v>343020.03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3.15E-3</v>
      </c>
      <c r="AH8">
        <v>2</v>
      </c>
      <c r="AI8">
        <v>15805596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ROW(Source!A29)</f>
        <v>29</v>
      </c>
      <c r="B9">
        <v>15805607</v>
      </c>
      <c r="C9">
        <v>15805589</v>
      </c>
      <c r="D9">
        <v>14438135</v>
      </c>
      <c r="E9">
        <v>1</v>
      </c>
      <c r="F9">
        <v>1</v>
      </c>
      <c r="G9">
        <v>27</v>
      </c>
      <c r="H9">
        <v>3</v>
      </c>
      <c r="I9" t="s">
        <v>38</v>
      </c>
      <c r="J9" t="s">
        <v>41</v>
      </c>
      <c r="K9" t="s">
        <v>39</v>
      </c>
      <c r="L9">
        <v>1346</v>
      </c>
      <c r="N9">
        <v>1009</v>
      </c>
      <c r="O9" t="s">
        <v>40</v>
      </c>
      <c r="P9" t="s">
        <v>40</v>
      </c>
      <c r="Q9">
        <v>1</v>
      </c>
      <c r="X9">
        <v>735</v>
      </c>
      <c r="Y9">
        <v>17.77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735</v>
      </c>
      <c r="AH9">
        <v>2</v>
      </c>
      <c r="AI9">
        <v>15805597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ROW(Source!A29)</f>
        <v>29</v>
      </c>
      <c r="B10">
        <v>15805608</v>
      </c>
      <c r="C10">
        <v>15805589</v>
      </c>
      <c r="D10">
        <v>14438142</v>
      </c>
      <c r="E10">
        <v>1</v>
      </c>
      <c r="F10">
        <v>1</v>
      </c>
      <c r="G10">
        <v>27</v>
      </c>
      <c r="H10">
        <v>3</v>
      </c>
      <c r="I10" t="s">
        <v>185</v>
      </c>
      <c r="J10" t="s">
        <v>186</v>
      </c>
      <c r="K10" t="s">
        <v>187</v>
      </c>
      <c r="L10">
        <v>1346</v>
      </c>
      <c r="N10">
        <v>1009</v>
      </c>
      <c r="O10" t="s">
        <v>40</v>
      </c>
      <c r="P10" t="s">
        <v>40</v>
      </c>
      <c r="Q10">
        <v>1</v>
      </c>
      <c r="X10">
        <v>241.5</v>
      </c>
      <c r="Y10">
        <v>202.34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241.5</v>
      </c>
      <c r="AH10">
        <v>2</v>
      </c>
      <c r="AI10">
        <v>15805598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ROW(Source!A29)</f>
        <v>29</v>
      </c>
      <c r="B11">
        <v>15805609</v>
      </c>
      <c r="C11">
        <v>15805589</v>
      </c>
      <c r="D11">
        <v>14436109</v>
      </c>
      <c r="E11">
        <v>1</v>
      </c>
      <c r="F11">
        <v>1</v>
      </c>
      <c r="G11">
        <v>27</v>
      </c>
      <c r="H11">
        <v>3</v>
      </c>
      <c r="I11" t="s">
        <v>28</v>
      </c>
      <c r="J11" t="s">
        <v>31</v>
      </c>
      <c r="K11" t="s">
        <v>29</v>
      </c>
      <c r="L11">
        <v>1348</v>
      </c>
      <c r="N11">
        <v>1009</v>
      </c>
      <c r="O11" t="s">
        <v>30</v>
      </c>
      <c r="P11" t="s">
        <v>30</v>
      </c>
      <c r="Q11">
        <v>1000</v>
      </c>
      <c r="X11">
        <v>5.2499999999999998E-2</v>
      </c>
      <c r="Y11">
        <v>748299.67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5.2499999999999998E-2</v>
      </c>
      <c r="AH11">
        <v>2</v>
      </c>
      <c r="AI11">
        <v>15805599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ROW(Source!A31)</f>
        <v>31</v>
      </c>
      <c r="B12">
        <v>15805618</v>
      </c>
      <c r="C12">
        <v>15805611</v>
      </c>
      <c r="D12">
        <v>14422539</v>
      </c>
      <c r="E12">
        <v>27</v>
      </c>
      <c r="F12">
        <v>1</v>
      </c>
      <c r="G12">
        <v>27</v>
      </c>
      <c r="H12">
        <v>1</v>
      </c>
      <c r="I12" t="s">
        <v>162</v>
      </c>
      <c r="J12" t="s">
        <v>3</v>
      </c>
      <c r="K12" t="s">
        <v>163</v>
      </c>
      <c r="L12">
        <v>1191</v>
      </c>
      <c r="N12">
        <v>1013</v>
      </c>
      <c r="O12" t="s">
        <v>164</v>
      </c>
      <c r="P12" t="s">
        <v>164</v>
      </c>
      <c r="Q12">
        <v>1</v>
      </c>
      <c r="X12">
        <v>2.65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t="s">
        <v>36</v>
      </c>
      <c r="AG12">
        <v>13.25</v>
      </c>
      <c r="AH12">
        <v>2</v>
      </c>
      <c r="AI12">
        <v>15805612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ROW(Source!A31)</f>
        <v>31</v>
      </c>
      <c r="B13">
        <v>15805619</v>
      </c>
      <c r="C13">
        <v>15805611</v>
      </c>
      <c r="D13">
        <v>14435398</v>
      </c>
      <c r="E13">
        <v>1</v>
      </c>
      <c r="F13">
        <v>1</v>
      </c>
      <c r="G13">
        <v>27</v>
      </c>
      <c r="H13">
        <v>2</v>
      </c>
      <c r="I13" t="s">
        <v>165</v>
      </c>
      <c r="J13" t="s">
        <v>166</v>
      </c>
      <c r="K13" t="s">
        <v>167</v>
      </c>
      <c r="L13">
        <v>1368</v>
      </c>
      <c r="N13">
        <v>1011</v>
      </c>
      <c r="O13" t="s">
        <v>168</v>
      </c>
      <c r="P13" t="s">
        <v>168</v>
      </c>
      <c r="Q13">
        <v>1</v>
      </c>
      <c r="X13">
        <v>0.5</v>
      </c>
      <c r="Y13">
        <v>0</v>
      </c>
      <c r="Z13">
        <v>531.41</v>
      </c>
      <c r="AA13">
        <v>373.56</v>
      </c>
      <c r="AB13">
        <v>0</v>
      </c>
      <c r="AC13">
        <v>0</v>
      </c>
      <c r="AD13">
        <v>1</v>
      </c>
      <c r="AE13">
        <v>0</v>
      </c>
      <c r="AF13" t="s">
        <v>36</v>
      </c>
      <c r="AG13">
        <v>2.5</v>
      </c>
      <c r="AH13">
        <v>2</v>
      </c>
      <c r="AI13">
        <v>15805613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ROW(Source!A31)</f>
        <v>31</v>
      </c>
      <c r="B14">
        <v>15805620</v>
      </c>
      <c r="C14">
        <v>15805611</v>
      </c>
      <c r="D14">
        <v>14435007</v>
      </c>
      <c r="E14">
        <v>1</v>
      </c>
      <c r="F14">
        <v>1</v>
      </c>
      <c r="G14">
        <v>27</v>
      </c>
      <c r="H14">
        <v>2</v>
      </c>
      <c r="I14" t="s">
        <v>175</v>
      </c>
      <c r="J14" t="s">
        <v>176</v>
      </c>
      <c r="K14" t="s">
        <v>177</v>
      </c>
      <c r="L14">
        <v>1368</v>
      </c>
      <c r="N14">
        <v>1011</v>
      </c>
      <c r="O14" t="s">
        <v>168</v>
      </c>
      <c r="P14" t="s">
        <v>168</v>
      </c>
      <c r="Q14">
        <v>1</v>
      </c>
      <c r="X14">
        <v>0.5</v>
      </c>
      <c r="Y14">
        <v>0</v>
      </c>
      <c r="Z14">
        <v>454.31</v>
      </c>
      <c r="AA14">
        <v>405.68</v>
      </c>
      <c r="AB14">
        <v>0</v>
      </c>
      <c r="AC14">
        <v>0</v>
      </c>
      <c r="AD14">
        <v>1</v>
      </c>
      <c r="AE14">
        <v>0</v>
      </c>
      <c r="AF14" t="s">
        <v>36</v>
      </c>
      <c r="AG14">
        <v>2.5</v>
      </c>
      <c r="AH14">
        <v>2</v>
      </c>
      <c r="AI14">
        <v>15805614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ROW(Source!A31)</f>
        <v>31</v>
      </c>
      <c r="B15">
        <v>15805621</v>
      </c>
      <c r="C15">
        <v>15805611</v>
      </c>
      <c r="D15">
        <v>14438135</v>
      </c>
      <c r="E15">
        <v>1</v>
      </c>
      <c r="F15">
        <v>1</v>
      </c>
      <c r="G15">
        <v>27</v>
      </c>
      <c r="H15">
        <v>3</v>
      </c>
      <c r="I15" t="s">
        <v>38</v>
      </c>
      <c r="J15" t="s">
        <v>41</v>
      </c>
      <c r="K15" t="s">
        <v>39</v>
      </c>
      <c r="L15">
        <v>1346</v>
      </c>
      <c r="N15">
        <v>1009</v>
      </c>
      <c r="O15" t="s">
        <v>40</v>
      </c>
      <c r="P15" t="s">
        <v>40</v>
      </c>
      <c r="Q15">
        <v>1</v>
      </c>
      <c r="X15">
        <v>147</v>
      </c>
      <c r="Y15">
        <v>17.77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36</v>
      </c>
      <c r="AG15">
        <v>735</v>
      </c>
      <c r="AH15">
        <v>2</v>
      </c>
      <c r="AI15">
        <v>15805615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ROW(Source!A31)</f>
        <v>31</v>
      </c>
      <c r="B16">
        <v>15805622</v>
      </c>
      <c r="C16">
        <v>15805611</v>
      </c>
      <c r="D16">
        <v>14438142</v>
      </c>
      <c r="E16">
        <v>1</v>
      </c>
      <c r="F16">
        <v>1</v>
      </c>
      <c r="G16">
        <v>27</v>
      </c>
      <c r="H16">
        <v>3</v>
      </c>
      <c r="I16" t="s">
        <v>185</v>
      </c>
      <c r="J16" t="s">
        <v>186</v>
      </c>
      <c r="K16" t="s">
        <v>187</v>
      </c>
      <c r="L16">
        <v>1346</v>
      </c>
      <c r="N16">
        <v>1009</v>
      </c>
      <c r="O16" t="s">
        <v>40</v>
      </c>
      <c r="P16" t="s">
        <v>40</v>
      </c>
      <c r="Q16">
        <v>1</v>
      </c>
      <c r="X16">
        <v>42</v>
      </c>
      <c r="Y16">
        <v>202.34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36</v>
      </c>
      <c r="AG16">
        <v>210</v>
      </c>
      <c r="AH16">
        <v>2</v>
      </c>
      <c r="AI16">
        <v>15805616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ROW(Source!A31)</f>
        <v>31</v>
      </c>
      <c r="B17">
        <v>15805623</v>
      </c>
      <c r="C17">
        <v>15805611</v>
      </c>
      <c r="D17">
        <v>14436109</v>
      </c>
      <c r="E17">
        <v>1</v>
      </c>
      <c r="F17">
        <v>1</v>
      </c>
      <c r="G17">
        <v>27</v>
      </c>
      <c r="H17">
        <v>3</v>
      </c>
      <c r="I17" t="s">
        <v>28</v>
      </c>
      <c r="J17" t="s">
        <v>31</v>
      </c>
      <c r="K17" t="s">
        <v>29</v>
      </c>
      <c r="L17">
        <v>1348</v>
      </c>
      <c r="N17">
        <v>1009</v>
      </c>
      <c r="O17" t="s">
        <v>30</v>
      </c>
      <c r="P17" t="s">
        <v>30</v>
      </c>
      <c r="Q17">
        <v>1000</v>
      </c>
      <c r="X17">
        <v>1.0500000000000001E-2</v>
      </c>
      <c r="Y17">
        <v>748299.67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36</v>
      </c>
      <c r="AG17">
        <v>5.2500000000000005E-2</v>
      </c>
      <c r="AH17">
        <v>2</v>
      </c>
      <c r="AI17">
        <v>15805617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ROW(Source!A34)</f>
        <v>34</v>
      </c>
      <c r="B18">
        <v>15805626</v>
      </c>
      <c r="C18">
        <v>15805624</v>
      </c>
      <c r="D18">
        <v>14434710</v>
      </c>
      <c r="E18">
        <v>1</v>
      </c>
      <c r="F18">
        <v>1</v>
      </c>
      <c r="G18">
        <v>27</v>
      </c>
      <c r="H18">
        <v>2</v>
      </c>
      <c r="I18" t="s">
        <v>188</v>
      </c>
      <c r="J18" t="s">
        <v>189</v>
      </c>
      <c r="K18" t="s">
        <v>190</v>
      </c>
      <c r="L18">
        <v>1368</v>
      </c>
      <c r="N18">
        <v>1011</v>
      </c>
      <c r="O18" t="s">
        <v>168</v>
      </c>
      <c r="P18" t="s">
        <v>168</v>
      </c>
      <c r="Q18">
        <v>1</v>
      </c>
      <c r="X18">
        <v>5.3699999999999998E-2</v>
      </c>
      <c r="Y18">
        <v>0</v>
      </c>
      <c r="Z18">
        <v>1494.43</v>
      </c>
      <c r="AA18">
        <v>481.21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5.3699999999999998E-2</v>
      </c>
      <c r="AH18">
        <v>2</v>
      </c>
      <c r="AI18">
        <v>15805625</v>
      </c>
      <c r="AJ18">
        <v>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ROW(Source!A35)</f>
        <v>35</v>
      </c>
      <c r="B19">
        <v>15805629</v>
      </c>
      <c r="C19">
        <v>15805627</v>
      </c>
      <c r="D19">
        <v>14422539</v>
      </c>
      <c r="E19">
        <v>27</v>
      </c>
      <c r="F19">
        <v>1</v>
      </c>
      <c r="G19">
        <v>27</v>
      </c>
      <c r="H19">
        <v>1</v>
      </c>
      <c r="I19" t="s">
        <v>162</v>
      </c>
      <c r="J19" t="s">
        <v>3</v>
      </c>
      <c r="K19" t="s">
        <v>163</v>
      </c>
      <c r="L19">
        <v>1191</v>
      </c>
      <c r="N19">
        <v>1013</v>
      </c>
      <c r="O19" t="s">
        <v>164</v>
      </c>
      <c r="P19" t="s">
        <v>164</v>
      </c>
      <c r="Q19">
        <v>1</v>
      </c>
      <c r="X19">
        <v>1.02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3</v>
      </c>
      <c r="AG19">
        <v>1.02</v>
      </c>
      <c r="AH19">
        <v>2</v>
      </c>
      <c r="AI19">
        <v>15805628</v>
      </c>
      <c r="AJ19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ROW(Source!A36)</f>
        <v>36</v>
      </c>
      <c r="B20">
        <v>15805633</v>
      </c>
      <c r="C20">
        <v>15805630</v>
      </c>
      <c r="D20">
        <v>14435508</v>
      </c>
      <c r="E20">
        <v>1</v>
      </c>
      <c r="F20">
        <v>1</v>
      </c>
      <c r="G20">
        <v>27</v>
      </c>
      <c r="H20">
        <v>2</v>
      </c>
      <c r="I20" t="s">
        <v>191</v>
      </c>
      <c r="J20" t="s">
        <v>192</v>
      </c>
      <c r="K20" t="s">
        <v>193</v>
      </c>
      <c r="L20">
        <v>1368</v>
      </c>
      <c r="N20">
        <v>1011</v>
      </c>
      <c r="O20" t="s">
        <v>168</v>
      </c>
      <c r="P20" t="s">
        <v>168</v>
      </c>
      <c r="Q20">
        <v>1</v>
      </c>
      <c r="X20">
        <v>5.3999999999999999E-2</v>
      </c>
      <c r="Y20">
        <v>0</v>
      </c>
      <c r="Z20">
        <v>1009.4</v>
      </c>
      <c r="AA20">
        <v>316.82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5.3999999999999999E-2</v>
      </c>
      <c r="AH20">
        <v>2</v>
      </c>
      <c r="AI20">
        <v>15805631</v>
      </c>
      <c r="AJ20">
        <v>21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ROW(Source!A36)</f>
        <v>36</v>
      </c>
      <c r="B21">
        <v>15805634</v>
      </c>
      <c r="C21">
        <v>15805630</v>
      </c>
      <c r="D21">
        <v>14435509</v>
      </c>
      <c r="E21">
        <v>1</v>
      </c>
      <c r="F21">
        <v>1</v>
      </c>
      <c r="G21">
        <v>27</v>
      </c>
      <c r="H21">
        <v>2</v>
      </c>
      <c r="I21" t="s">
        <v>194</v>
      </c>
      <c r="J21" t="s">
        <v>195</v>
      </c>
      <c r="K21" t="s">
        <v>196</v>
      </c>
      <c r="L21">
        <v>1368</v>
      </c>
      <c r="N21">
        <v>1011</v>
      </c>
      <c r="O21" t="s">
        <v>168</v>
      </c>
      <c r="P21" t="s">
        <v>168</v>
      </c>
      <c r="Q21">
        <v>1</v>
      </c>
      <c r="X21">
        <v>5.5E-2</v>
      </c>
      <c r="Y21">
        <v>0</v>
      </c>
      <c r="Z21">
        <v>1014.12</v>
      </c>
      <c r="AA21">
        <v>317.13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5.5E-2</v>
      </c>
      <c r="AH21">
        <v>2</v>
      </c>
      <c r="AI21">
        <v>15805632</v>
      </c>
      <c r="AJ21">
        <v>22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ROW(Source!A37)</f>
        <v>37</v>
      </c>
      <c r="B22">
        <v>15805638</v>
      </c>
      <c r="C22">
        <v>15805635</v>
      </c>
      <c r="D22">
        <v>14435508</v>
      </c>
      <c r="E22">
        <v>1</v>
      </c>
      <c r="F22">
        <v>1</v>
      </c>
      <c r="G22">
        <v>27</v>
      </c>
      <c r="H22">
        <v>2</v>
      </c>
      <c r="I22" t="s">
        <v>191</v>
      </c>
      <c r="J22" t="s">
        <v>192</v>
      </c>
      <c r="K22" t="s">
        <v>193</v>
      </c>
      <c r="L22">
        <v>1368</v>
      </c>
      <c r="N22">
        <v>1011</v>
      </c>
      <c r="O22" t="s">
        <v>168</v>
      </c>
      <c r="P22" t="s">
        <v>168</v>
      </c>
      <c r="Q22">
        <v>1</v>
      </c>
      <c r="X22">
        <v>0.02</v>
      </c>
      <c r="Y22">
        <v>0</v>
      </c>
      <c r="Z22">
        <v>1009.4</v>
      </c>
      <c r="AA22">
        <v>316.82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0.02</v>
      </c>
      <c r="AH22">
        <v>2</v>
      </c>
      <c r="AI22">
        <v>15805636</v>
      </c>
      <c r="AJ22">
        <v>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ROW(Source!A37)</f>
        <v>37</v>
      </c>
      <c r="B23">
        <v>15805639</v>
      </c>
      <c r="C23">
        <v>15805635</v>
      </c>
      <c r="D23">
        <v>14435509</v>
      </c>
      <c r="E23">
        <v>1</v>
      </c>
      <c r="F23">
        <v>1</v>
      </c>
      <c r="G23">
        <v>27</v>
      </c>
      <c r="H23">
        <v>2</v>
      </c>
      <c r="I23" t="s">
        <v>194</v>
      </c>
      <c r="J23" t="s">
        <v>195</v>
      </c>
      <c r="K23" t="s">
        <v>196</v>
      </c>
      <c r="L23">
        <v>1368</v>
      </c>
      <c r="N23">
        <v>1011</v>
      </c>
      <c r="O23" t="s">
        <v>168</v>
      </c>
      <c r="P23" t="s">
        <v>168</v>
      </c>
      <c r="Q23">
        <v>1</v>
      </c>
      <c r="X23">
        <v>1.7999999999999999E-2</v>
      </c>
      <c r="Y23">
        <v>0</v>
      </c>
      <c r="Z23">
        <v>1014.12</v>
      </c>
      <c r="AA23">
        <v>317.13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1.7999999999999999E-2</v>
      </c>
      <c r="AH23">
        <v>2</v>
      </c>
      <c r="AI23">
        <v>15805637</v>
      </c>
      <c r="AJ23">
        <v>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ROW(Source!A38)</f>
        <v>38</v>
      </c>
      <c r="B24">
        <v>15805643</v>
      </c>
      <c r="C24">
        <v>15805640</v>
      </c>
      <c r="D24">
        <v>14435508</v>
      </c>
      <c r="E24">
        <v>1</v>
      </c>
      <c r="F24">
        <v>1</v>
      </c>
      <c r="G24">
        <v>27</v>
      </c>
      <c r="H24">
        <v>2</v>
      </c>
      <c r="I24" t="s">
        <v>191</v>
      </c>
      <c r="J24" t="s">
        <v>192</v>
      </c>
      <c r="K24" t="s">
        <v>193</v>
      </c>
      <c r="L24">
        <v>1368</v>
      </c>
      <c r="N24">
        <v>1011</v>
      </c>
      <c r="O24" t="s">
        <v>168</v>
      </c>
      <c r="P24" t="s">
        <v>168</v>
      </c>
      <c r="Q24">
        <v>1</v>
      </c>
      <c r="X24">
        <v>0.01</v>
      </c>
      <c r="Y24">
        <v>0</v>
      </c>
      <c r="Z24">
        <v>1009.4</v>
      </c>
      <c r="AA24">
        <v>316.82</v>
      </c>
      <c r="AB24">
        <v>0</v>
      </c>
      <c r="AC24">
        <v>0</v>
      </c>
      <c r="AD24">
        <v>1</v>
      </c>
      <c r="AE24">
        <v>0</v>
      </c>
      <c r="AF24" t="s">
        <v>67</v>
      </c>
      <c r="AG24">
        <v>0.49</v>
      </c>
      <c r="AH24">
        <v>2</v>
      </c>
      <c r="AI24">
        <v>15805641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ROW(Source!A38)</f>
        <v>38</v>
      </c>
      <c r="B25">
        <v>15805644</v>
      </c>
      <c r="C25">
        <v>15805640</v>
      </c>
      <c r="D25">
        <v>14435509</v>
      </c>
      <c r="E25">
        <v>1</v>
      </c>
      <c r="F25">
        <v>1</v>
      </c>
      <c r="G25">
        <v>27</v>
      </c>
      <c r="H25">
        <v>2</v>
      </c>
      <c r="I25" t="s">
        <v>194</v>
      </c>
      <c r="J25" t="s">
        <v>195</v>
      </c>
      <c r="K25" t="s">
        <v>196</v>
      </c>
      <c r="L25">
        <v>1368</v>
      </c>
      <c r="N25">
        <v>1011</v>
      </c>
      <c r="O25" t="s">
        <v>168</v>
      </c>
      <c r="P25" t="s">
        <v>168</v>
      </c>
      <c r="Q25">
        <v>1</v>
      </c>
      <c r="X25">
        <v>8.0000000000000002E-3</v>
      </c>
      <c r="Y25">
        <v>0</v>
      </c>
      <c r="Z25">
        <v>1014.12</v>
      </c>
      <c r="AA25">
        <v>317.13</v>
      </c>
      <c r="AB25">
        <v>0</v>
      </c>
      <c r="AC25">
        <v>0</v>
      </c>
      <c r="AD25">
        <v>1</v>
      </c>
      <c r="AE25">
        <v>0</v>
      </c>
      <c r="AF25" t="s">
        <v>67</v>
      </c>
      <c r="AG25">
        <v>0.39200000000000002</v>
      </c>
      <c r="AH25">
        <v>2</v>
      </c>
      <c r="AI25">
        <v>15805642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ROW(Source!A76)</f>
        <v>76</v>
      </c>
      <c r="B26">
        <v>15805682</v>
      </c>
      <c r="C26">
        <v>15805671</v>
      </c>
      <c r="D26">
        <v>14422539</v>
      </c>
      <c r="E26">
        <v>27</v>
      </c>
      <c r="F26">
        <v>1</v>
      </c>
      <c r="G26">
        <v>27</v>
      </c>
      <c r="H26">
        <v>1</v>
      </c>
      <c r="I26" t="s">
        <v>162</v>
      </c>
      <c r="J26" t="s">
        <v>3</v>
      </c>
      <c r="K26" t="s">
        <v>163</v>
      </c>
      <c r="L26">
        <v>1191</v>
      </c>
      <c r="N26">
        <v>1013</v>
      </c>
      <c r="O26" t="s">
        <v>164</v>
      </c>
      <c r="P26" t="s">
        <v>164</v>
      </c>
      <c r="Q26">
        <v>1</v>
      </c>
      <c r="X26">
        <v>18.440000000000001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18.440000000000001</v>
      </c>
      <c r="AH26">
        <v>2</v>
      </c>
      <c r="AI26">
        <v>15805672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ROW(Source!A76)</f>
        <v>76</v>
      </c>
      <c r="B27">
        <v>15805683</v>
      </c>
      <c r="C27">
        <v>15805671</v>
      </c>
      <c r="D27">
        <v>14435398</v>
      </c>
      <c r="E27">
        <v>1</v>
      </c>
      <c r="F27">
        <v>1</v>
      </c>
      <c r="G27">
        <v>27</v>
      </c>
      <c r="H27">
        <v>2</v>
      </c>
      <c r="I27" t="s">
        <v>165</v>
      </c>
      <c r="J27" t="s">
        <v>166</v>
      </c>
      <c r="K27" t="s">
        <v>167</v>
      </c>
      <c r="L27">
        <v>1368</v>
      </c>
      <c r="N27">
        <v>1011</v>
      </c>
      <c r="O27" t="s">
        <v>168</v>
      </c>
      <c r="P27" t="s">
        <v>168</v>
      </c>
      <c r="Q27">
        <v>1</v>
      </c>
      <c r="X27">
        <v>2.64</v>
      </c>
      <c r="Y27">
        <v>0</v>
      </c>
      <c r="Z27">
        <v>531.41</v>
      </c>
      <c r="AA27">
        <v>373.56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2.64</v>
      </c>
      <c r="AH27">
        <v>2</v>
      </c>
      <c r="AI27">
        <v>15805673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ROW(Source!A76)</f>
        <v>76</v>
      </c>
      <c r="B28">
        <v>15805684</v>
      </c>
      <c r="C28">
        <v>15805671</v>
      </c>
      <c r="D28">
        <v>14435621</v>
      </c>
      <c r="E28">
        <v>1</v>
      </c>
      <c r="F28">
        <v>1</v>
      </c>
      <c r="G28">
        <v>27</v>
      </c>
      <c r="H28">
        <v>2</v>
      </c>
      <c r="I28" t="s">
        <v>169</v>
      </c>
      <c r="J28" t="s">
        <v>170</v>
      </c>
      <c r="K28" t="s">
        <v>171</v>
      </c>
      <c r="L28">
        <v>1368</v>
      </c>
      <c r="N28">
        <v>1011</v>
      </c>
      <c r="O28" t="s">
        <v>168</v>
      </c>
      <c r="P28" t="s">
        <v>168</v>
      </c>
      <c r="Q28">
        <v>1</v>
      </c>
      <c r="X28">
        <v>1.18</v>
      </c>
      <c r="Y28">
        <v>0</v>
      </c>
      <c r="Z28">
        <v>7.44</v>
      </c>
      <c r="AA28">
        <v>0.98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1.18</v>
      </c>
      <c r="AH28">
        <v>2</v>
      </c>
      <c r="AI28">
        <v>15805674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ROW(Source!A76)</f>
        <v>76</v>
      </c>
      <c r="B29">
        <v>15805685</v>
      </c>
      <c r="C29">
        <v>15805671</v>
      </c>
      <c r="D29">
        <v>14434823</v>
      </c>
      <c r="E29">
        <v>1</v>
      </c>
      <c r="F29">
        <v>1</v>
      </c>
      <c r="G29">
        <v>27</v>
      </c>
      <c r="H29">
        <v>2</v>
      </c>
      <c r="I29" t="s">
        <v>172</v>
      </c>
      <c r="J29" t="s">
        <v>173</v>
      </c>
      <c r="K29" t="s">
        <v>174</v>
      </c>
      <c r="L29">
        <v>1368</v>
      </c>
      <c r="N29">
        <v>1011</v>
      </c>
      <c r="O29" t="s">
        <v>168</v>
      </c>
      <c r="P29" t="s">
        <v>168</v>
      </c>
      <c r="Q29">
        <v>1</v>
      </c>
      <c r="X29">
        <v>0.01</v>
      </c>
      <c r="Y29">
        <v>0</v>
      </c>
      <c r="Z29">
        <v>616.73</v>
      </c>
      <c r="AA29">
        <v>511.29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0.01</v>
      </c>
      <c r="AH29">
        <v>2</v>
      </c>
      <c r="AI29">
        <v>15805675</v>
      </c>
      <c r="AJ29">
        <v>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ROW(Source!A76)</f>
        <v>76</v>
      </c>
      <c r="B30">
        <v>15805686</v>
      </c>
      <c r="C30">
        <v>15805671</v>
      </c>
      <c r="D30">
        <v>14435007</v>
      </c>
      <c r="E30">
        <v>1</v>
      </c>
      <c r="F30">
        <v>1</v>
      </c>
      <c r="G30">
        <v>27</v>
      </c>
      <c r="H30">
        <v>2</v>
      </c>
      <c r="I30" t="s">
        <v>175</v>
      </c>
      <c r="J30" t="s">
        <v>176</v>
      </c>
      <c r="K30" t="s">
        <v>177</v>
      </c>
      <c r="L30">
        <v>1368</v>
      </c>
      <c r="N30">
        <v>1011</v>
      </c>
      <c r="O30" t="s">
        <v>168</v>
      </c>
      <c r="P30" t="s">
        <v>168</v>
      </c>
      <c r="Q30">
        <v>1</v>
      </c>
      <c r="X30">
        <v>2.64</v>
      </c>
      <c r="Y30">
        <v>0</v>
      </c>
      <c r="Z30">
        <v>454.31</v>
      </c>
      <c r="AA30">
        <v>405.68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2.64</v>
      </c>
      <c r="AH30">
        <v>2</v>
      </c>
      <c r="AI30">
        <v>15805676</v>
      </c>
      <c r="AJ30">
        <v>31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ROW(Source!A76)</f>
        <v>76</v>
      </c>
      <c r="B31">
        <v>15805687</v>
      </c>
      <c r="C31">
        <v>15805671</v>
      </c>
      <c r="D31">
        <v>14437831</v>
      </c>
      <c r="E31">
        <v>1</v>
      </c>
      <c r="F31">
        <v>1</v>
      </c>
      <c r="G31">
        <v>27</v>
      </c>
      <c r="H31">
        <v>3</v>
      </c>
      <c r="I31" t="s">
        <v>178</v>
      </c>
      <c r="J31" t="s">
        <v>179</v>
      </c>
      <c r="K31" t="s">
        <v>180</v>
      </c>
      <c r="L31">
        <v>1327</v>
      </c>
      <c r="N31">
        <v>1005</v>
      </c>
      <c r="O31" t="s">
        <v>181</v>
      </c>
      <c r="P31" t="s">
        <v>181</v>
      </c>
      <c r="Q31">
        <v>1</v>
      </c>
      <c r="X31">
        <v>5.6</v>
      </c>
      <c r="Y31">
        <v>12.02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5.6</v>
      </c>
      <c r="AH31">
        <v>2</v>
      </c>
      <c r="AI31">
        <v>15805677</v>
      </c>
      <c r="AJ31">
        <v>32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ROW(Source!A76)</f>
        <v>76</v>
      </c>
      <c r="B32">
        <v>15805688</v>
      </c>
      <c r="C32">
        <v>15805671</v>
      </c>
      <c r="D32">
        <v>14437918</v>
      </c>
      <c r="E32">
        <v>1</v>
      </c>
      <c r="F32">
        <v>1</v>
      </c>
      <c r="G32">
        <v>27</v>
      </c>
      <c r="H32">
        <v>3</v>
      </c>
      <c r="I32" t="s">
        <v>182</v>
      </c>
      <c r="J32" t="s">
        <v>183</v>
      </c>
      <c r="K32" t="s">
        <v>184</v>
      </c>
      <c r="L32">
        <v>1348</v>
      </c>
      <c r="N32">
        <v>1009</v>
      </c>
      <c r="O32" t="s">
        <v>30</v>
      </c>
      <c r="P32" t="s">
        <v>30</v>
      </c>
      <c r="Q32">
        <v>1000</v>
      </c>
      <c r="X32">
        <v>3.15E-3</v>
      </c>
      <c r="Y32">
        <v>343020.03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3.15E-3</v>
      </c>
      <c r="AH32">
        <v>2</v>
      </c>
      <c r="AI32">
        <v>15805678</v>
      </c>
      <c r="AJ32">
        <v>33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ROW(Source!A76)</f>
        <v>76</v>
      </c>
      <c r="B33">
        <v>15805689</v>
      </c>
      <c r="C33">
        <v>15805671</v>
      </c>
      <c r="D33">
        <v>14438135</v>
      </c>
      <c r="E33">
        <v>1</v>
      </c>
      <c r="F33">
        <v>1</v>
      </c>
      <c r="G33">
        <v>27</v>
      </c>
      <c r="H33">
        <v>3</v>
      </c>
      <c r="I33" t="s">
        <v>38</v>
      </c>
      <c r="J33" t="s">
        <v>41</v>
      </c>
      <c r="K33" t="s">
        <v>39</v>
      </c>
      <c r="L33">
        <v>1346</v>
      </c>
      <c r="N33">
        <v>1009</v>
      </c>
      <c r="O33" t="s">
        <v>40</v>
      </c>
      <c r="P33" t="s">
        <v>40</v>
      </c>
      <c r="Q33">
        <v>1</v>
      </c>
      <c r="X33">
        <v>735</v>
      </c>
      <c r="Y33">
        <v>17.77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735</v>
      </c>
      <c r="AH33">
        <v>2</v>
      </c>
      <c r="AI33">
        <v>15805679</v>
      </c>
      <c r="AJ33">
        <v>34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ROW(Source!A76)</f>
        <v>76</v>
      </c>
      <c r="B34">
        <v>15805690</v>
      </c>
      <c r="C34">
        <v>15805671</v>
      </c>
      <c r="D34">
        <v>14438142</v>
      </c>
      <c r="E34">
        <v>1</v>
      </c>
      <c r="F34">
        <v>1</v>
      </c>
      <c r="G34">
        <v>27</v>
      </c>
      <c r="H34">
        <v>3</v>
      </c>
      <c r="I34" t="s">
        <v>185</v>
      </c>
      <c r="J34" t="s">
        <v>186</v>
      </c>
      <c r="K34" t="s">
        <v>187</v>
      </c>
      <c r="L34">
        <v>1346</v>
      </c>
      <c r="N34">
        <v>1009</v>
      </c>
      <c r="O34" t="s">
        <v>40</v>
      </c>
      <c r="P34" t="s">
        <v>40</v>
      </c>
      <c r="Q34">
        <v>1</v>
      </c>
      <c r="X34">
        <v>241.5</v>
      </c>
      <c r="Y34">
        <v>202.34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241.5</v>
      </c>
      <c r="AH34">
        <v>2</v>
      </c>
      <c r="AI34">
        <v>15805680</v>
      </c>
      <c r="AJ34">
        <v>35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ROW(Source!A76)</f>
        <v>76</v>
      </c>
      <c r="B35">
        <v>15805691</v>
      </c>
      <c r="C35">
        <v>15805671</v>
      </c>
      <c r="D35">
        <v>14436109</v>
      </c>
      <c r="E35">
        <v>1</v>
      </c>
      <c r="F35">
        <v>1</v>
      </c>
      <c r="G35">
        <v>27</v>
      </c>
      <c r="H35">
        <v>3</v>
      </c>
      <c r="I35" t="s">
        <v>28</v>
      </c>
      <c r="J35" t="s">
        <v>31</v>
      </c>
      <c r="K35" t="s">
        <v>29</v>
      </c>
      <c r="L35">
        <v>1348</v>
      </c>
      <c r="N35">
        <v>1009</v>
      </c>
      <c r="O35" t="s">
        <v>30</v>
      </c>
      <c r="P35" t="s">
        <v>30</v>
      </c>
      <c r="Q35">
        <v>1000</v>
      </c>
      <c r="X35">
        <v>5.2499999999999998E-2</v>
      </c>
      <c r="Y35">
        <v>748299.67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5.2499999999999998E-2</v>
      </c>
      <c r="AH35">
        <v>2</v>
      </c>
      <c r="AI35">
        <v>15805681</v>
      </c>
      <c r="AJ35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ROW(Source!A78)</f>
        <v>78</v>
      </c>
      <c r="B36">
        <v>15805700</v>
      </c>
      <c r="C36">
        <v>15805693</v>
      </c>
      <c r="D36">
        <v>14422539</v>
      </c>
      <c r="E36">
        <v>27</v>
      </c>
      <c r="F36">
        <v>1</v>
      </c>
      <c r="G36">
        <v>27</v>
      </c>
      <c r="H36">
        <v>1</v>
      </c>
      <c r="I36" t="s">
        <v>162</v>
      </c>
      <c r="J36" t="s">
        <v>3</v>
      </c>
      <c r="K36" t="s">
        <v>163</v>
      </c>
      <c r="L36">
        <v>1191</v>
      </c>
      <c r="N36">
        <v>1013</v>
      </c>
      <c r="O36" t="s">
        <v>164</v>
      </c>
      <c r="P36" t="s">
        <v>164</v>
      </c>
      <c r="Q36">
        <v>1</v>
      </c>
      <c r="X36">
        <v>2.65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36</v>
      </c>
      <c r="AG36">
        <v>13.25</v>
      </c>
      <c r="AH36">
        <v>2</v>
      </c>
      <c r="AI36">
        <v>15805694</v>
      </c>
      <c r="AJ36">
        <v>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ROW(Source!A78)</f>
        <v>78</v>
      </c>
      <c r="B37">
        <v>15805701</v>
      </c>
      <c r="C37">
        <v>15805693</v>
      </c>
      <c r="D37">
        <v>14435398</v>
      </c>
      <c r="E37">
        <v>1</v>
      </c>
      <c r="F37">
        <v>1</v>
      </c>
      <c r="G37">
        <v>27</v>
      </c>
      <c r="H37">
        <v>2</v>
      </c>
      <c r="I37" t="s">
        <v>165</v>
      </c>
      <c r="J37" t="s">
        <v>166</v>
      </c>
      <c r="K37" t="s">
        <v>167</v>
      </c>
      <c r="L37">
        <v>1368</v>
      </c>
      <c r="N37">
        <v>1011</v>
      </c>
      <c r="O37" t="s">
        <v>168</v>
      </c>
      <c r="P37" t="s">
        <v>168</v>
      </c>
      <c r="Q37">
        <v>1</v>
      </c>
      <c r="X37">
        <v>0.5</v>
      </c>
      <c r="Y37">
        <v>0</v>
      </c>
      <c r="Z37">
        <v>531.41</v>
      </c>
      <c r="AA37">
        <v>373.56</v>
      </c>
      <c r="AB37">
        <v>0</v>
      </c>
      <c r="AC37">
        <v>0</v>
      </c>
      <c r="AD37">
        <v>1</v>
      </c>
      <c r="AE37">
        <v>0</v>
      </c>
      <c r="AF37" t="s">
        <v>36</v>
      </c>
      <c r="AG37">
        <v>2.5</v>
      </c>
      <c r="AH37">
        <v>2</v>
      </c>
      <c r="AI37">
        <v>15805695</v>
      </c>
      <c r="AJ37">
        <v>38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ROW(Source!A78)</f>
        <v>78</v>
      </c>
      <c r="B38">
        <v>15805702</v>
      </c>
      <c r="C38">
        <v>15805693</v>
      </c>
      <c r="D38">
        <v>14435007</v>
      </c>
      <c r="E38">
        <v>1</v>
      </c>
      <c r="F38">
        <v>1</v>
      </c>
      <c r="G38">
        <v>27</v>
      </c>
      <c r="H38">
        <v>2</v>
      </c>
      <c r="I38" t="s">
        <v>175</v>
      </c>
      <c r="J38" t="s">
        <v>176</v>
      </c>
      <c r="K38" t="s">
        <v>177</v>
      </c>
      <c r="L38">
        <v>1368</v>
      </c>
      <c r="N38">
        <v>1011</v>
      </c>
      <c r="O38" t="s">
        <v>168</v>
      </c>
      <c r="P38" t="s">
        <v>168</v>
      </c>
      <c r="Q38">
        <v>1</v>
      </c>
      <c r="X38">
        <v>0.5</v>
      </c>
      <c r="Y38">
        <v>0</v>
      </c>
      <c r="Z38">
        <v>454.31</v>
      </c>
      <c r="AA38">
        <v>405.68</v>
      </c>
      <c r="AB38">
        <v>0</v>
      </c>
      <c r="AC38">
        <v>0</v>
      </c>
      <c r="AD38">
        <v>1</v>
      </c>
      <c r="AE38">
        <v>0</v>
      </c>
      <c r="AF38" t="s">
        <v>36</v>
      </c>
      <c r="AG38">
        <v>2.5</v>
      </c>
      <c r="AH38">
        <v>2</v>
      </c>
      <c r="AI38">
        <v>15805696</v>
      </c>
      <c r="AJ38">
        <v>39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ROW(Source!A78)</f>
        <v>78</v>
      </c>
      <c r="B39">
        <v>15805703</v>
      </c>
      <c r="C39">
        <v>15805693</v>
      </c>
      <c r="D39">
        <v>14438135</v>
      </c>
      <c r="E39">
        <v>1</v>
      </c>
      <c r="F39">
        <v>1</v>
      </c>
      <c r="G39">
        <v>27</v>
      </c>
      <c r="H39">
        <v>3</v>
      </c>
      <c r="I39" t="s">
        <v>38</v>
      </c>
      <c r="J39" t="s">
        <v>41</v>
      </c>
      <c r="K39" t="s">
        <v>39</v>
      </c>
      <c r="L39">
        <v>1346</v>
      </c>
      <c r="N39">
        <v>1009</v>
      </c>
      <c r="O39" t="s">
        <v>40</v>
      </c>
      <c r="P39" t="s">
        <v>40</v>
      </c>
      <c r="Q39">
        <v>1</v>
      </c>
      <c r="X39">
        <v>147</v>
      </c>
      <c r="Y39">
        <v>17.77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36</v>
      </c>
      <c r="AG39">
        <v>735</v>
      </c>
      <c r="AH39">
        <v>2</v>
      </c>
      <c r="AI39">
        <v>15805697</v>
      </c>
      <c r="AJ39">
        <v>40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ROW(Source!A78)</f>
        <v>78</v>
      </c>
      <c r="B40">
        <v>15805704</v>
      </c>
      <c r="C40">
        <v>15805693</v>
      </c>
      <c r="D40">
        <v>14438142</v>
      </c>
      <c r="E40">
        <v>1</v>
      </c>
      <c r="F40">
        <v>1</v>
      </c>
      <c r="G40">
        <v>27</v>
      </c>
      <c r="H40">
        <v>3</v>
      </c>
      <c r="I40" t="s">
        <v>185</v>
      </c>
      <c r="J40" t="s">
        <v>186</v>
      </c>
      <c r="K40" t="s">
        <v>187</v>
      </c>
      <c r="L40">
        <v>1346</v>
      </c>
      <c r="N40">
        <v>1009</v>
      </c>
      <c r="O40" t="s">
        <v>40</v>
      </c>
      <c r="P40" t="s">
        <v>40</v>
      </c>
      <c r="Q40">
        <v>1</v>
      </c>
      <c r="X40">
        <v>42</v>
      </c>
      <c r="Y40">
        <v>202.34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36</v>
      </c>
      <c r="AG40">
        <v>210</v>
      </c>
      <c r="AH40">
        <v>2</v>
      </c>
      <c r="AI40">
        <v>15805698</v>
      </c>
      <c r="AJ40">
        <v>42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ROW(Source!A78)</f>
        <v>78</v>
      </c>
      <c r="B41">
        <v>15805705</v>
      </c>
      <c r="C41">
        <v>15805693</v>
      </c>
      <c r="D41">
        <v>14436109</v>
      </c>
      <c r="E41">
        <v>1</v>
      </c>
      <c r="F41">
        <v>1</v>
      </c>
      <c r="G41">
        <v>27</v>
      </c>
      <c r="H41">
        <v>3</v>
      </c>
      <c r="I41" t="s">
        <v>28</v>
      </c>
      <c r="J41" t="s">
        <v>31</v>
      </c>
      <c r="K41" t="s">
        <v>29</v>
      </c>
      <c r="L41">
        <v>1348</v>
      </c>
      <c r="N41">
        <v>1009</v>
      </c>
      <c r="O41" t="s">
        <v>30</v>
      </c>
      <c r="P41" t="s">
        <v>30</v>
      </c>
      <c r="Q41">
        <v>1000</v>
      </c>
      <c r="X41">
        <v>1.0500000000000001E-2</v>
      </c>
      <c r="Y41">
        <v>748299.67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36</v>
      </c>
      <c r="AG41">
        <v>5.2500000000000005E-2</v>
      </c>
      <c r="AH41">
        <v>2</v>
      </c>
      <c r="AI41">
        <v>15805699</v>
      </c>
      <c r="AJ41">
        <v>43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ROW(Source!A122)</f>
        <v>122</v>
      </c>
      <c r="B42">
        <v>15805714</v>
      </c>
      <c r="C42">
        <v>15805711</v>
      </c>
      <c r="D42">
        <v>14422539</v>
      </c>
      <c r="E42">
        <v>27</v>
      </c>
      <c r="F42">
        <v>1</v>
      </c>
      <c r="G42">
        <v>27</v>
      </c>
      <c r="H42">
        <v>1</v>
      </c>
      <c r="I42" t="s">
        <v>162</v>
      </c>
      <c r="J42" t="s">
        <v>3</v>
      </c>
      <c r="K42" t="s">
        <v>163</v>
      </c>
      <c r="L42">
        <v>1191</v>
      </c>
      <c r="N42">
        <v>1013</v>
      </c>
      <c r="O42" t="s">
        <v>164</v>
      </c>
      <c r="P42" t="s">
        <v>164</v>
      </c>
      <c r="Q42">
        <v>1</v>
      </c>
      <c r="X42">
        <v>9.11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 t="s">
        <v>3</v>
      </c>
      <c r="AG42">
        <v>9.11</v>
      </c>
      <c r="AH42">
        <v>2</v>
      </c>
      <c r="AI42">
        <v>15805712</v>
      </c>
      <c r="AJ42">
        <v>44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ROW(Source!A122)</f>
        <v>122</v>
      </c>
      <c r="B43">
        <v>15805715</v>
      </c>
      <c r="C43">
        <v>15805711</v>
      </c>
      <c r="D43">
        <v>14435425</v>
      </c>
      <c r="E43">
        <v>1</v>
      </c>
      <c r="F43">
        <v>1</v>
      </c>
      <c r="G43">
        <v>27</v>
      </c>
      <c r="H43">
        <v>2</v>
      </c>
      <c r="I43" t="s">
        <v>197</v>
      </c>
      <c r="J43" t="s">
        <v>198</v>
      </c>
      <c r="K43" t="s">
        <v>199</v>
      </c>
      <c r="L43">
        <v>1368</v>
      </c>
      <c r="N43">
        <v>1011</v>
      </c>
      <c r="O43" t="s">
        <v>168</v>
      </c>
      <c r="P43" t="s">
        <v>168</v>
      </c>
      <c r="Q43">
        <v>1</v>
      </c>
      <c r="X43">
        <v>0.52</v>
      </c>
      <c r="Y43">
        <v>0</v>
      </c>
      <c r="Z43">
        <v>12.28</v>
      </c>
      <c r="AA43">
        <v>0.04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0.52</v>
      </c>
      <c r="AH43">
        <v>2</v>
      </c>
      <c r="AI43">
        <v>15805713</v>
      </c>
      <c r="AJ43">
        <v>45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ROW(Source!A123)</f>
        <v>123</v>
      </c>
      <c r="B44">
        <v>15820390</v>
      </c>
      <c r="C44">
        <v>15820389</v>
      </c>
      <c r="D44">
        <v>14422539</v>
      </c>
      <c r="E44">
        <v>27</v>
      </c>
      <c r="F44">
        <v>1</v>
      </c>
      <c r="G44">
        <v>27</v>
      </c>
      <c r="H44">
        <v>1</v>
      </c>
      <c r="I44" t="s">
        <v>162</v>
      </c>
      <c r="J44" t="s">
        <v>3</v>
      </c>
      <c r="K44" t="s">
        <v>163</v>
      </c>
      <c r="L44">
        <v>1191</v>
      </c>
      <c r="N44">
        <v>1013</v>
      </c>
      <c r="O44" t="s">
        <v>164</v>
      </c>
      <c r="P44" t="s">
        <v>164</v>
      </c>
      <c r="Q44">
        <v>1</v>
      </c>
      <c r="X44">
        <v>114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3</v>
      </c>
      <c r="AG44">
        <v>114</v>
      </c>
      <c r="AH44">
        <v>2</v>
      </c>
      <c r="AI44">
        <v>15820390</v>
      </c>
      <c r="AJ44">
        <v>46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ROW(Source!A123)</f>
        <v>123</v>
      </c>
      <c r="B45">
        <v>15820391</v>
      </c>
      <c r="C45">
        <v>15820389</v>
      </c>
      <c r="D45">
        <v>14435065</v>
      </c>
      <c r="E45">
        <v>1</v>
      </c>
      <c r="F45">
        <v>1</v>
      </c>
      <c r="G45">
        <v>27</v>
      </c>
      <c r="H45">
        <v>2</v>
      </c>
      <c r="I45" t="s">
        <v>200</v>
      </c>
      <c r="J45" t="s">
        <v>201</v>
      </c>
      <c r="K45" t="s">
        <v>202</v>
      </c>
      <c r="L45">
        <v>1368</v>
      </c>
      <c r="N45">
        <v>1011</v>
      </c>
      <c r="O45" t="s">
        <v>168</v>
      </c>
      <c r="P45" t="s">
        <v>168</v>
      </c>
      <c r="Q45">
        <v>1</v>
      </c>
      <c r="X45">
        <v>0.24</v>
      </c>
      <c r="Y45">
        <v>0</v>
      </c>
      <c r="Z45">
        <v>470.71</v>
      </c>
      <c r="AA45">
        <v>359.8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0.24</v>
      </c>
      <c r="AH45">
        <v>2</v>
      </c>
      <c r="AI45">
        <v>15820391</v>
      </c>
      <c r="AJ45">
        <v>47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ROW(Source!A123)</f>
        <v>123</v>
      </c>
      <c r="B46">
        <v>15820392</v>
      </c>
      <c r="C46">
        <v>15820389</v>
      </c>
      <c r="D46">
        <v>14435533</v>
      </c>
      <c r="E46">
        <v>1</v>
      </c>
      <c r="F46">
        <v>1</v>
      </c>
      <c r="G46">
        <v>27</v>
      </c>
      <c r="H46">
        <v>2</v>
      </c>
      <c r="I46" t="s">
        <v>203</v>
      </c>
      <c r="J46" t="s">
        <v>204</v>
      </c>
      <c r="K46" t="s">
        <v>205</v>
      </c>
      <c r="L46">
        <v>1368</v>
      </c>
      <c r="N46">
        <v>1011</v>
      </c>
      <c r="O46" t="s">
        <v>168</v>
      </c>
      <c r="P46" t="s">
        <v>168</v>
      </c>
      <c r="Q46">
        <v>1</v>
      </c>
      <c r="X46">
        <v>0.16</v>
      </c>
      <c r="Y46">
        <v>0</v>
      </c>
      <c r="Z46">
        <v>3.75</v>
      </c>
      <c r="AA46">
        <v>2.56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0.16</v>
      </c>
      <c r="AH46">
        <v>2</v>
      </c>
      <c r="AI46">
        <v>15820392</v>
      </c>
      <c r="AJ46">
        <v>48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ROW(Source!A123)</f>
        <v>123</v>
      </c>
      <c r="B47">
        <v>15820393</v>
      </c>
      <c r="C47">
        <v>15820389</v>
      </c>
      <c r="D47">
        <v>14435581</v>
      </c>
      <c r="E47">
        <v>1</v>
      </c>
      <c r="F47">
        <v>1</v>
      </c>
      <c r="G47">
        <v>27</v>
      </c>
      <c r="H47">
        <v>2</v>
      </c>
      <c r="I47" t="s">
        <v>206</v>
      </c>
      <c r="J47" t="s">
        <v>207</v>
      </c>
      <c r="K47" t="s">
        <v>208</v>
      </c>
      <c r="L47">
        <v>1368</v>
      </c>
      <c r="N47">
        <v>1011</v>
      </c>
      <c r="O47" t="s">
        <v>168</v>
      </c>
      <c r="P47" t="s">
        <v>168</v>
      </c>
      <c r="Q47">
        <v>1</v>
      </c>
      <c r="X47">
        <v>0.08</v>
      </c>
      <c r="Y47">
        <v>0</v>
      </c>
      <c r="Z47">
        <v>6.02</v>
      </c>
      <c r="AA47">
        <v>0.02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0.08</v>
      </c>
      <c r="AH47">
        <v>2</v>
      </c>
      <c r="AI47">
        <v>15820393</v>
      </c>
      <c r="AJ47">
        <v>49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ROW(Source!A123)</f>
        <v>123</v>
      </c>
      <c r="B48">
        <v>15820394</v>
      </c>
      <c r="C48">
        <v>15820389</v>
      </c>
      <c r="D48">
        <v>14436865</v>
      </c>
      <c r="E48">
        <v>1</v>
      </c>
      <c r="F48">
        <v>1</v>
      </c>
      <c r="G48">
        <v>27</v>
      </c>
      <c r="H48">
        <v>3</v>
      </c>
      <c r="I48" t="s">
        <v>209</v>
      </c>
      <c r="J48" t="s">
        <v>210</v>
      </c>
      <c r="K48" t="s">
        <v>211</v>
      </c>
      <c r="L48">
        <v>1339</v>
      </c>
      <c r="N48">
        <v>1007</v>
      </c>
      <c r="O48" t="s">
        <v>212</v>
      </c>
      <c r="P48" t="s">
        <v>212</v>
      </c>
      <c r="Q48">
        <v>1</v>
      </c>
      <c r="X48">
        <v>0.5</v>
      </c>
      <c r="Y48">
        <v>590.78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0.5</v>
      </c>
      <c r="AH48">
        <v>2</v>
      </c>
      <c r="AI48">
        <v>15820394</v>
      </c>
      <c r="AJ48">
        <v>50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ROW(Source!A123)</f>
        <v>123</v>
      </c>
      <c r="B49">
        <v>15820395</v>
      </c>
      <c r="C49">
        <v>15820389</v>
      </c>
      <c r="D49">
        <v>14436890</v>
      </c>
      <c r="E49">
        <v>1</v>
      </c>
      <c r="F49">
        <v>1</v>
      </c>
      <c r="G49">
        <v>27</v>
      </c>
      <c r="H49">
        <v>3</v>
      </c>
      <c r="I49" t="s">
        <v>213</v>
      </c>
      <c r="J49" t="s">
        <v>214</v>
      </c>
      <c r="K49" t="s">
        <v>215</v>
      </c>
      <c r="L49">
        <v>1339</v>
      </c>
      <c r="N49">
        <v>1007</v>
      </c>
      <c r="O49" t="s">
        <v>212</v>
      </c>
      <c r="P49" t="s">
        <v>212</v>
      </c>
      <c r="Q49">
        <v>1</v>
      </c>
      <c r="X49">
        <v>6.3</v>
      </c>
      <c r="Y49">
        <v>1763.75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6.3</v>
      </c>
      <c r="AH49">
        <v>2</v>
      </c>
      <c r="AI49">
        <v>15820395</v>
      </c>
      <c r="AJ49">
        <v>51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ROW(Source!A123)</f>
        <v>123</v>
      </c>
      <c r="B50">
        <v>15820396</v>
      </c>
      <c r="C50">
        <v>15820389</v>
      </c>
      <c r="D50">
        <v>14438777</v>
      </c>
      <c r="E50">
        <v>1</v>
      </c>
      <c r="F50">
        <v>1</v>
      </c>
      <c r="G50">
        <v>27</v>
      </c>
      <c r="H50">
        <v>3</v>
      </c>
      <c r="I50" t="s">
        <v>216</v>
      </c>
      <c r="J50" t="s">
        <v>217</v>
      </c>
      <c r="K50" t="s">
        <v>218</v>
      </c>
      <c r="L50">
        <v>1348</v>
      </c>
      <c r="N50">
        <v>1009</v>
      </c>
      <c r="O50" t="s">
        <v>30</v>
      </c>
      <c r="P50" t="s">
        <v>30</v>
      </c>
      <c r="Q50">
        <v>1000</v>
      </c>
      <c r="X50">
        <v>5.9</v>
      </c>
      <c r="Y50">
        <v>2562.79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5.9</v>
      </c>
      <c r="AH50">
        <v>2</v>
      </c>
      <c r="AI50">
        <v>15820396</v>
      </c>
      <c r="AJ50">
        <v>52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ROW(Source!A123)</f>
        <v>123</v>
      </c>
      <c r="B51">
        <v>15820397</v>
      </c>
      <c r="C51">
        <v>15820389</v>
      </c>
      <c r="D51">
        <v>14424279</v>
      </c>
      <c r="E51">
        <v>27</v>
      </c>
      <c r="F51">
        <v>1</v>
      </c>
      <c r="G51">
        <v>27</v>
      </c>
      <c r="H51">
        <v>3</v>
      </c>
      <c r="I51" t="s">
        <v>219</v>
      </c>
      <c r="J51" t="s">
        <v>3</v>
      </c>
      <c r="K51" t="s">
        <v>220</v>
      </c>
      <c r="L51">
        <v>1348</v>
      </c>
      <c r="N51">
        <v>1009</v>
      </c>
      <c r="O51" t="s">
        <v>30</v>
      </c>
      <c r="P51" t="s">
        <v>30</v>
      </c>
      <c r="Q51">
        <v>1000</v>
      </c>
      <c r="X51">
        <v>16.059999999999999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16.059999999999999</v>
      </c>
      <c r="AH51">
        <v>2</v>
      </c>
      <c r="AI51">
        <v>15820397</v>
      </c>
      <c r="AJ51">
        <v>53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ROW(Source!A124)</f>
        <v>124</v>
      </c>
      <c r="B52">
        <v>15820418</v>
      </c>
      <c r="C52">
        <v>15820417</v>
      </c>
      <c r="D52">
        <v>14422539</v>
      </c>
      <c r="E52">
        <v>27</v>
      </c>
      <c r="F52">
        <v>1</v>
      </c>
      <c r="G52">
        <v>27</v>
      </c>
      <c r="H52">
        <v>1</v>
      </c>
      <c r="I52" t="s">
        <v>162</v>
      </c>
      <c r="J52" t="s">
        <v>3</v>
      </c>
      <c r="K52" t="s">
        <v>163</v>
      </c>
      <c r="L52">
        <v>1191</v>
      </c>
      <c r="N52">
        <v>1013</v>
      </c>
      <c r="O52" t="s">
        <v>164</v>
      </c>
      <c r="P52" t="s">
        <v>164</v>
      </c>
      <c r="Q52">
        <v>1</v>
      </c>
      <c r="X52">
        <v>18.440000000000001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 t="s">
        <v>3</v>
      </c>
      <c r="AG52">
        <v>18.440000000000001</v>
      </c>
      <c r="AH52">
        <v>2</v>
      </c>
      <c r="AI52">
        <v>15820418</v>
      </c>
      <c r="AJ52">
        <v>54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ROW(Source!A124)</f>
        <v>124</v>
      </c>
      <c r="B53">
        <v>15820419</v>
      </c>
      <c r="C53">
        <v>15820417</v>
      </c>
      <c r="D53">
        <v>14435398</v>
      </c>
      <c r="E53">
        <v>1</v>
      </c>
      <c r="F53">
        <v>1</v>
      </c>
      <c r="G53">
        <v>27</v>
      </c>
      <c r="H53">
        <v>2</v>
      </c>
      <c r="I53" t="s">
        <v>165</v>
      </c>
      <c r="J53" t="s">
        <v>221</v>
      </c>
      <c r="K53" t="s">
        <v>167</v>
      </c>
      <c r="L53">
        <v>1368</v>
      </c>
      <c r="N53">
        <v>1011</v>
      </c>
      <c r="O53" t="s">
        <v>168</v>
      </c>
      <c r="P53" t="s">
        <v>168</v>
      </c>
      <c r="Q53">
        <v>1</v>
      </c>
      <c r="X53">
        <v>2.64</v>
      </c>
      <c r="Y53">
        <v>0</v>
      </c>
      <c r="Z53">
        <v>531.41</v>
      </c>
      <c r="AA53">
        <v>373.56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2.64</v>
      </c>
      <c r="AH53">
        <v>2</v>
      </c>
      <c r="AI53">
        <v>15820419</v>
      </c>
      <c r="AJ53">
        <v>55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ROW(Source!A124)</f>
        <v>124</v>
      </c>
      <c r="B54">
        <v>15820420</v>
      </c>
      <c r="C54">
        <v>15820417</v>
      </c>
      <c r="D54">
        <v>14435621</v>
      </c>
      <c r="E54">
        <v>1</v>
      </c>
      <c r="F54">
        <v>1</v>
      </c>
      <c r="G54">
        <v>27</v>
      </c>
      <c r="H54">
        <v>2</v>
      </c>
      <c r="I54" t="s">
        <v>169</v>
      </c>
      <c r="J54" t="s">
        <v>222</v>
      </c>
      <c r="K54" t="s">
        <v>171</v>
      </c>
      <c r="L54">
        <v>1368</v>
      </c>
      <c r="N54">
        <v>1011</v>
      </c>
      <c r="O54" t="s">
        <v>168</v>
      </c>
      <c r="P54" t="s">
        <v>168</v>
      </c>
      <c r="Q54">
        <v>1</v>
      </c>
      <c r="X54">
        <v>1.18</v>
      </c>
      <c r="Y54">
        <v>0</v>
      </c>
      <c r="Z54">
        <v>7.44</v>
      </c>
      <c r="AA54">
        <v>0.98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1.18</v>
      </c>
      <c r="AH54">
        <v>2</v>
      </c>
      <c r="AI54">
        <v>15820420</v>
      </c>
      <c r="AJ54">
        <v>56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ROW(Source!A124)</f>
        <v>124</v>
      </c>
      <c r="B55">
        <v>15820421</v>
      </c>
      <c r="C55">
        <v>15820417</v>
      </c>
      <c r="D55">
        <v>14434823</v>
      </c>
      <c r="E55">
        <v>1</v>
      </c>
      <c r="F55">
        <v>1</v>
      </c>
      <c r="G55">
        <v>27</v>
      </c>
      <c r="H55">
        <v>2</v>
      </c>
      <c r="I55" t="s">
        <v>172</v>
      </c>
      <c r="J55" t="s">
        <v>223</v>
      </c>
      <c r="K55" t="s">
        <v>174</v>
      </c>
      <c r="L55">
        <v>1368</v>
      </c>
      <c r="N55">
        <v>1011</v>
      </c>
      <c r="O55" t="s">
        <v>168</v>
      </c>
      <c r="P55" t="s">
        <v>168</v>
      </c>
      <c r="Q55">
        <v>1</v>
      </c>
      <c r="X55">
        <v>0.01</v>
      </c>
      <c r="Y55">
        <v>0</v>
      </c>
      <c r="Z55">
        <v>616.73</v>
      </c>
      <c r="AA55">
        <v>511.29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0.01</v>
      </c>
      <c r="AH55">
        <v>2</v>
      </c>
      <c r="AI55">
        <v>15820421</v>
      </c>
      <c r="AJ55">
        <v>57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ROW(Source!A124)</f>
        <v>124</v>
      </c>
      <c r="B56">
        <v>15820422</v>
      </c>
      <c r="C56">
        <v>15820417</v>
      </c>
      <c r="D56">
        <v>14435007</v>
      </c>
      <c r="E56">
        <v>1</v>
      </c>
      <c r="F56">
        <v>1</v>
      </c>
      <c r="G56">
        <v>27</v>
      </c>
      <c r="H56">
        <v>2</v>
      </c>
      <c r="I56" t="s">
        <v>175</v>
      </c>
      <c r="J56" t="s">
        <v>224</v>
      </c>
      <c r="K56" t="s">
        <v>177</v>
      </c>
      <c r="L56">
        <v>1368</v>
      </c>
      <c r="N56">
        <v>1011</v>
      </c>
      <c r="O56" t="s">
        <v>168</v>
      </c>
      <c r="P56" t="s">
        <v>168</v>
      </c>
      <c r="Q56">
        <v>1</v>
      </c>
      <c r="X56">
        <v>2.64</v>
      </c>
      <c r="Y56">
        <v>0</v>
      </c>
      <c r="Z56">
        <v>454.31</v>
      </c>
      <c r="AA56">
        <v>405.68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2.64</v>
      </c>
      <c r="AH56">
        <v>2</v>
      </c>
      <c r="AI56">
        <v>15820422</v>
      </c>
      <c r="AJ56">
        <v>58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ROW(Source!A124)</f>
        <v>124</v>
      </c>
      <c r="B57">
        <v>15820423</v>
      </c>
      <c r="C57">
        <v>15820417</v>
      </c>
      <c r="D57">
        <v>14437831</v>
      </c>
      <c r="E57">
        <v>1</v>
      </c>
      <c r="F57">
        <v>1</v>
      </c>
      <c r="G57">
        <v>27</v>
      </c>
      <c r="H57">
        <v>3</v>
      </c>
      <c r="I57" t="s">
        <v>178</v>
      </c>
      <c r="J57" t="s">
        <v>225</v>
      </c>
      <c r="K57" t="s">
        <v>180</v>
      </c>
      <c r="L57">
        <v>1327</v>
      </c>
      <c r="N57">
        <v>1005</v>
      </c>
      <c r="O57" t="s">
        <v>181</v>
      </c>
      <c r="P57" t="s">
        <v>181</v>
      </c>
      <c r="Q57">
        <v>1</v>
      </c>
      <c r="X57">
        <v>5.6</v>
      </c>
      <c r="Y57">
        <v>12.02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5.6</v>
      </c>
      <c r="AH57">
        <v>2</v>
      </c>
      <c r="AI57">
        <v>15820423</v>
      </c>
      <c r="AJ57">
        <v>59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ROW(Source!A124)</f>
        <v>124</v>
      </c>
      <c r="B58">
        <v>15820424</v>
      </c>
      <c r="C58">
        <v>15820417</v>
      </c>
      <c r="D58">
        <v>14437918</v>
      </c>
      <c r="E58">
        <v>1</v>
      </c>
      <c r="F58">
        <v>1</v>
      </c>
      <c r="G58">
        <v>27</v>
      </c>
      <c r="H58">
        <v>3</v>
      </c>
      <c r="I58" t="s">
        <v>182</v>
      </c>
      <c r="J58" t="s">
        <v>226</v>
      </c>
      <c r="K58" t="s">
        <v>184</v>
      </c>
      <c r="L58">
        <v>1348</v>
      </c>
      <c r="N58">
        <v>1009</v>
      </c>
      <c r="O58" t="s">
        <v>30</v>
      </c>
      <c r="P58" t="s">
        <v>30</v>
      </c>
      <c r="Q58">
        <v>1000</v>
      </c>
      <c r="X58">
        <v>3.15E-3</v>
      </c>
      <c r="Y58">
        <v>343020.03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3.15E-3</v>
      </c>
      <c r="AH58">
        <v>2</v>
      </c>
      <c r="AI58">
        <v>15820424</v>
      </c>
      <c r="AJ58">
        <v>60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ROW(Source!A124)</f>
        <v>124</v>
      </c>
      <c r="B59">
        <v>15820425</v>
      </c>
      <c r="C59">
        <v>15820417</v>
      </c>
      <c r="D59">
        <v>14438135</v>
      </c>
      <c r="E59">
        <v>1</v>
      </c>
      <c r="F59">
        <v>1</v>
      </c>
      <c r="G59">
        <v>27</v>
      </c>
      <c r="H59">
        <v>3</v>
      </c>
      <c r="I59" t="s">
        <v>38</v>
      </c>
      <c r="J59" t="s">
        <v>227</v>
      </c>
      <c r="K59" t="s">
        <v>39</v>
      </c>
      <c r="L59">
        <v>1346</v>
      </c>
      <c r="N59">
        <v>1009</v>
      </c>
      <c r="O59" t="s">
        <v>40</v>
      </c>
      <c r="P59" t="s">
        <v>40</v>
      </c>
      <c r="Q59">
        <v>1</v>
      </c>
      <c r="X59">
        <v>735</v>
      </c>
      <c r="Y59">
        <v>17.77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735</v>
      </c>
      <c r="AH59">
        <v>2</v>
      </c>
      <c r="AI59">
        <v>15820425</v>
      </c>
      <c r="AJ59">
        <v>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ROW(Source!A124)</f>
        <v>124</v>
      </c>
      <c r="B60">
        <v>15820426</v>
      </c>
      <c r="C60">
        <v>15820417</v>
      </c>
      <c r="D60">
        <v>14438142</v>
      </c>
      <c r="E60">
        <v>1</v>
      </c>
      <c r="F60">
        <v>1</v>
      </c>
      <c r="G60">
        <v>27</v>
      </c>
      <c r="H60">
        <v>3</v>
      </c>
      <c r="I60" t="s">
        <v>185</v>
      </c>
      <c r="J60" t="s">
        <v>228</v>
      </c>
      <c r="K60" t="s">
        <v>187</v>
      </c>
      <c r="L60">
        <v>1346</v>
      </c>
      <c r="N60">
        <v>1009</v>
      </c>
      <c r="O60" t="s">
        <v>40</v>
      </c>
      <c r="P60" t="s">
        <v>40</v>
      </c>
      <c r="Q60">
        <v>1</v>
      </c>
      <c r="X60">
        <v>241.5</v>
      </c>
      <c r="Y60">
        <v>202.34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241.5</v>
      </c>
      <c r="AH60">
        <v>2</v>
      </c>
      <c r="AI60">
        <v>15820426</v>
      </c>
      <c r="AJ60">
        <v>62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ROW(Source!A124)</f>
        <v>124</v>
      </c>
      <c r="B61">
        <v>15820427</v>
      </c>
      <c r="C61">
        <v>15820417</v>
      </c>
      <c r="D61">
        <v>14436109</v>
      </c>
      <c r="E61">
        <v>1</v>
      </c>
      <c r="F61">
        <v>1</v>
      </c>
      <c r="G61">
        <v>27</v>
      </c>
      <c r="H61">
        <v>3</v>
      </c>
      <c r="I61" t="s">
        <v>28</v>
      </c>
      <c r="J61" t="s">
        <v>149</v>
      </c>
      <c r="K61" t="s">
        <v>29</v>
      </c>
      <c r="L61">
        <v>1348</v>
      </c>
      <c r="N61">
        <v>1009</v>
      </c>
      <c r="O61" t="s">
        <v>30</v>
      </c>
      <c r="P61" t="s">
        <v>30</v>
      </c>
      <c r="Q61">
        <v>1000</v>
      </c>
      <c r="X61">
        <v>5.2499999999999998E-2</v>
      </c>
      <c r="Y61">
        <v>748299.67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5.2499999999999998E-2</v>
      </c>
      <c r="AH61">
        <v>2</v>
      </c>
      <c r="AI61">
        <v>15820427</v>
      </c>
      <c r="AJ61">
        <v>63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ROW(Source!A126)</f>
        <v>126</v>
      </c>
      <c r="B62">
        <v>15805785</v>
      </c>
      <c r="C62">
        <v>15805778</v>
      </c>
      <c r="D62">
        <v>14422539</v>
      </c>
      <c r="E62">
        <v>27</v>
      </c>
      <c r="F62">
        <v>1</v>
      </c>
      <c r="G62">
        <v>27</v>
      </c>
      <c r="H62">
        <v>1</v>
      </c>
      <c r="I62" t="s">
        <v>162</v>
      </c>
      <c r="J62" t="s">
        <v>3</v>
      </c>
      <c r="K62" t="s">
        <v>163</v>
      </c>
      <c r="L62">
        <v>1191</v>
      </c>
      <c r="N62">
        <v>1013</v>
      </c>
      <c r="O62" t="s">
        <v>164</v>
      </c>
      <c r="P62" t="s">
        <v>164</v>
      </c>
      <c r="Q62">
        <v>1</v>
      </c>
      <c r="X62">
        <v>2.65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 t="s">
        <v>36</v>
      </c>
      <c r="AG62">
        <v>13.25</v>
      </c>
      <c r="AH62">
        <v>2</v>
      </c>
      <c r="AI62">
        <v>15805779</v>
      </c>
      <c r="AJ62">
        <v>64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ROW(Source!A126)</f>
        <v>126</v>
      </c>
      <c r="B63">
        <v>15805786</v>
      </c>
      <c r="C63">
        <v>15805778</v>
      </c>
      <c r="D63">
        <v>14435398</v>
      </c>
      <c r="E63">
        <v>1</v>
      </c>
      <c r="F63">
        <v>1</v>
      </c>
      <c r="G63">
        <v>27</v>
      </c>
      <c r="H63">
        <v>2</v>
      </c>
      <c r="I63" t="s">
        <v>165</v>
      </c>
      <c r="J63" t="s">
        <v>166</v>
      </c>
      <c r="K63" t="s">
        <v>167</v>
      </c>
      <c r="L63">
        <v>1368</v>
      </c>
      <c r="N63">
        <v>1011</v>
      </c>
      <c r="O63" t="s">
        <v>168</v>
      </c>
      <c r="P63" t="s">
        <v>168</v>
      </c>
      <c r="Q63">
        <v>1</v>
      </c>
      <c r="X63">
        <v>0.5</v>
      </c>
      <c r="Y63">
        <v>0</v>
      </c>
      <c r="Z63">
        <v>531.41</v>
      </c>
      <c r="AA63">
        <v>373.56</v>
      </c>
      <c r="AB63">
        <v>0</v>
      </c>
      <c r="AC63">
        <v>0</v>
      </c>
      <c r="AD63">
        <v>1</v>
      </c>
      <c r="AE63">
        <v>0</v>
      </c>
      <c r="AF63" t="s">
        <v>36</v>
      </c>
      <c r="AG63">
        <v>2.5</v>
      </c>
      <c r="AH63">
        <v>2</v>
      </c>
      <c r="AI63">
        <v>15805780</v>
      </c>
      <c r="AJ63">
        <v>65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ROW(Source!A126)</f>
        <v>126</v>
      </c>
      <c r="B64">
        <v>15805787</v>
      </c>
      <c r="C64">
        <v>15805778</v>
      </c>
      <c r="D64">
        <v>14435007</v>
      </c>
      <c r="E64">
        <v>1</v>
      </c>
      <c r="F64">
        <v>1</v>
      </c>
      <c r="G64">
        <v>27</v>
      </c>
      <c r="H64">
        <v>2</v>
      </c>
      <c r="I64" t="s">
        <v>175</v>
      </c>
      <c r="J64" t="s">
        <v>176</v>
      </c>
      <c r="K64" t="s">
        <v>177</v>
      </c>
      <c r="L64">
        <v>1368</v>
      </c>
      <c r="N64">
        <v>1011</v>
      </c>
      <c r="O64" t="s">
        <v>168</v>
      </c>
      <c r="P64" t="s">
        <v>168</v>
      </c>
      <c r="Q64">
        <v>1</v>
      </c>
      <c r="X64">
        <v>0.5</v>
      </c>
      <c r="Y64">
        <v>0</v>
      </c>
      <c r="Z64">
        <v>454.31</v>
      </c>
      <c r="AA64">
        <v>405.68</v>
      </c>
      <c r="AB64">
        <v>0</v>
      </c>
      <c r="AC64">
        <v>0</v>
      </c>
      <c r="AD64">
        <v>1</v>
      </c>
      <c r="AE64">
        <v>0</v>
      </c>
      <c r="AF64" t="s">
        <v>36</v>
      </c>
      <c r="AG64">
        <v>2.5</v>
      </c>
      <c r="AH64">
        <v>2</v>
      </c>
      <c r="AI64">
        <v>15805781</v>
      </c>
      <c r="AJ64">
        <v>66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ROW(Source!A126)</f>
        <v>126</v>
      </c>
      <c r="B65">
        <v>15805788</v>
      </c>
      <c r="C65">
        <v>15805778</v>
      </c>
      <c r="D65">
        <v>14438135</v>
      </c>
      <c r="E65">
        <v>1</v>
      </c>
      <c r="F65">
        <v>1</v>
      </c>
      <c r="G65">
        <v>27</v>
      </c>
      <c r="H65">
        <v>3</v>
      </c>
      <c r="I65" t="s">
        <v>38</v>
      </c>
      <c r="J65" t="s">
        <v>41</v>
      </c>
      <c r="K65" t="s">
        <v>39</v>
      </c>
      <c r="L65">
        <v>1346</v>
      </c>
      <c r="N65">
        <v>1009</v>
      </c>
      <c r="O65" t="s">
        <v>40</v>
      </c>
      <c r="P65" t="s">
        <v>40</v>
      </c>
      <c r="Q65">
        <v>1</v>
      </c>
      <c r="X65">
        <v>147</v>
      </c>
      <c r="Y65">
        <v>17.77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36</v>
      </c>
      <c r="AG65">
        <v>735</v>
      </c>
      <c r="AH65">
        <v>2</v>
      </c>
      <c r="AI65">
        <v>15805782</v>
      </c>
      <c r="AJ65">
        <v>67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ROW(Source!A126)</f>
        <v>126</v>
      </c>
      <c r="B66">
        <v>15805789</v>
      </c>
      <c r="C66">
        <v>15805778</v>
      </c>
      <c r="D66">
        <v>14438142</v>
      </c>
      <c r="E66">
        <v>1</v>
      </c>
      <c r="F66">
        <v>1</v>
      </c>
      <c r="G66">
        <v>27</v>
      </c>
      <c r="H66">
        <v>3</v>
      </c>
      <c r="I66" t="s">
        <v>185</v>
      </c>
      <c r="J66" t="s">
        <v>186</v>
      </c>
      <c r="K66" t="s">
        <v>187</v>
      </c>
      <c r="L66">
        <v>1346</v>
      </c>
      <c r="N66">
        <v>1009</v>
      </c>
      <c r="O66" t="s">
        <v>40</v>
      </c>
      <c r="P66" t="s">
        <v>40</v>
      </c>
      <c r="Q66">
        <v>1</v>
      </c>
      <c r="X66">
        <v>42</v>
      </c>
      <c r="Y66">
        <v>202.34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36</v>
      </c>
      <c r="AG66">
        <v>210</v>
      </c>
      <c r="AH66">
        <v>2</v>
      </c>
      <c r="AI66">
        <v>15805783</v>
      </c>
      <c r="AJ66">
        <v>69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ROW(Source!A126)</f>
        <v>126</v>
      </c>
      <c r="B67">
        <v>15805790</v>
      </c>
      <c r="C67">
        <v>15805778</v>
      </c>
      <c r="D67">
        <v>14436109</v>
      </c>
      <c r="E67">
        <v>1</v>
      </c>
      <c r="F67">
        <v>1</v>
      </c>
      <c r="G67">
        <v>27</v>
      </c>
      <c r="H67">
        <v>3</v>
      </c>
      <c r="I67" t="s">
        <v>28</v>
      </c>
      <c r="J67" t="s">
        <v>31</v>
      </c>
      <c r="K67" t="s">
        <v>29</v>
      </c>
      <c r="L67">
        <v>1348</v>
      </c>
      <c r="N67">
        <v>1009</v>
      </c>
      <c r="O67" t="s">
        <v>30</v>
      </c>
      <c r="P67" t="s">
        <v>30</v>
      </c>
      <c r="Q67">
        <v>1000</v>
      </c>
      <c r="X67">
        <v>1.0500000000000001E-2</v>
      </c>
      <c r="Y67">
        <v>748299.67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36</v>
      </c>
      <c r="AG67">
        <v>5.2500000000000005E-2</v>
      </c>
      <c r="AH67">
        <v>2</v>
      </c>
      <c r="AI67">
        <v>15805784</v>
      </c>
      <c r="AJ67">
        <v>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ROW(Source!A129)</f>
        <v>129</v>
      </c>
      <c r="B68">
        <v>15805793</v>
      </c>
      <c r="C68">
        <v>15805791</v>
      </c>
      <c r="D68">
        <v>14434710</v>
      </c>
      <c r="E68">
        <v>1</v>
      </c>
      <c r="F68">
        <v>1</v>
      </c>
      <c r="G68">
        <v>27</v>
      </c>
      <c r="H68">
        <v>2</v>
      </c>
      <c r="I68" t="s">
        <v>188</v>
      </c>
      <c r="J68" t="s">
        <v>189</v>
      </c>
      <c r="K68" t="s">
        <v>190</v>
      </c>
      <c r="L68">
        <v>1368</v>
      </c>
      <c r="N68">
        <v>1011</v>
      </c>
      <c r="O68" t="s">
        <v>168</v>
      </c>
      <c r="P68" t="s">
        <v>168</v>
      </c>
      <c r="Q68">
        <v>1</v>
      </c>
      <c r="X68">
        <v>5.3699999999999998E-2</v>
      </c>
      <c r="Y68">
        <v>0</v>
      </c>
      <c r="Z68">
        <v>1494.43</v>
      </c>
      <c r="AA68">
        <v>481.21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5.3699999999999998E-2</v>
      </c>
      <c r="AH68">
        <v>2</v>
      </c>
      <c r="AI68">
        <v>15805792</v>
      </c>
      <c r="AJ68">
        <v>71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ROW(Source!A130)</f>
        <v>130</v>
      </c>
      <c r="B69">
        <v>15805796</v>
      </c>
      <c r="C69">
        <v>15805794</v>
      </c>
      <c r="D69">
        <v>14422539</v>
      </c>
      <c r="E69">
        <v>27</v>
      </c>
      <c r="F69">
        <v>1</v>
      </c>
      <c r="G69">
        <v>27</v>
      </c>
      <c r="H69">
        <v>1</v>
      </c>
      <c r="I69" t="s">
        <v>162</v>
      </c>
      <c r="J69" t="s">
        <v>3</v>
      </c>
      <c r="K69" t="s">
        <v>163</v>
      </c>
      <c r="L69">
        <v>1191</v>
      </c>
      <c r="N69">
        <v>1013</v>
      </c>
      <c r="O69" t="s">
        <v>164</v>
      </c>
      <c r="P69" t="s">
        <v>164</v>
      </c>
      <c r="Q69">
        <v>1</v>
      </c>
      <c r="X69">
        <v>1.02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3</v>
      </c>
      <c r="AG69">
        <v>1.02</v>
      </c>
      <c r="AH69">
        <v>2</v>
      </c>
      <c r="AI69">
        <v>15805795</v>
      </c>
      <c r="AJ69">
        <v>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ROW(Source!A131)</f>
        <v>131</v>
      </c>
      <c r="B70">
        <v>15805800</v>
      </c>
      <c r="C70">
        <v>15805797</v>
      </c>
      <c r="D70">
        <v>14435508</v>
      </c>
      <c r="E70">
        <v>1</v>
      </c>
      <c r="F70">
        <v>1</v>
      </c>
      <c r="G70">
        <v>27</v>
      </c>
      <c r="H70">
        <v>2</v>
      </c>
      <c r="I70" t="s">
        <v>191</v>
      </c>
      <c r="J70" t="s">
        <v>192</v>
      </c>
      <c r="K70" t="s">
        <v>193</v>
      </c>
      <c r="L70">
        <v>1368</v>
      </c>
      <c r="N70">
        <v>1011</v>
      </c>
      <c r="O70" t="s">
        <v>168</v>
      </c>
      <c r="P70" t="s">
        <v>168</v>
      </c>
      <c r="Q70">
        <v>1</v>
      </c>
      <c r="X70">
        <v>5.3999999999999999E-2</v>
      </c>
      <c r="Y70">
        <v>0</v>
      </c>
      <c r="Z70">
        <v>1009.4</v>
      </c>
      <c r="AA70">
        <v>316.82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5.3999999999999999E-2</v>
      </c>
      <c r="AH70">
        <v>2</v>
      </c>
      <c r="AI70">
        <v>15805798</v>
      </c>
      <c r="AJ70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ROW(Source!A131)</f>
        <v>131</v>
      </c>
      <c r="B71">
        <v>15805801</v>
      </c>
      <c r="C71">
        <v>15805797</v>
      </c>
      <c r="D71">
        <v>14435509</v>
      </c>
      <c r="E71">
        <v>1</v>
      </c>
      <c r="F71">
        <v>1</v>
      </c>
      <c r="G71">
        <v>27</v>
      </c>
      <c r="H71">
        <v>2</v>
      </c>
      <c r="I71" t="s">
        <v>194</v>
      </c>
      <c r="J71" t="s">
        <v>195</v>
      </c>
      <c r="K71" t="s">
        <v>196</v>
      </c>
      <c r="L71">
        <v>1368</v>
      </c>
      <c r="N71">
        <v>1011</v>
      </c>
      <c r="O71" t="s">
        <v>168</v>
      </c>
      <c r="P71" t="s">
        <v>168</v>
      </c>
      <c r="Q71">
        <v>1</v>
      </c>
      <c r="X71">
        <v>5.5E-2</v>
      </c>
      <c r="Y71">
        <v>0</v>
      </c>
      <c r="Z71">
        <v>1014.12</v>
      </c>
      <c r="AA71">
        <v>317.13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5.5E-2</v>
      </c>
      <c r="AH71">
        <v>2</v>
      </c>
      <c r="AI71">
        <v>15805799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ROW(Source!A132)</f>
        <v>132</v>
      </c>
      <c r="B72">
        <v>15805805</v>
      </c>
      <c r="C72">
        <v>15805802</v>
      </c>
      <c r="D72">
        <v>14435508</v>
      </c>
      <c r="E72">
        <v>1</v>
      </c>
      <c r="F72">
        <v>1</v>
      </c>
      <c r="G72">
        <v>27</v>
      </c>
      <c r="H72">
        <v>2</v>
      </c>
      <c r="I72" t="s">
        <v>191</v>
      </c>
      <c r="J72" t="s">
        <v>192</v>
      </c>
      <c r="K72" t="s">
        <v>193</v>
      </c>
      <c r="L72">
        <v>1368</v>
      </c>
      <c r="N72">
        <v>1011</v>
      </c>
      <c r="O72" t="s">
        <v>168</v>
      </c>
      <c r="P72" t="s">
        <v>168</v>
      </c>
      <c r="Q72">
        <v>1</v>
      </c>
      <c r="X72">
        <v>0.02</v>
      </c>
      <c r="Y72">
        <v>0</v>
      </c>
      <c r="Z72">
        <v>1009.4</v>
      </c>
      <c r="AA72">
        <v>316.82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0.02</v>
      </c>
      <c r="AH72">
        <v>2</v>
      </c>
      <c r="AI72">
        <v>15805803</v>
      </c>
      <c r="AJ72">
        <v>75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ROW(Source!A132)</f>
        <v>132</v>
      </c>
      <c r="B73">
        <v>15805806</v>
      </c>
      <c r="C73">
        <v>15805802</v>
      </c>
      <c r="D73">
        <v>14435509</v>
      </c>
      <c r="E73">
        <v>1</v>
      </c>
      <c r="F73">
        <v>1</v>
      </c>
      <c r="G73">
        <v>27</v>
      </c>
      <c r="H73">
        <v>2</v>
      </c>
      <c r="I73" t="s">
        <v>194</v>
      </c>
      <c r="J73" t="s">
        <v>195</v>
      </c>
      <c r="K73" t="s">
        <v>196</v>
      </c>
      <c r="L73">
        <v>1368</v>
      </c>
      <c r="N73">
        <v>1011</v>
      </c>
      <c r="O73" t="s">
        <v>168</v>
      </c>
      <c r="P73" t="s">
        <v>168</v>
      </c>
      <c r="Q73">
        <v>1</v>
      </c>
      <c r="X73">
        <v>1.7999999999999999E-2</v>
      </c>
      <c r="Y73">
        <v>0</v>
      </c>
      <c r="Z73">
        <v>1014.12</v>
      </c>
      <c r="AA73">
        <v>317.13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1.7999999999999999E-2</v>
      </c>
      <c r="AH73">
        <v>2</v>
      </c>
      <c r="AI73">
        <v>15805804</v>
      </c>
      <c r="AJ73">
        <v>76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ROW(Source!A133)</f>
        <v>133</v>
      </c>
      <c r="B74">
        <v>15805810</v>
      </c>
      <c r="C74">
        <v>15805807</v>
      </c>
      <c r="D74">
        <v>14435508</v>
      </c>
      <c r="E74">
        <v>1</v>
      </c>
      <c r="F74">
        <v>1</v>
      </c>
      <c r="G74">
        <v>27</v>
      </c>
      <c r="H74">
        <v>2</v>
      </c>
      <c r="I74" t="s">
        <v>191</v>
      </c>
      <c r="J74" t="s">
        <v>192</v>
      </c>
      <c r="K74" t="s">
        <v>193</v>
      </c>
      <c r="L74">
        <v>1368</v>
      </c>
      <c r="N74">
        <v>1011</v>
      </c>
      <c r="O74" t="s">
        <v>168</v>
      </c>
      <c r="P74" t="s">
        <v>168</v>
      </c>
      <c r="Q74">
        <v>1</v>
      </c>
      <c r="X74">
        <v>0.01</v>
      </c>
      <c r="Y74">
        <v>0</v>
      </c>
      <c r="Z74">
        <v>1009.4</v>
      </c>
      <c r="AA74">
        <v>316.82</v>
      </c>
      <c r="AB74">
        <v>0</v>
      </c>
      <c r="AC74">
        <v>0</v>
      </c>
      <c r="AD74">
        <v>1</v>
      </c>
      <c r="AE74">
        <v>0</v>
      </c>
      <c r="AF74" t="s">
        <v>67</v>
      </c>
      <c r="AG74">
        <v>0.49</v>
      </c>
      <c r="AH74">
        <v>2</v>
      </c>
      <c r="AI74">
        <v>15805808</v>
      </c>
      <c r="AJ74">
        <v>77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ROW(Source!A133)</f>
        <v>133</v>
      </c>
      <c r="B75">
        <v>15805811</v>
      </c>
      <c r="C75">
        <v>15805807</v>
      </c>
      <c r="D75">
        <v>14435509</v>
      </c>
      <c r="E75">
        <v>1</v>
      </c>
      <c r="F75">
        <v>1</v>
      </c>
      <c r="G75">
        <v>27</v>
      </c>
      <c r="H75">
        <v>2</v>
      </c>
      <c r="I75" t="s">
        <v>194</v>
      </c>
      <c r="J75" t="s">
        <v>195</v>
      </c>
      <c r="K75" t="s">
        <v>196</v>
      </c>
      <c r="L75">
        <v>1368</v>
      </c>
      <c r="N75">
        <v>1011</v>
      </c>
      <c r="O75" t="s">
        <v>168</v>
      </c>
      <c r="P75" t="s">
        <v>168</v>
      </c>
      <c r="Q75">
        <v>1</v>
      </c>
      <c r="X75">
        <v>8.0000000000000002E-3</v>
      </c>
      <c r="Y75">
        <v>0</v>
      </c>
      <c r="Z75">
        <v>1014.12</v>
      </c>
      <c r="AA75">
        <v>317.13</v>
      </c>
      <c r="AB75">
        <v>0</v>
      </c>
      <c r="AC75">
        <v>0</v>
      </c>
      <c r="AD75">
        <v>1</v>
      </c>
      <c r="AE75">
        <v>0</v>
      </c>
      <c r="AF75" t="s">
        <v>67</v>
      </c>
      <c r="AG75">
        <v>0.39200000000000002</v>
      </c>
      <c r="AH75">
        <v>2</v>
      </c>
      <c r="AI75">
        <v>15805809</v>
      </c>
      <c r="AJ75">
        <v>78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Смета СН-2012 по гл. 1-5</vt:lpstr>
      <vt:lpstr>Source</vt:lpstr>
      <vt:lpstr>SourceObSm</vt:lpstr>
      <vt:lpstr>SmtRes</vt:lpstr>
      <vt:lpstr>EtalonRes</vt:lpstr>
      <vt:lpstr>'Смета СН-2012 по гл. 1-5'!Заголовки_для_печати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Ю. Горбов</cp:lastModifiedBy>
  <cp:lastPrinted>2021-06-02T08:06:43Z</cp:lastPrinted>
  <dcterms:created xsi:type="dcterms:W3CDTF">2021-05-19T12:57:45Z</dcterms:created>
  <dcterms:modified xsi:type="dcterms:W3CDTF">2021-06-02T08:06:46Z</dcterms:modified>
</cp:coreProperties>
</file>