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0" windowHeight="1185"/>
  </bookViews>
  <sheets>
    <sheet name="Смета СН-2012 по гл. 1-5" sheetId="5" r:id="rId1"/>
    <sheet name="Акт КС-2 СН-2012 по гл. 1-" sheetId="6" state="hidden" r:id="rId2"/>
    <sheet name="Дефектная ведомость" sheetId="7" r:id="rId3"/>
    <sheet name="Ведомость объемов работ" sheetId="8" r:id="rId4"/>
    <sheet name="RV_DATA" sheetId="10" state="hidden" r:id="rId5"/>
    <sheet name="Расчет стоимости ресурсов" sheetId="9" r:id="rId6"/>
    <sheet name="Source" sheetId="1" r:id="rId7"/>
    <sheet name="SourceObSm" sheetId="2" state="hidden" r:id="rId8"/>
    <sheet name="SmtRes" sheetId="3" state="hidden" r:id="rId9"/>
    <sheet name="EtalonRes" sheetId="4" state="hidden" r:id="rId10"/>
  </sheets>
  <definedNames>
    <definedName name="_xlnm.Print_Titles" localSheetId="1">'Акт КС-2 СН-2012 по гл. 1-'!$36:$36</definedName>
    <definedName name="_xlnm.Print_Titles" localSheetId="3">'Ведомость объемов работ'!$18:$18</definedName>
    <definedName name="_xlnm.Print_Titles" localSheetId="2">'Дефектная ведомость'!$18:$18</definedName>
    <definedName name="_xlnm.Print_Titles" localSheetId="5">'Расчет стоимости ресурсов'!$4:$7</definedName>
    <definedName name="_xlnm.Print_Titles" localSheetId="0">'Смета СН-2012 по гл. 1-5'!$29:$29</definedName>
    <definedName name="_xlnm.Print_Area" localSheetId="1">'Акт КС-2 СН-2012 по гл. 1-'!$A$1:$L$595</definedName>
    <definedName name="_xlnm.Print_Area" localSheetId="3">'Ведомость объемов работ'!$A$1:$E$108</definedName>
    <definedName name="_xlnm.Print_Area" localSheetId="2">'Дефектная ведомость'!$A$1:$E$107</definedName>
    <definedName name="_xlnm.Print_Area" localSheetId="5">'Расчет стоимости ресурсов'!$A$1:$F$114</definedName>
    <definedName name="_xlnm.Print_Area" localSheetId="0">'Смета СН-2012 по гл. 1-5'!$A$1:$K$582</definedName>
  </definedNames>
  <calcPr calcId="125725"/>
</workbook>
</file>

<file path=xl/calcChain.xml><?xml version="1.0" encoding="utf-8"?>
<calcChain xmlns="http://schemas.openxmlformats.org/spreadsheetml/2006/main">
  <c r="A3" i="9"/>
  <c r="A12" i="8"/>
  <c r="A12" i="7"/>
  <c r="A14" i="5" l="1"/>
  <c r="F80" i="9"/>
  <c r="E80"/>
  <c r="D80"/>
  <c r="F102"/>
  <c r="E102"/>
  <c r="D102"/>
  <c r="F88"/>
  <c r="E88"/>
  <c r="D88"/>
  <c r="F106"/>
  <c r="E106"/>
  <c r="D106"/>
  <c r="F96"/>
  <c r="E96"/>
  <c r="D96"/>
  <c r="F98"/>
  <c r="E98"/>
  <c r="D98"/>
  <c r="F100"/>
  <c r="E100"/>
  <c r="D100"/>
  <c r="F104"/>
  <c r="E104"/>
  <c r="D104"/>
  <c r="F101"/>
  <c r="E101"/>
  <c r="D101"/>
  <c r="F79"/>
  <c r="E79"/>
  <c r="D79"/>
  <c r="F78"/>
  <c r="E78"/>
  <c r="D78"/>
  <c r="F82"/>
  <c r="E82"/>
  <c r="D82"/>
  <c r="F84"/>
  <c r="E84"/>
  <c r="D84"/>
  <c r="F81"/>
  <c r="E81"/>
  <c r="D81"/>
  <c r="F77"/>
  <c r="E77"/>
  <c r="D77"/>
  <c r="F92"/>
  <c r="E92"/>
  <c r="D92"/>
  <c r="F111"/>
  <c r="E111"/>
  <c r="D111"/>
  <c r="F97"/>
  <c r="E97"/>
  <c r="D97"/>
  <c r="F103"/>
  <c r="E103"/>
  <c r="D103"/>
  <c r="F105"/>
  <c r="E105"/>
  <c r="D105"/>
  <c r="F107"/>
  <c r="E107"/>
  <c r="D107"/>
  <c r="F110"/>
  <c r="E110"/>
  <c r="D110"/>
  <c r="F87"/>
  <c r="E87"/>
  <c r="D87"/>
  <c r="F89"/>
  <c r="E89"/>
  <c r="D89"/>
  <c r="F91"/>
  <c r="E91"/>
  <c r="D91"/>
  <c r="F99"/>
  <c r="E99"/>
  <c r="D99"/>
  <c r="F83"/>
  <c r="E83"/>
  <c r="D83"/>
  <c r="F90"/>
  <c r="E90"/>
  <c r="D90"/>
  <c r="F93"/>
  <c r="E93"/>
  <c r="D93"/>
  <c r="F95"/>
  <c r="E95"/>
  <c r="D95"/>
  <c r="F108"/>
  <c r="E108"/>
  <c r="D108"/>
  <c r="F109"/>
  <c r="E109"/>
  <c r="D109"/>
  <c r="F112"/>
  <c r="E112"/>
  <c r="D112"/>
  <c r="F86"/>
  <c r="E86"/>
  <c r="D86"/>
  <c r="F85"/>
  <c r="E85"/>
  <c r="D85"/>
  <c r="F94"/>
  <c r="E94"/>
  <c r="D94"/>
  <c r="A75"/>
  <c r="F71"/>
  <c r="E71"/>
  <c r="D71"/>
  <c r="F72"/>
  <c r="E72"/>
  <c r="D72"/>
  <c r="F73"/>
  <c r="E73"/>
  <c r="D73"/>
  <c r="A69"/>
  <c r="F59"/>
  <c r="E59"/>
  <c r="D59"/>
  <c r="F60"/>
  <c r="E60"/>
  <c r="D60"/>
  <c r="F61"/>
  <c r="E61"/>
  <c r="D61"/>
  <c r="F62"/>
  <c r="E62"/>
  <c r="D62"/>
  <c r="F63"/>
  <c r="E63"/>
  <c r="D63"/>
  <c r="F64"/>
  <c r="E64"/>
  <c r="D64"/>
  <c r="F65"/>
  <c r="E65"/>
  <c r="D65"/>
  <c r="F66"/>
  <c r="E66"/>
  <c r="D66"/>
  <c r="F67"/>
  <c r="E67"/>
  <c r="D67"/>
  <c r="A57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3"/>
  <c r="E43"/>
  <c r="D43"/>
  <c r="F44"/>
  <c r="E44"/>
  <c r="D44"/>
  <c r="F45"/>
  <c r="E45"/>
  <c r="D45"/>
  <c r="F48"/>
  <c r="E48"/>
  <c r="D48"/>
  <c r="F46"/>
  <c r="E46"/>
  <c r="D46"/>
  <c r="F47"/>
  <c r="E47"/>
  <c r="D47"/>
  <c r="A41"/>
  <c r="F39"/>
  <c r="E39"/>
  <c r="D39"/>
  <c r="F33"/>
  <c r="E33"/>
  <c r="D33"/>
  <c r="F34"/>
  <c r="E34"/>
  <c r="D34"/>
  <c r="F35"/>
  <c r="E35"/>
  <c r="D35"/>
  <c r="F38"/>
  <c r="E38"/>
  <c r="D38"/>
  <c r="F36"/>
  <c r="E36"/>
  <c r="D36"/>
  <c r="F37"/>
  <c r="E37"/>
  <c r="D37"/>
  <c r="A31"/>
  <c r="F29"/>
  <c r="E29"/>
  <c r="D29"/>
  <c r="F28"/>
  <c r="E28"/>
  <c r="D28"/>
  <c r="F27"/>
  <c r="E27"/>
  <c r="D27"/>
  <c r="F26"/>
  <c r="E26"/>
  <c r="D26"/>
  <c r="F25"/>
  <c r="E25"/>
  <c r="D25"/>
  <c r="F24"/>
  <c r="E24"/>
  <c r="D24"/>
  <c r="F21"/>
  <c r="E21"/>
  <c r="D21"/>
  <c r="F20"/>
  <c r="E20"/>
  <c r="D20"/>
  <c r="F22"/>
  <c r="E22"/>
  <c r="D22"/>
  <c r="F23"/>
  <c r="E23"/>
  <c r="D23"/>
  <c r="A18"/>
  <c r="F16"/>
  <c r="E16"/>
  <c r="D16"/>
  <c r="F13"/>
  <c r="E13"/>
  <c r="D13"/>
  <c r="F10"/>
  <c r="E10"/>
  <c r="D10"/>
  <c r="F11"/>
  <c r="E11"/>
  <c r="D11"/>
  <c r="F12"/>
  <c r="E12"/>
  <c r="D12"/>
  <c r="F15"/>
  <c r="E15"/>
  <c r="D15"/>
  <c r="F14"/>
  <c r="E14"/>
  <c r="D14"/>
  <c r="A8"/>
  <c r="U123" i="10"/>
  <c r="T123"/>
  <c r="R123"/>
  <c r="Q123"/>
  <c r="S123"/>
  <c r="P123"/>
  <c r="O123"/>
  <c r="M123"/>
  <c r="L123"/>
  <c r="N123"/>
  <c r="K123"/>
  <c r="J123"/>
  <c r="I123"/>
  <c r="H123"/>
  <c r="G123"/>
  <c r="F123"/>
  <c r="E123"/>
  <c r="A123"/>
  <c r="U122"/>
  <c r="T122"/>
  <c r="R122"/>
  <c r="Q122"/>
  <c r="S122"/>
  <c r="P122"/>
  <c r="O122"/>
  <c r="M122"/>
  <c r="L122"/>
  <c r="N122"/>
  <c r="K122"/>
  <c r="J122"/>
  <c r="I122"/>
  <c r="H122"/>
  <c r="G122"/>
  <c r="F122"/>
  <c r="E122"/>
  <c r="A122"/>
  <c r="U121"/>
  <c r="T121"/>
  <c r="R121"/>
  <c r="Q121"/>
  <c r="S121"/>
  <c r="P121"/>
  <c r="O121"/>
  <c r="M121"/>
  <c r="L121"/>
  <c r="N121"/>
  <c r="K121"/>
  <c r="J121"/>
  <c r="I121"/>
  <c r="H121"/>
  <c r="G121"/>
  <c r="F121"/>
  <c r="E121"/>
  <c r="A121"/>
  <c r="U120"/>
  <c r="T120"/>
  <c r="R120"/>
  <c r="Q120"/>
  <c r="S120"/>
  <c r="P120"/>
  <c r="O120"/>
  <c r="M120"/>
  <c r="L120"/>
  <c r="N120"/>
  <c r="K120"/>
  <c r="J120"/>
  <c r="I120"/>
  <c r="H120"/>
  <c r="G120"/>
  <c r="F120"/>
  <c r="E120"/>
  <c r="A120"/>
  <c r="U119"/>
  <c r="T119"/>
  <c r="R119"/>
  <c r="Q119"/>
  <c r="S119"/>
  <c r="P119"/>
  <c r="O119"/>
  <c r="M119"/>
  <c r="L119"/>
  <c r="N119"/>
  <c r="K119"/>
  <c r="J119"/>
  <c r="I119"/>
  <c r="H119"/>
  <c r="G119"/>
  <c r="F119"/>
  <c r="E119"/>
  <c r="A119"/>
  <c r="U118"/>
  <c r="T118"/>
  <c r="R118"/>
  <c r="Q118"/>
  <c r="S118"/>
  <c r="P118"/>
  <c r="O118"/>
  <c r="M118"/>
  <c r="L118"/>
  <c r="N118"/>
  <c r="K118"/>
  <c r="J118"/>
  <c r="I118"/>
  <c r="H118"/>
  <c r="G118"/>
  <c r="F118"/>
  <c r="E118"/>
  <c r="A118"/>
  <c r="U117"/>
  <c r="T117"/>
  <c r="R117"/>
  <c r="Q117"/>
  <c r="S117"/>
  <c r="P117"/>
  <c r="O117"/>
  <c r="M117"/>
  <c r="L117"/>
  <c r="N117"/>
  <c r="K117"/>
  <c r="J117"/>
  <c r="I117"/>
  <c r="H117"/>
  <c r="G117"/>
  <c r="F117"/>
  <c r="E117"/>
  <c r="A117"/>
  <c r="U116"/>
  <c r="T116"/>
  <c r="R116"/>
  <c r="Q116"/>
  <c r="S116"/>
  <c r="P116"/>
  <c r="O116"/>
  <c r="M116"/>
  <c r="L116"/>
  <c r="N116"/>
  <c r="K116"/>
  <c r="J116"/>
  <c r="I116"/>
  <c r="H116"/>
  <c r="G116"/>
  <c r="F116"/>
  <c r="E116"/>
  <c r="A116"/>
  <c r="U115"/>
  <c r="T115"/>
  <c r="R115"/>
  <c r="Q115"/>
  <c r="S115"/>
  <c r="P115"/>
  <c r="O115"/>
  <c r="M115"/>
  <c r="L115"/>
  <c r="N115"/>
  <c r="K115"/>
  <c r="J115"/>
  <c r="I115"/>
  <c r="H115"/>
  <c r="G115"/>
  <c r="F115"/>
  <c r="E115"/>
  <c r="A115"/>
  <c r="U114"/>
  <c r="T114"/>
  <c r="R114"/>
  <c r="Q114"/>
  <c r="S114"/>
  <c r="P114"/>
  <c r="O114"/>
  <c r="M114"/>
  <c r="L114"/>
  <c r="N114"/>
  <c r="K114"/>
  <c r="J114"/>
  <c r="I114"/>
  <c r="H114"/>
  <c r="G114"/>
  <c r="F114"/>
  <c r="E114"/>
  <c r="A114"/>
  <c r="U113"/>
  <c r="T113"/>
  <c r="S113"/>
  <c r="R113"/>
  <c r="P113"/>
  <c r="O113"/>
  <c r="N113"/>
  <c r="M113"/>
  <c r="K113"/>
  <c r="I113"/>
  <c r="H113"/>
  <c r="G113"/>
  <c r="F113"/>
  <c r="E113"/>
  <c r="D113"/>
  <c r="A113"/>
  <c r="U112"/>
  <c r="T112"/>
  <c r="R112"/>
  <c r="Q112"/>
  <c r="S112"/>
  <c r="P112"/>
  <c r="O112"/>
  <c r="M112"/>
  <c r="L112"/>
  <c r="N112"/>
  <c r="K112"/>
  <c r="J112"/>
  <c r="I112"/>
  <c r="H112"/>
  <c r="G112"/>
  <c r="F112"/>
  <c r="E112"/>
  <c r="A112"/>
  <c r="U111"/>
  <c r="T111"/>
  <c r="R111"/>
  <c r="Q111"/>
  <c r="S111"/>
  <c r="P111"/>
  <c r="O111"/>
  <c r="M111"/>
  <c r="L111"/>
  <c r="N111"/>
  <c r="K111"/>
  <c r="J111"/>
  <c r="I111"/>
  <c r="H111"/>
  <c r="G111"/>
  <c r="F111"/>
  <c r="E111"/>
  <c r="A111"/>
  <c r="U110"/>
  <c r="T110"/>
  <c r="S110"/>
  <c r="R110"/>
  <c r="P110"/>
  <c r="O110"/>
  <c r="N110"/>
  <c r="M110"/>
  <c r="K110"/>
  <c r="I110"/>
  <c r="H110"/>
  <c r="G110"/>
  <c r="F110"/>
  <c r="E110"/>
  <c r="D110"/>
  <c r="A110"/>
  <c r="U109"/>
  <c r="T109"/>
  <c r="R109"/>
  <c r="Q109"/>
  <c r="S109"/>
  <c r="P109"/>
  <c r="O109"/>
  <c r="M109"/>
  <c r="L109"/>
  <c r="N109"/>
  <c r="K109"/>
  <c r="J109"/>
  <c r="I109"/>
  <c r="H109"/>
  <c r="G109"/>
  <c r="F109"/>
  <c r="E109"/>
  <c r="A109"/>
  <c r="U108"/>
  <c r="T108"/>
  <c r="R108"/>
  <c r="Q108"/>
  <c r="S108"/>
  <c r="P108"/>
  <c r="O108"/>
  <c r="M108"/>
  <c r="L108"/>
  <c r="N108"/>
  <c r="K108"/>
  <c r="J108"/>
  <c r="I108"/>
  <c r="H108"/>
  <c r="G108"/>
  <c r="F108"/>
  <c r="E108"/>
  <c r="A108"/>
  <c r="U107"/>
  <c r="T107"/>
  <c r="S107"/>
  <c r="R107"/>
  <c r="P107"/>
  <c r="O107"/>
  <c r="N107"/>
  <c r="M107"/>
  <c r="K107"/>
  <c r="I107"/>
  <c r="H107"/>
  <c r="G107"/>
  <c r="F107"/>
  <c r="E107"/>
  <c r="D107"/>
  <c r="A107"/>
  <c r="U106"/>
  <c r="T106"/>
  <c r="S106"/>
  <c r="R106"/>
  <c r="P106"/>
  <c r="O106"/>
  <c r="N106"/>
  <c r="M106"/>
  <c r="K106"/>
  <c r="I106"/>
  <c r="H106"/>
  <c r="G106"/>
  <c r="F106"/>
  <c r="E106"/>
  <c r="D106"/>
  <c r="A106"/>
  <c r="U105"/>
  <c r="T105"/>
  <c r="R105"/>
  <c r="Q105"/>
  <c r="S105"/>
  <c r="P105"/>
  <c r="O105"/>
  <c r="M105"/>
  <c r="L105"/>
  <c r="N105"/>
  <c r="K105"/>
  <c r="J105"/>
  <c r="I105"/>
  <c r="H105"/>
  <c r="G105"/>
  <c r="F105"/>
  <c r="E105"/>
  <c r="A105"/>
  <c r="U104"/>
  <c r="T104"/>
  <c r="R104"/>
  <c r="Q104"/>
  <c r="S104"/>
  <c r="P104"/>
  <c r="O104"/>
  <c r="M104"/>
  <c r="L104"/>
  <c r="N104"/>
  <c r="K104"/>
  <c r="J104"/>
  <c r="I104"/>
  <c r="H104"/>
  <c r="G104"/>
  <c r="F104"/>
  <c r="E104"/>
  <c r="A104"/>
  <c r="U103"/>
  <c r="T103"/>
  <c r="R103"/>
  <c r="Q103"/>
  <c r="S103"/>
  <c r="P103"/>
  <c r="O103"/>
  <c r="M103"/>
  <c r="L103"/>
  <c r="N103"/>
  <c r="K103"/>
  <c r="J103"/>
  <c r="I103"/>
  <c r="H103"/>
  <c r="G103"/>
  <c r="F103"/>
  <c r="E103"/>
  <c r="A103"/>
  <c r="U102"/>
  <c r="T102"/>
  <c r="R102"/>
  <c r="Q102"/>
  <c r="S102"/>
  <c r="P102"/>
  <c r="O102"/>
  <c r="M102"/>
  <c r="L102"/>
  <c r="N102"/>
  <c r="K102"/>
  <c r="J102"/>
  <c r="I102"/>
  <c r="H102"/>
  <c r="G102"/>
  <c r="F102"/>
  <c r="E102"/>
  <c r="A102"/>
  <c r="U101"/>
  <c r="T101"/>
  <c r="R101"/>
  <c r="Q101"/>
  <c r="S101"/>
  <c r="P101"/>
  <c r="O101"/>
  <c r="M101"/>
  <c r="L101"/>
  <c r="N101"/>
  <c r="K101"/>
  <c r="J101"/>
  <c r="I101"/>
  <c r="H101"/>
  <c r="G101"/>
  <c r="F101"/>
  <c r="E101"/>
  <c r="A101"/>
  <c r="U100"/>
  <c r="T100"/>
  <c r="R100"/>
  <c r="Q100"/>
  <c r="S100"/>
  <c r="P100"/>
  <c r="O100"/>
  <c r="M100"/>
  <c r="L100"/>
  <c r="N100"/>
  <c r="K100"/>
  <c r="J100"/>
  <c r="I100"/>
  <c r="H100"/>
  <c r="G100"/>
  <c r="F100"/>
  <c r="E100"/>
  <c r="A100"/>
  <c r="U99"/>
  <c r="T99"/>
  <c r="R99"/>
  <c r="Q99"/>
  <c r="S99"/>
  <c r="P99"/>
  <c r="O99"/>
  <c r="M99"/>
  <c r="L99"/>
  <c r="N99"/>
  <c r="K99"/>
  <c r="J99"/>
  <c r="I99"/>
  <c r="H99"/>
  <c r="G99"/>
  <c r="F99"/>
  <c r="E99"/>
  <c r="A99"/>
  <c r="U98"/>
  <c r="T98"/>
  <c r="R98"/>
  <c r="Q98"/>
  <c r="S98"/>
  <c r="P98"/>
  <c r="O98"/>
  <c r="M98"/>
  <c r="L98"/>
  <c r="N98"/>
  <c r="K98"/>
  <c r="J98"/>
  <c r="I98"/>
  <c r="H98"/>
  <c r="G98"/>
  <c r="F98"/>
  <c r="E98"/>
  <c r="A98"/>
  <c r="U97"/>
  <c r="T97"/>
  <c r="R97"/>
  <c r="Q97"/>
  <c r="S97"/>
  <c r="P97"/>
  <c r="O97"/>
  <c r="M97"/>
  <c r="L97"/>
  <c r="N97"/>
  <c r="K97"/>
  <c r="J97"/>
  <c r="I97"/>
  <c r="H97"/>
  <c r="G97"/>
  <c r="F97"/>
  <c r="E97"/>
  <c r="A97"/>
  <c r="U96"/>
  <c r="T96"/>
  <c r="R96"/>
  <c r="Q96"/>
  <c r="S96"/>
  <c r="P96"/>
  <c r="O96"/>
  <c r="M96"/>
  <c r="L96"/>
  <c r="N96"/>
  <c r="K96"/>
  <c r="J96"/>
  <c r="I96"/>
  <c r="H96"/>
  <c r="G96"/>
  <c r="F96"/>
  <c r="E96"/>
  <c r="A96"/>
  <c r="U95"/>
  <c r="T95"/>
  <c r="R95"/>
  <c r="Q95"/>
  <c r="S95"/>
  <c r="P95"/>
  <c r="O95"/>
  <c r="M95"/>
  <c r="L95"/>
  <c r="N95"/>
  <c r="K95"/>
  <c r="J95"/>
  <c r="I95"/>
  <c r="H95"/>
  <c r="G95"/>
  <c r="F95"/>
  <c r="E95"/>
  <c r="A95"/>
  <c r="U94"/>
  <c r="T94"/>
  <c r="R94"/>
  <c r="Q94"/>
  <c r="S94"/>
  <c r="P94"/>
  <c r="O94"/>
  <c r="M94"/>
  <c r="L94"/>
  <c r="N94"/>
  <c r="K94"/>
  <c r="J94"/>
  <c r="I94"/>
  <c r="H94"/>
  <c r="G94"/>
  <c r="F94"/>
  <c r="E94"/>
  <c r="A94"/>
  <c r="U93"/>
  <c r="T93"/>
  <c r="R93"/>
  <c r="Q93"/>
  <c r="S93"/>
  <c r="P93"/>
  <c r="O93"/>
  <c r="M93"/>
  <c r="L93"/>
  <c r="N93"/>
  <c r="K93"/>
  <c r="J93"/>
  <c r="I93"/>
  <c r="H93"/>
  <c r="G93"/>
  <c r="F93"/>
  <c r="E93"/>
  <c r="A93"/>
  <c r="U92"/>
  <c r="T92"/>
  <c r="R92"/>
  <c r="Q92"/>
  <c r="S92"/>
  <c r="P92"/>
  <c r="O92"/>
  <c r="M92"/>
  <c r="L92"/>
  <c r="N92"/>
  <c r="K92"/>
  <c r="J92"/>
  <c r="I92"/>
  <c r="H92"/>
  <c r="G92"/>
  <c r="F92"/>
  <c r="E92"/>
  <c r="A92"/>
  <c r="U91"/>
  <c r="T91"/>
  <c r="R91"/>
  <c r="Q91"/>
  <c r="S91"/>
  <c r="P91"/>
  <c r="O91"/>
  <c r="M91"/>
  <c r="L91"/>
  <c r="N91"/>
  <c r="K91"/>
  <c r="J91"/>
  <c r="I91"/>
  <c r="H91"/>
  <c r="G91"/>
  <c r="F91"/>
  <c r="E91"/>
  <c r="A91"/>
  <c r="U90"/>
  <c r="T90"/>
  <c r="R90"/>
  <c r="Q90"/>
  <c r="S90"/>
  <c r="P90"/>
  <c r="O90"/>
  <c r="M90"/>
  <c r="L90"/>
  <c r="N90"/>
  <c r="K90"/>
  <c r="J90"/>
  <c r="I90"/>
  <c r="H90"/>
  <c r="G90"/>
  <c r="F90"/>
  <c r="E90"/>
  <c r="A90"/>
  <c r="U89"/>
  <c r="T89"/>
  <c r="R89"/>
  <c r="Q89"/>
  <c r="S89"/>
  <c r="P89"/>
  <c r="O89"/>
  <c r="M89"/>
  <c r="L89"/>
  <c r="N89"/>
  <c r="K89"/>
  <c r="J89"/>
  <c r="I89"/>
  <c r="H89"/>
  <c r="G89"/>
  <c r="F89"/>
  <c r="E89"/>
  <c r="A89"/>
  <c r="U88"/>
  <c r="T88"/>
  <c r="R88"/>
  <c r="Q88"/>
  <c r="S88"/>
  <c r="P88"/>
  <c r="O88"/>
  <c r="M88"/>
  <c r="L88"/>
  <c r="N88"/>
  <c r="K88"/>
  <c r="J88"/>
  <c r="I88"/>
  <c r="H88"/>
  <c r="G88"/>
  <c r="F88"/>
  <c r="E88"/>
  <c r="A88"/>
  <c r="U87"/>
  <c r="T87"/>
  <c r="R87"/>
  <c r="Q87"/>
  <c r="S87"/>
  <c r="P87"/>
  <c r="O87"/>
  <c r="M87"/>
  <c r="L87"/>
  <c r="N87"/>
  <c r="K87"/>
  <c r="J87"/>
  <c r="I87"/>
  <c r="H87"/>
  <c r="G87"/>
  <c r="F87"/>
  <c r="E87"/>
  <c r="A87"/>
  <c r="U86"/>
  <c r="T86"/>
  <c r="R86"/>
  <c r="Q86"/>
  <c r="S86"/>
  <c r="P86"/>
  <c r="O86"/>
  <c r="M86"/>
  <c r="L86"/>
  <c r="N86"/>
  <c r="K86"/>
  <c r="J86"/>
  <c r="I86"/>
  <c r="H86"/>
  <c r="G86"/>
  <c r="F86"/>
  <c r="E86"/>
  <c r="A86"/>
  <c r="U85"/>
  <c r="T85"/>
  <c r="R85"/>
  <c r="Q85"/>
  <c r="S85"/>
  <c r="P85"/>
  <c r="O85"/>
  <c r="M85"/>
  <c r="L85"/>
  <c r="N85"/>
  <c r="K85"/>
  <c r="J85"/>
  <c r="I85"/>
  <c r="H85"/>
  <c r="G85"/>
  <c r="F85"/>
  <c r="E85"/>
  <c r="A85"/>
  <c r="U84"/>
  <c r="T84"/>
  <c r="R84"/>
  <c r="Q84"/>
  <c r="S84"/>
  <c r="P84"/>
  <c r="O84"/>
  <c r="M84"/>
  <c r="L84"/>
  <c r="N84"/>
  <c r="K84"/>
  <c r="J84"/>
  <c r="I84"/>
  <c r="H84"/>
  <c r="G84"/>
  <c r="F84"/>
  <c r="E84"/>
  <c r="A84"/>
  <c r="U83"/>
  <c r="T83"/>
  <c r="R83"/>
  <c r="Q83"/>
  <c r="S83"/>
  <c r="P83"/>
  <c r="O83"/>
  <c r="M83"/>
  <c r="L83"/>
  <c r="N83"/>
  <c r="K83"/>
  <c r="J83"/>
  <c r="I83"/>
  <c r="H83"/>
  <c r="G83"/>
  <c r="F83"/>
  <c r="E83"/>
  <c r="A83"/>
  <c r="G82"/>
  <c r="A82"/>
  <c r="U81"/>
  <c r="T81"/>
  <c r="R81"/>
  <c r="Q81"/>
  <c r="S81"/>
  <c r="P81"/>
  <c r="O81"/>
  <c r="M81"/>
  <c r="L81"/>
  <c r="N81"/>
  <c r="K81"/>
  <c r="J81"/>
  <c r="I81"/>
  <c r="H81"/>
  <c r="G81"/>
  <c r="F81"/>
  <c r="E81"/>
  <c r="A81"/>
  <c r="U80"/>
  <c r="T80"/>
  <c r="R80"/>
  <c r="Q80"/>
  <c r="S80"/>
  <c r="P80"/>
  <c r="O80"/>
  <c r="M80"/>
  <c r="L80"/>
  <c r="N80"/>
  <c r="K80"/>
  <c r="J80"/>
  <c r="I80"/>
  <c r="H80"/>
  <c r="G80"/>
  <c r="F80"/>
  <c r="E80"/>
  <c r="A80"/>
  <c r="U79"/>
  <c r="T79"/>
  <c r="R79"/>
  <c r="Q79"/>
  <c r="S79"/>
  <c r="P79"/>
  <c r="O79"/>
  <c r="M79"/>
  <c r="L79"/>
  <c r="N79"/>
  <c r="K79"/>
  <c r="J79"/>
  <c r="I79"/>
  <c r="H79"/>
  <c r="G79"/>
  <c r="F79"/>
  <c r="E79"/>
  <c r="A79"/>
  <c r="U78"/>
  <c r="T78"/>
  <c r="R78"/>
  <c r="Q78"/>
  <c r="S78"/>
  <c r="P78"/>
  <c r="O78"/>
  <c r="M78"/>
  <c r="L78"/>
  <c r="N78"/>
  <c r="K78"/>
  <c r="J78"/>
  <c r="I78"/>
  <c r="H78"/>
  <c r="G78"/>
  <c r="F78"/>
  <c r="E78"/>
  <c r="A78"/>
  <c r="U77"/>
  <c r="T77"/>
  <c r="R77"/>
  <c r="Q77"/>
  <c r="S77"/>
  <c r="P77"/>
  <c r="O77"/>
  <c r="M77"/>
  <c r="L77"/>
  <c r="N77"/>
  <c r="K77"/>
  <c r="J77"/>
  <c r="I77"/>
  <c r="H77"/>
  <c r="G77"/>
  <c r="F77"/>
  <c r="E77"/>
  <c r="A77"/>
  <c r="G76"/>
  <c r="A76"/>
  <c r="U75"/>
  <c r="T75"/>
  <c r="R75"/>
  <c r="Q75"/>
  <c r="S75"/>
  <c r="P75"/>
  <c r="O75"/>
  <c r="M75"/>
  <c r="L75"/>
  <c r="N75"/>
  <c r="K75"/>
  <c r="J75"/>
  <c r="I75"/>
  <c r="H75"/>
  <c r="G75"/>
  <c r="F75"/>
  <c r="E75"/>
  <c r="A75"/>
  <c r="U74"/>
  <c r="T74"/>
  <c r="R74"/>
  <c r="Q74"/>
  <c r="S74"/>
  <c r="P74"/>
  <c r="O74"/>
  <c r="M74"/>
  <c r="L74"/>
  <c r="N74"/>
  <c r="K74"/>
  <c r="J74"/>
  <c r="I74"/>
  <c r="H74"/>
  <c r="G74"/>
  <c r="F74"/>
  <c r="E74"/>
  <c r="A74"/>
  <c r="U73"/>
  <c r="T73"/>
  <c r="R73"/>
  <c r="Q73"/>
  <c r="S73"/>
  <c r="P73"/>
  <c r="O73"/>
  <c r="M73"/>
  <c r="L73"/>
  <c r="N73"/>
  <c r="K73"/>
  <c r="J73"/>
  <c r="I73"/>
  <c r="H73"/>
  <c r="G73"/>
  <c r="F73"/>
  <c r="E73"/>
  <c r="A73"/>
  <c r="U72"/>
  <c r="T72"/>
  <c r="R72"/>
  <c r="Q72"/>
  <c r="S72"/>
  <c r="P72"/>
  <c r="O72"/>
  <c r="M72"/>
  <c r="L72"/>
  <c r="N72"/>
  <c r="K72"/>
  <c r="J72"/>
  <c r="I72"/>
  <c r="H72"/>
  <c r="G72"/>
  <c r="F72"/>
  <c r="E72"/>
  <c r="A72"/>
  <c r="U71"/>
  <c r="T71"/>
  <c r="R71"/>
  <c r="Q71"/>
  <c r="S71"/>
  <c r="P71"/>
  <c r="O71"/>
  <c r="M71"/>
  <c r="L71"/>
  <c r="N71"/>
  <c r="K71"/>
  <c r="J71"/>
  <c r="I71"/>
  <c r="H71"/>
  <c r="G71"/>
  <c r="F71"/>
  <c r="E71"/>
  <c r="A71"/>
  <c r="U70"/>
  <c r="T70"/>
  <c r="R70"/>
  <c r="Q70"/>
  <c r="S70"/>
  <c r="P70"/>
  <c r="O70"/>
  <c r="M70"/>
  <c r="L70"/>
  <c r="N70"/>
  <c r="K70"/>
  <c r="J70"/>
  <c r="I70"/>
  <c r="H70"/>
  <c r="G70"/>
  <c r="F70"/>
  <c r="E70"/>
  <c r="A70"/>
  <c r="U69"/>
  <c r="T69"/>
  <c r="R69"/>
  <c r="Q69"/>
  <c r="S69"/>
  <c r="P69"/>
  <c r="O69"/>
  <c r="M69"/>
  <c r="L69"/>
  <c r="N69"/>
  <c r="K69"/>
  <c r="J69"/>
  <c r="I69"/>
  <c r="H69"/>
  <c r="G69"/>
  <c r="F69"/>
  <c r="E69"/>
  <c r="A69"/>
  <c r="U68"/>
  <c r="T68"/>
  <c r="R68"/>
  <c r="Q68"/>
  <c r="S68"/>
  <c r="P68"/>
  <c r="O68"/>
  <c r="M68"/>
  <c r="L68"/>
  <c r="N68"/>
  <c r="K68"/>
  <c r="J68"/>
  <c r="I68"/>
  <c r="H68"/>
  <c r="G68"/>
  <c r="F68"/>
  <c r="E68"/>
  <c r="A68"/>
  <c r="U67"/>
  <c r="T67"/>
  <c r="R67"/>
  <c r="Q67"/>
  <c r="S67"/>
  <c r="P67"/>
  <c r="O67"/>
  <c r="M67"/>
  <c r="L67"/>
  <c r="N67"/>
  <c r="K67"/>
  <c r="J67"/>
  <c r="I67"/>
  <c r="H67"/>
  <c r="G67"/>
  <c r="F67"/>
  <c r="E67"/>
  <c r="A67"/>
  <c r="U66"/>
  <c r="T66"/>
  <c r="R66"/>
  <c r="Q66"/>
  <c r="S66"/>
  <c r="P66"/>
  <c r="O66"/>
  <c r="M66"/>
  <c r="L66"/>
  <c r="N66"/>
  <c r="K66"/>
  <c r="J66"/>
  <c r="I66"/>
  <c r="H66"/>
  <c r="G66"/>
  <c r="F66"/>
  <c r="E66"/>
  <c r="A66"/>
  <c r="G65"/>
  <c r="A65"/>
  <c r="U64"/>
  <c r="T64"/>
  <c r="S64"/>
  <c r="R64"/>
  <c r="P64"/>
  <c r="O64"/>
  <c r="N64"/>
  <c r="M64"/>
  <c r="K64"/>
  <c r="I64"/>
  <c r="H64"/>
  <c r="G64"/>
  <c r="F64"/>
  <c r="E64"/>
  <c r="D64"/>
  <c r="A64"/>
  <c r="U63"/>
  <c r="T63"/>
  <c r="S63"/>
  <c r="R63"/>
  <c r="P63"/>
  <c r="O63"/>
  <c r="N63"/>
  <c r="M63"/>
  <c r="K63"/>
  <c r="I63"/>
  <c r="H63"/>
  <c r="G63"/>
  <c r="F63"/>
  <c r="E63"/>
  <c r="D63"/>
  <c r="A63"/>
  <c r="U62"/>
  <c r="T62"/>
  <c r="S62"/>
  <c r="R62"/>
  <c r="P62"/>
  <c r="O62"/>
  <c r="N62"/>
  <c r="M62"/>
  <c r="K62"/>
  <c r="I62"/>
  <c r="H62"/>
  <c r="G62"/>
  <c r="F62"/>
  <c r="E62"/>
  <c r="D62"/>
  <c r="A62"/>
  <c r="U61"/>
  <c r="T61"/>
  <c r="S61"/>
  <c r="R61"/>
  <c r="P61"/>
  <c r="O61"/>
  <c r="N61"/>
  <c r="M61"/>
  <c r="K61"/>
  <c r="I61"/>
  <c r="H61"/>
  <c r="G61"/>
  <c r="F61"/>
  <c r="E61"/>
  <c r="D61"/>
  <c r="A61"/>
  <c r="U60"/>
  <c r="T60"/>
  <c r="S60"/>
  <c r="R60"/>
  <c r="P60"/>
  <c r="O60"/>
  <c r="N60"/>
  <c r="M60"/>
  <c r="K60"/>
  <c r="I60"/>
  <c r="H60"/>
  <c r="G60"/>
  <c r="F60"/>
  <c r="E60"/>
  <c r="D60"/>
  <c r="A60"/>
  <c r="U59"/>
  <c r="T59"/>
  <c r="R59"/>
  <c r="Q59"/>
  <c r="S59"/>
  <c r="P59"/>
  <c r="O59"/>
  <c r="M59"/>
  <c r="L59"/>
  <c r="N59"/>
  <c r="K59"/>
  <c r="J59"/>
  <c r="I59"/>
  <c r="H59"/>
  <c r="G59"/>
  <c r="F59"/>
  <c r="E59"/>
  <c r="A59"/>
  <c r="U58"/>
  <c r="T58"/>
  <c r="R58"/>
  <c r="Q58"/>
  <c r="S58"/>
  <c r="P58"/>
  <c r="O58"/>
  <c r="M58"/>
  <c r="L58"/>
  <c r="N58"/>
  <c r="K58"/>
  <c r="J58"/>
  <c r="I58"/>
  <c r="H58"/>
  <c r="G58"/>
  <c r="F58"/>
  <c r="E58"/>
  <c r="A58"/>
  <c r="U57"/>
  <c r="T57"/>
  <c r="R57"/>
  <c r="Q57"/>
  <c r="S57"/>
  <c r="P57"/>
  <c r="O57"/>
  <c r="M57"/>
  <c r="L57"/>
  <c r="N57"/>
  <c r="K57"/>
  <c r="J57"/>
  <c r="I57"/>
  <c r="H57"/>
  <c r="G57"/>
  <c r="F57"/>
  <c r="E57"/>
  <c r="A57"/>
  <c r="U56"/>
  <c r="T56"/>
  <c r="R56"/>
  <c r="Q56"/>
  <c r="S56"/>
  <c r="P56"/>
  <c r="O56"/>
  <c r="M56"/>
  <c r="L56"/>
  <c r="N56"/>
  <c r="K56"/>
  <c r="J56"/>
  <c r="I56"/>
  <c r="H56"/>
  <c r="G56"/>
  <c r="F56"/>
  <c r="E56"/>
  <c r="A56"/>
  <c r="U55"/>
  <c r="T55"/>
  <c r="R55"/>
  <c r="Q55"/>
  <c r="S55"/>
  <c r="P55"/>
  <c r="O55"/>
  <c r="M55"/>
  <c r="L55"/>
  <c r="N55"/>
  <c r="K55"/>
  <c r="J55"/>
  <c r="I55"/>
  <c r="H55"/>
  <c r="G55"/>
  <c r="F55"/>
  <c r="E55"/>
  <c r="A55"/>
  <c r="U54"/>
  <c r="T54"/>
  <c r="R54"/>
  <c r="Q54"/>
  <c r="S54"/>
  <c r="P54"/>
  <c r="O54"/>
  <c r="M54"/>
  <c r="L54"/>
  <c r="N54"/>
  <c r="K54"/>
  <c r="J54"/>
  <c r="I54"/>
  <c r="H54"/>
  <c r="G54"/>
  <c r="F54"/>
  <c r="E54"/>
  <c r="A54"/>
  <c r="U53"/>
  <c r="T53"/>
  <c r="R53"/>
  <c r="Q53"/>
  <c r="S53"/>
  <c r="P53"/>
  <c r="O53"/>
  <c r="M53"/>
  <c r="L53"/>
  <c r="N53"/>
  <c r="K53"/>
  <c r="J53"/>
  <c r="I53"/>
  <c r="H53"/>
  <c r="G53"/>
  <c r="F53"/>
  <c r="E53"/>
  <c r="A53"/>
  <c r="U52"/>
  <c r="T52"/>
  <c r="R52"/>
  <c r="Q52"/>
  <c r="S52"/>
  <c r="P52"/>
  <c r="O52"/>
  <c r="M52"/>
  <c r="L52"/>
  <c r="N52"/>
  <c r="K52"/>
  <c r="J52"/>
  <c r="I52"/>
  <c r="H52"/>
  <c r="G52"/>
  <c r="F52"/>
  <c r="E52"/>
  <c r="A52"/>
  <c r="U51"/>
  <c r="T51"/>
  <c r="S51"/>
  <c r="R51"/>
  <c r="P51"/>
  <c r="O51"/>
  <c r="N51"/>
  <c r="M51"/>
  <c r="K51"/>
  <c r="I51"/>
  <c r="H51"/>
  <c r="G51"/>
  <c r="F51"/>
  <c r="E51"/>
  <c r="D51"/>
  <c r="A51"/>
  <c r="U50"/>
  <c r="T50"/>
  <c r="S50"/>
  <c r="R50"/>
  <c r="P50"/>
  <c r="O50"/>
  <c r="N50"/>
  <c r="M50"/>
  <c r="K50"/>
  <c r="I50"/>
  <c r="H50"/>
  <c r="G50"/>
  <c r="F50"/>
  <c r="E50"/>
  <c r="D50"/>
  <c r="A50"/>
  <c r="U49"/>
  <c r="T49"/>
  <c r="R49"/>
  <c r="Q49"/>
  <c r="S49"/>
  <c r="P49"/>
  <c r="O49"/>
  <c r="M49"/>
  <c r="L49"/>
  <c r="N49"/>
  <c r="K49"/>
  <c r="J49"/>
  <c r="I49"/>
  <c r="H49"/>
  <c r="G49"/>
  <c r="F49"/>
  <c r="E49"/>
  <c r="A49"/>
  <c r="U48"/>
  <c r="T48"/>
  <c r="R48"/>
  <c r="Q48"/>
  <c r="S48"/>
  <c r="P48"/>
  <c r="O48"/>
  <c r="M48"/>
  <c r="L48"/>
  <c r="N48"/>
  <c r="K48"/>
  <c r="J48"/>
  <c r="I48"/>
  <c r="H48"/>
  <c r="G48"/>
  <c r="F48"/>
  <c r="E48"/>
  <c r="A48"/>
  <c r="U47"/>
  <c r="T47"/>
  <c r="R47"/>
  <c r="Q47"/>
  <c r="S47"/>
  <c r="P47"/>
  <c r="O47"/>
  <c r="M47"/>
  <c r="L47"/>
  <c r="N47"/>
  <c r="K47"/>
  <c r="J47"/>
  <c r="I47"/>
  <c r="H47"/>
  <c r="G47"/>
  <c r="F47"/>
  <c r="E47"/>
  <c r="A47"/>
  <c r="U46"/>
  <c r="T46"/>
  <c r="R46"/>
  <c r="Q46"/>
  <c r="S46"/>
  <c r="P46"/>
  <c r="O46"/>
  <c r="M46"/>
  <c r="L46"/>
  <c r="N46"/>
  <c r="K46"/>
  <c r="J46"/>
  <c r="I46"/>
  <c r="H46"/>
  <c r="G46"/>
  <c r="F46"/>
  <c r="E46"/>
  <c r="A46"/>
  <c r="U45"/>
  <c r="T45"/>
  <c r="R45"/>
  <c r="Q45"/>
  <c r="S45"/>
  <c r="P45"/>
  <c r="O45"/>
  <c r="M45"/>
  <c r="L45"/>
  <c r="N45"/>
  <c r="K45"/>
  <c r="J45"/>
  <c r="I45"/>
  <c r="H45"/>
  <c r="G45"/>
  <c r="F45"/>
  <c r="E45"/>
  <c r="A45"/>
  <c r="U44"/>
  <c r="T44"/>
  <c r="R44"/>
  <c r="Q44"/>
  <c r="S44"/>
  <c r="P44"/>
  <c r="O44"/>
  <c r="M44"/>
  <c r="L44"/>
  <c r="N44"/>
  <c r="K44"/>
  <c r="J44"/>
  <c r="I44"/>
  <c r="H44"/>
  <c r="G44"/>
  <c r="F44"/>
  <c r="E44"/>
  <c r="A44"/>
  <c r="U43"/>
  <c r="T43"/>
  <c r="R43"/>
  <c r="Q43"/>
  <c r="S43"/>
  <c r="P43"/>
  <c r="O43"/>
  <c r="M43"/>
  <c r="L43"/>
  <c r="N43"/>
  <c r="K43"/>
  <c r="J43"/>
  <c r="I43"/>
  <c r="H43"/>
  <c r="G43"/>
  <c r="F43"/>
  <c r="E43"/>
  <c r="A43"/>
  <c r="U42"/>
  <c r="T42"/>
  <c r="R42"/>
  <c r="Q42"/>
  <c r="S42"/>
  <c r="P42"/>
  <c r="O42"/>
  <c r="M42"/>
  <c r="L42"/>
  <c r="N42"/>
  <c r="K42"/>
  <c r="J42"/>
  <c r="I42"/>
  <c r="H42"/>
  <c r="G42"/>
  <c r="F42"/>
  <c r="E42"/>
  <c r="A42"/>
  <c r="G41"/>
  <c r="A41"/>
  <c r="U40"/>
  <c r="T40"/>
  <c r="S40"/>
  <c r="R40"/>
  <c r="P40"/>
  <c r="O40"/>
  <c r="N40"/>
  <c r="M40"/>
  <c r="K40"/>
  <c r="I40"/>
  <c r="H40"/>
  <c r="G40"/>
  <c r="F40"/>
  <c r="E40"/>
  <c r="D40"/>
  <c r="A40"/>
  <c r="U39"/>
  <c r="T39"/>
  <c r="R39"/>
  <c r="Q39"/>
  <c r="S39"/>
  <c r="P39"/>
  <c r="O39"/>
  <c r="M39"/>
  <c r="L39"/>
  <c r="N39"/>
  <c r="K39"/>
  <c r="J39"/>
  <c r="I39"/>
  <c r="H39"/>
  <c r="G39"/>
  <c r="F39"/>
  <c r="E39"/>
  <c r="A39"/>
  <c r="U38"/>
  <c r="T38"/>
  <c r="R38"/>
  <c r="Q38"/>
  <c r="S38"/>
  <c r="P38"/>
  <c r="O38"/>
  <c r="M38"/>
  <c r="L38"/>
  <c r="N38"/>
  <c r="K38"/>
  <c r="J38"/>
  <c r="I38"/>
  <c r="H38"/>
  <c r="G38"/>
  <c r="F38"/>
  <c r="E38"/>
  <c r="A38"/>
  <c r="U37"/>
  <c r="T37"/>
  <c r="R37"/>
  <c r="Q37"/>
  <c r="S37"/>
  <c r="P37"/>
  <c r="O37"/>
  <c r="M37"/>
  <c r="L37"/>
  <c r="N37"/>
  <c r="K37"/>
  <c r="J37"/>
  <c r="I37"/>
  <c r="H37"/>
  <c r="G37"/>
  <c r="F37"/>
  <c r="E37"/>
  <c r="A37"/>
  <c r="U36"/>
  <c r="T36"/>
  <c r="R36"/>
  <c r="Q36"/>
  <c r="S36"/>
  <c r="P36"/>
  <c r="O36"/>
  <c r="M36"/>
  <c r="L36"/>
  <c r="N36"/>
  <c r="K36"/>
  <c r="J36"/>
  <c r="I36"/>
  <c r="H36"/>
  <c r="G36"/>
  <c r="F36"/>
  <c r="E36"/>
  <c r="A36"/>
  <c r="U35"/>
  <c r="T35"/>
  <c r="R35"/>
  <c r="Q35"/>
  <c r="S35"/>
  <c r="P35"/>
  <c r="O35"/>
  <c r="M35"/>
  <c r="L35"/>
  <c r="N35"/>
  <c r="K35"/>
  <c r="J35"/>
  <c r="I35"/>
  <c r="H35"/>
  <c r="G35"/>
  <c r="F35"/>
  <c r="E35"/>
  <c r="A35"/>
  <c r="U34"/>
  <c r="T34"/>
  <c r="R34"/>
  <c r="Q34"/>
  <c r="S34"/>
  <c r="P34"/>
  <c r="O34"/>
  <c r="M34"/>
  <c r="L34"/>
  <c r="N34"/>
  <c r="K34"/>
  <c r="J34"/>
  <c r="I34"/>
  <c r="H34"/>
  <c r="G34"/>
  <c r="F34"/>
  <c r="E34"/>
  <c r="A34"/>
  <c r="U33"/>
  <c r="T33"/>
  <c r="R33"/>
  <c r="Q33"/>
  <c r="S33"/>
  <c r="P33"/>
  <c r="O33"/>
  <c r="M33"/>
  <c r="L33"/>
  <c r="N33"/>
  <c r="K33"/>
  <c r="J33"/>
  <c r="I33"/>
  <c r="H33"/>
  <c r="G33"/>
  <c r="F33"/>
  <c r="E33"/>
  <c r="A33"/>
  <c r="U32"/>
  <c r="T32"/>
  <c r="R32"/>
  <c r="Q32"/>
  <c r="S32"/>
  <c r="P32"/>
  <c r="O32"/>
  <c r="M32"/>
  <c r="L32"/>
  <c r="N32"/>
  <c r="K32"/>
  <c r="J32"/>
  <c r="I32"/>
  <c r="H32"/>
  <c r="G32"/>
  <c r="F32"/>
  <c r="E32"/>
  <c r="A32"/>
  <c r="G31"/>
  <c r="A31"/>
  <c r="U30"/>
  <c r="T30"/>
  <c r="S30"/>
  <c r="R30"/>
  <c r="P30"/>
  <c r="O30"/>
  <c r="N30"/>
  <c r="M30"/>
  <c r="K30"/>
  <c r="I30"/>
  <c r="H30"/>
  <c r="G30"/>
  <c r="F30"/>
  <c r="E30"/>
  <c r="D30"/>
  <c r="A30"/>
  <c r="U29"/>
  <c r="T29"/>
  <c r="S29"/>
  <c r="R29"/>
  <c r="P29"/>
  <c r="O29"/>
  <c r="N29"/>
  <c r="M29"/>
  <c r="K29"/>
  <c r="I29"/>
  <c r="H29"/>
  <c r="G29"/>
  <c r="F29"/>
  <c r="E29"/>
  <c r="D29"/>
  <c r="A29"/>
  <c r="U28"/>
  <c r="T28"/>
  <c r="S28"/>
  <c r="R28"/>
  <c r="P28"/>
  <c r="O28"/>
  <c r="N28"/>
  <c r="M28"/>
  <c r="K28"/>
  <c r="I28"/>
  <c r="H28"/>
  <c r="G28"/>
  <c r="F28"/>
  <c r="E28"/>
  <c r="D28"/>
  <c r="A28"/>
  <c r="U27"/>
  <c r="T27"/>
  <c r="S27"/>
  <c r="R27"/>
  <c r="P27"/>
  <c r="O27"/>
  <c r="N27"/>
  <c r="M27"/>
  <c r="K27"/>
  <c r="I27"/>
  <c r="H27"/>
  <c r="G27"/>
  <c r="F27"/>
  <c r="E27"/>
  <c r="D27"/>
  <c r="A27"/>
  <c r="U26"/>
  <c r="T26"/>
  <c r="S26"/>
  <c r="R26"/>
  <c r="P26"/>
  <c r="O26"/>
  <c r="N26"/>
  <c r="M26"/>
  <c r="K26"/>
  <c r="I26"/>
  <c r="H26"/>
  <c r="G26"/>
  <c r="F26"/>
  <c r="E26"/>
  <c r="D26"/>
  <c r="A26"/>
  <c r="U25"/>
  <c r="T25"/>
  <c r="S25"/>
  <c r="R25"/>
  <c r="P25"/>
  <c r="O25"/>
  <c r="N25"/>
  <c r="M25"/>
  <c r="K25"/>
  <c r="I25"/>
  <c r="H25"/>
  <c r="G25"/>
  <c r="F25"/>
  <c r="E25"/>
  <c r="D25"/>
  <c r="A25"/>
  <c r="U24"/>
  <c r="T24"/>
  <c r="S24"/>
  <c r="R24"/>
  <c r="P24"/>
  <c r="O24"/>
  <c r="N24"/>
  <c r="M24"/>
  <c r="K24"/>
  <c r="I24"/>
  <c r="H24"/>
  <c r="G24"/>
  <c r="F24"/>
  <c r="E24"/>
  <c r="D24"/>
  <c r="A24"/>
  <c r="U23"/>
  <c r="T23"/>
  <c r="R23"/>
  <c r="Q23"/>
  <c r="S23"/>
  <c r="P23"/>
  <c r="O23"/>
  <c r="M23"/>
  <c r="L23"/>
  <c r="N23"/>
  <c r="K23"/>
  <c r="J23"/>
  <c r="I23"/>
  <c r="H23"/>
  <c r="G23"/>
  <c r="F23"/>
  <c r="E23"/>
  <c r="A23"/>
  <c r="U22"/>
  <c r="T22"/>
  <c r="R22"/>
  <c r="Q22"/>
  <c r="S22"/>
  <c r="P22"/>
  <c r="O22"/>
  <c r="M22"/>
  <c r="L22"/>
  <c r="N22"/>
  <c r="K22"/>
  <c r="J22"/>
  <c r="I22"/>
  <c r="H22"/>
  <c r="G22"/>
  <c r="F22"/>
  <c r="E22"/>
  <c r="A22"/>
  <c r="U21"/>
  <c r="T21"/>
  <c r="R21"/>
  <c r="Q21"/>
  <c r="S21"/>
  <c r="P21"/>
  <c r="O21"/>
  <c r="M21"/>
  <c r="L21"/>
  <c r="N21"/>
  <c r="K21"/>
  <c r="J21"/>
  <c r="I21"/>
  <c r="H21"/>
  <c r="G21"/>
  <c r="F21"/>
  <c r="E21"/>
  <c r="A21"/>
  <c r="U20"/>
  <c r="T20"/>
  <c r="R20"/>
  <c r="Q20"/>
  <c r="S20"/>
  <c r="P20"/>
  <c r="O20"/>
  <c r="M20"/>
  <c r="L20"/>
  <c r="N20"/>
  <c r="K20"/>
  <c r="J20"/>
  <c r="I20"/>
  <c r="H20"/>
  <c r="G20"/>
  <c r="F20"/>
  <c r="E20"/>
  <c r="A20"/>
  <c r="U19"/>
  <c r="T19"/>
  <c r="R19"/>
  <c r="Q19"/>
  <c r="S19"/>
  <c r="P19"/>
  <c r="O19"/>
  <c r="M19"/>
  <c r="L19"/>
  <c r="N19"/>
  <c r="K19"/>
  <c r="J19"/>
  <c r="I19"/>
  <c r="H19"/>
  <c r="G19"/>
  <c r="F19"/>
  <c r="E19"/>
  <c r="A19"/>
  <c r="G18"/>
  <c r="A18"/>
  <c r="U17"/>
  <c r="T17"/>
  <c r="R17"/>
  <c r="Q17"/>
  <c r="S17"/>
  <c r="P17"/>
  <c r="O17"/>
  <c r="M17"/>
  <c r="L17"/>
  <c r="N17"/>
  <c r="K17"/>
  <c r="J17"/>
  <c r="I17"/>
  <c r="H17"/>
  <c r="G17"/>
  <c r="F17"/>
  <c r="E17"/>
  <c r="A17"/>
  <c r="U16"/>
  <c r="T16"/>
  <c r="R16"/>
  <c r="Q16"/>
  <c r="S16"/>
  <c r="P16"/>
  <c r="O16"/>
  <c r="M16"/>
  <c r="L16"/>
  <c r="N16"/>
  <c r="K16"/>
  <c r="J16"/>
  <c r="I16"/>
  <c r="H16"/>
  <c r="G16"/>
  <c r="F16"/>
  <c r="E16"/>
  <c r="A16"/>
  <c r="U15"/>
  <c r="T15"/>
  <c r="S15"/>
  <c r="R15"/>
  <c r="P15"/>
  <c r="O15"/>
  <c r="N15"/>
  <c r="M15"/>
  <c r="K15"/>
  <c r="I15"/>
  <c r="H15"/>
  <c r="G15"/>
  <c r="F15"/>
  <c r="E15"/>
  <c r="D15"/>
  <c r="A15"/>
  <c r="U14"/>
  <c r="T14"/>
  <c r="S14"/>
  <c r="R14"/>
  <c r="P14"/>
  <c r="O14"/>
  <c r="N14"/>
  <c r="M14"/>
  <c r="K14"/>
  <c r="I14"/>
  <c r="H14"/>
  <c r="G14"/>
  <c r="F14"/>
  <c r="E14"/>
  <c r="D14"/>
  <c r="A14"/>
  <c r="U13"/>
  <c r="T13"/>
  <c r="R13"/>
  <c r="Q13"/>
  <c r="S13"/>
  <c r="P13"/>
  <c r="O13"/>
  <c r="M13"/>
  <c r="L13"/>
  <c r="N13"/>
  <c r="K13"/>
  <c r="J13"/>
  <c r="I13"/>
  <c r="H13"/>
  <c r="G13"/>
  <c r="F13"/>
  <c r="E13"/>
  <c r="A13"/>
  <c r="U12"/>
  <c r="T12"/>
  <c r="R12"/>
  <c r="Q12"/>
  <c r="S12"/>
  <c r="P12"/>
  <c r="O12"/>
  <c r="M12"/>
  <c r="L12"/>
  <c r="N12"/>
  <c r="K12"/>
  <c r="J12"/>
  <c r="I12"/>
  <c r="H12"/>
  <c r="G12"/>
  <c r="F12"/>
  <c r="E12"/>
  <c r="A12"/>
  <c r="U11"/>
  <c r="T11"/>
  <c r="R11"/>
  <c r="Q11"/>
  <c r="S11"/>
  <c r="P11"/>
  <c r="O11"/>
  <c r="M11"/>
  <c r="L11"/>
  <c r="N11"/>
  <c r="K11"/>
  <c r="J11"/>
  <c r="I11"/>
  <c r="H11"/>
  <c r="G11"/>
  <c r="F11"/>
  <c r="E11"/>
  <c r="A11"/>
  <c r="U10"/>
  <c r="T10"/>
  <c r="R10"/>
  <c r="Q10"/>
  <c r="S10"/>
  <c r="P10"/>
  <c r="O10"/>
  <c r="M10"/>
  <c r="L10"/>
  <c r="N10"/>
  <c r="K10"/>
  <c r="J10"/>
  <c r="I10"/>
  <c r="H10"/>
  <c r="G10"/>
  <c r="F10"/>
  <c r="E10"/>
  <c r="A10"/>
  <c r="U9"/>
  <c r="T9"/>
  <c r="R9"/>
  <c r="Q9"/>
  <c r="S9"/>
  <c r="P9"/>
  <c r="O9"/>
  <c r="M9"/>
  <c r="L9"/>
  <c r="N9"/>
  <c r="K9"/>
  <c r="J9"/>
  <c r="I9"/>
  <c r="H9"/>
  <c r="G9"/>
  <c r="F9"/>
  <c r="E9"/>
  <c r="A9"/>
  <c r="U8"/>
  <c r="T8"/>
  <c r="R8"/>
  <c r="Q8"/>
  <c r="S8"/>
  <c r="P8"/>
  <c r="O8"/>
  <c r="M8"/>
  <c r="L8"/>
  <c r="N8"/>
  <c r="K8"/>
  <c r="J8"/>
  <c r="I8"/>
  <c r="H8"/>
  <c r="G8"/>
  <c r="F8"/>
  <c r="E8"/>
  <c r="A8"/>
  <c r="G7"/>
  <c r="A7"/>
  <c r="G6"/>
  <c r="A6"/>
  <c r="D103" i="8"/>
  <c r="C103"/>
  <c r="B103"/>
  <c r="A103"/>
  <c r="D102"/>
  <c r="C102"/>
  <c r="B102"/>
  <c r="A102"/>
  <c r="D101"/>
  <c r="C101"/>
  <c r="B101"/>
  <c r="A101"/>
  <c r="D100"/>
  <c r="C100"/>
  <c r="B100"/>
  <c r="A100"/>
  <c r="D99"/>
  <c r="C99"/>
  <c r="B99"/>
  <c r="A99"/>
  <c r="D98"/>
  <c r="C98"/>
  <c r="B98"/>
  <c r="A98"/>
  <c r="D97"/>
  <c r="C97"/>
  <c r="B97"/>
  <c r="A97"/>
  <c r="D96"/>
  <c r="C96"/>
  <c r="B96"/>
  <c r="A96"/>
  <c r="D95"/>
  <c r="C95"/>
  <c r="B95"/>
  <c r="A95"/>
  <c r="D94"/>
  <c r="C94"/>
  <c r="B94"/>
  <c r="A94"/>
  <c r="D93"/>
  <c r="C93"/>
  <c r="B93"/>
  <c r="A93"/>
  <c r="D92"/>
  <c r="C92"/>
  <c r="B92"/>
  <c r="A92"/>
  <c r="D91"/>
  <c r="C91"/>
  <c r="B91"/>
  <c r="A91"/>
  <c r="D90"/>
  <c r="C90"/>
  <c r="B90"/>
  <c r="A90"/>
  <c r="D89"/>
  <c r="C89"/>
  <c r="B89"/>
  <c r="A89"/>
  <c r="D88"/>
  <c r="C88"/>
  <c r="B88"/>
  <c r="A88"/>
  <c r="D87"/>
  <c r="C87"/>
  <c r="B87"/>
  <c r="A87"/>
  <c r="D86"/>
  <c r="C86"/>
  <c r="B86"/>
  <c r="A86"/>
  <c r="D85"/>
  <c r="C85"/>
  <c r="B85"/>
  <c r="A85"/>
  <c r="D84"/>
  <c r="C84"/>
  <c r="B84"/>
  <c r="A84"/>
  <c r="D83"/>
  <c r="C83"/>
  <c r="B83"/>
  <c r="A83"/>
  <c r="D82"/>
  <c r="C82"/>
  <c r="B82"/>
  <c r="A82"/>
  <c r="D81"/>
  <c r="C81"/>
  <c r="B81"/>
  <c r="A81"/>
  <c r="D80"/>
  <c r="C80"/>
  <c r="B80"/>
  <c r="A80"/>
  <c r="A79"/>
  <c r="D78"/>
  <c r="C78"/>
  <c r="B78"/>
  <c r="A78"/>
  <c r="D77"/>
  <c r="C77"/>
  <c r="B77"/>
  <c r="A77"/>
  <c r="D76"/>
  <c r="C76"/>
  <c r="B76"/>
  <c r="A76"/>
  <c r="D75"/>
  <c r="C75"/>
  <c r="B75"/>
  <c r="A75"/>
  <c r="A74"/>
  <c r="D73"/>
  <c r="C73"/>
  <c r="B73"/>
  <c r="A73"/>
  <c r="D72"/>
  <c r="C72"/>
  <c r="B72"/>
  <c r="A72"/>
  <c r="D71"/>
  <c r="C71"/>
  <c r="B71"/>
  <c r="A71"/>
  <c r="A70"/>
  <c r="D69"/>
  <c r="C69"/>
  <c r="B69"/>
  <c r="A69"/>
  <c r="D68"/>
  <c r="C68"/>
  <c r="B68"/>
  <c r="A68"/>
  <c r="D67"/>
  <c r="C67"/>
  <c r="B67"/>
  <c r="A67"/>
  <c r="D66"/>
  <c r="C66"/>
  <c r="B66"/>
  <c r="A66"/>
  <c r="D65"/>
  <c r="C65"/>
  <c r="B65"/>
  <c r="A65"/>
  <c r="D64"/>
  <c r="C64"/>
  <c r="B64"/>
  <c r="A64"/>
  <c r="D63"/>
  <c r="C63"/>
  <c r="B63"/>
  <c r="A63"/>
  <c r="D62"/>
  <c r="C62"/>
  <c r="B62"/>
  <c r="A62"/>
  <c r="D61"/>
  <c r="C61"/>
  <c r="B61"/>
  <c r="A61"/>
  <c r="D60"/>
  <c r="C60"/>
  <c r="B60"/>
  <c r="A60"/>
  <c r="D59"/>
  <c r="C59"/>
  <c r="B59"/>
  <c r="A59"/>
  <c r="D58"/>
  <c r="C58"/>
  <c r="B58"/>
  <c r="A58"/>
  <c r="D57"/>
  <c r="C57"/>
  <c r="B57"/>
  <c r="A57"/>
  <c r="D56"/>
  <c r="C56"/>
  <c r="B56"/>
  <c r="A56"/>
  <c r="D55"/>
  <c r="C55"/>
  <c r="B55"/>
  <c r="A55"/>
  <c r="D54"/>
  <c r="C54"/>
  <c r="B54"/>
  <c r="A54"/>
  <c r="D53"/>
  <c r="C53"/>
  <c r="B53"/>
  <c r="A53"/>
  <c r="A52"/>
  <c r="D51"/>
  <c r="C51"/>
  <c r="B51"/>
  <c r="A51"/>
  <c r="D50"/>
  <c r="C50"/>
  <c r="B50"/>
  <c r="A50"/>
  <c r="D49"/>
  <c r="C49"/>
  <c r="B49"/>
  <c r="A49"/>
  <c r="D48"/>
  <c r="C48"/>
  <c r="B48"/>
  <c r="A48"/>
  <c r="D47"/>
  <c r="C47"/>
  <c r="B47"/>
  <c r="A47"/>
  <c r="D46"/>
  <c r="C46"/>
  <c r="B46"/>
  <c r="A46"/>
  <c r="A45"/>
  <c r="D44"/>
  <c r="C44"/>
  <c r="B44"/>
  <c r="A44"/>
  <c r="D43"/>
  <c r="C43"/>
  <c r="B43"/>
  <c r="A43"/>
  <c r="D42"/>
  <c r="C42"/>
  <c r="B42"/>
  <c r="A42"/>
  <c r="D41"/>
  <c r="C41"/>
  <c r="B41"/>
  <c r="A41"/>
  <c r="D40"/>
  <c r="C40"/>
  <c r="B40"/>
  <c r="A40"/>
  <c r="D39"/>
  <c r="C39"/>
  <c r="B39"/>
  <c r="A39"/>
  <c r="D38"/>
  <c r="C38"/>
  <c r="B38"/>
  <c r="A38"/>
  <c r="D37"/>
  <c r="C37"/>
  <c r="B37"/>
  <c r="A37"/>
  <c r="D36"/>
  <c r="C36"/>
  <c r="B36"/>
  <c r="A36"/>
  <c r="D35"/>
  <c r="C35"/>
  <c r="B35"/>
  <c r="A35"/>
  <c r="D34"/>
  <c r="C34"/>
  <c r="B34"/>
  <c r="A34"/>
  <c r="D33"/>
  <c r="C33"/>
  <c r="B33"/>
  <c r="A33"/>
  <c r="A32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A19"/>
  <c r="A11"/>
  <c r="A1"/>
  <c r="D102" i="7"/>
  <c r="C102"/>
  <c r="B102"/>
  <c r="A102"/>
  <c r="D101"/>
  <c r="C101"/>
  <c r="B101"/>
  <c r="A101"/>
  <c r="D100"/>
  <c r="C100"/>
  <c r="B100"/>
  <c r="A100"/>
  <c r="D99"/>
  <c r="C99"/>
  <c r="B99"/>
  <c r="A99"/>
  <c r="D98"/>
  <c r="C98"/>
  <c r="B98"/>
  <c r="A98"/>
  <c r="D97"/>
  <c r="C97"/>
  <c r="B97"/>
  <c r="A97"/>
  <c r="D96"/>
  <c r="C96"/>
  <c r="B96"/>
  <c r="A96"/>
  <c r="D95"/>
  <c r="C95"/>
  <c r="B95"/>
  <c r="A95"/>
  <c r="D94"/>
  <c r="C94"/>
  <c r="B94"/>
  <c r="A94"/>
  <c r="D93"/>
  <c r="C93"/>
  <c r="B93"/>
  <c r="A93"/>
  <c r="D92"/>
  <c r="C92"/>
  <c r="B92"/>
  <c r="A92"/>
  <c r="D91"/>
  <c r="C91"/>
  <c r="B91"/>
  <c r="A91"/>
  <c r="D90"/>
  <c r="C90"/>
  <c r="B90"/>
  <c r="A90"/>
  <c r="D89"/>
  <c r="C89"/>
  <c r="B89"/>
  <c r="A89"/>
  <c r="D88"/>
  <c r="C88"/>
  <c r="B88"/>
  <c r="A88"/>
  <c r="D87"/>
  <c r="C87"/>
  <c r="B87"/>
  <c r="A87"/>
  <c r="D86"/>
  <c r="C86"/>
  <c r="B86"/>
  <c r="A86"/>
  <c r="D85"/>
  <c r="C85"/>
  <c r="B85"/>
  <c r="A85"/>
  <c r="D84"/>
  <c r="C84"/>
  <c r="B84"/>
  <c r="A84"/>
  <c r="D83"/>
  <c r="C83"/>
  <c r="B83"/>
  <c r="A83"/>
  <c r="D82"/>
  <c r="C82"/>
  <c r="B82"/>
  <c r="A82"/>
  <c r="D81"/>
  <c r="C81"/>
  <c r="B81"/>
  <c r="A81"/>
  <c r="D80"/>
  <c r="C80"/>
  <c r="B80"/>
  <c r="A80"/>
  <c r="D79"/>
  <c r="C79"/>
  <c r="B79"/>
  <c r="A79"/>
  <c r="A78"/>
  <c r="D77"/>
  <c r="C77"/>
  <c r="B77"/>
  <c r="A77"/>
  <c r="D76"/>
  <c r="C76"/>
  <c r="B76"/>
  <c r="A76"/>
  <c r="D75"/>
  <c r="C75"/>
  <c r="B75"/>
  <c r="A75"/>
  <c r="D74"/>
  <c r="C74"/>
  <c r="B74"/>
  <c r="A74"/>
  <c r="A73"/>
  <c r="D72"/>
  <c r="C72"/>
  <c r="B72"/>
  <c r="A72"/>
  <c r="D71"/>
  <c r="C71"/>
  <c r="B71"/>
  <c r="A71"/>
  <c r="D70"/>
  <c r="C70"/>
  <c r="B70"/>
  <c r="A70"/>
  <c r="A69"/>
  <c r="D68"/>
  <c r="C68"/>
  <c r="B68"/>
  <c r="A68"/>
  <c r="D67"/>
  <c r="C67"/>
  <c r="B67"/>
  <c r="A67"/>
  <c r="D66"/>
  <c r="C66"/>
  <c r="B66"/>
  <c r="A66"/>
  <c r="D65"/>
  <c r="C65"/>
  <c r="B65"/>
  <c r="A65"/>
  <c r="D64"/>
  <c r="C64"/>
  <c r="B64"/>
  <c r="A64"/>
  <c r="D63"/>
  <c r="C63"/>
  <c r="B63"/>
  <c r="A63"/>
  <c r="D62"/>
  <c r="C62"/>
  <c r="B62"/>
  <c r="A62"/>
  <c r="D61"/>
  <c r="C61"/>
  <c r="B61"/>
  <c r="A61"/>
  <c r="D60"/>
  <c r="C60"/>
  <c r="B60"/>
  <c r="A60"/>
  <c r="D59"/>
  <c r="C59"/>
  <c r="B59"/>
  <c r="A59"/>
  <c r="D58"/>
  <c r="C58"/>
  <c r="B58"/>
  <c r="A58"/>
  <c r="D57"/>
  <c r="C57"/>
  <c r="B57"/>
  <c r="A57"/>
  <c r="D56"/>
  <c r="C56"/>
  <c r="B56"/>
  <c r="A56"/>
  <c r="D55"/>
  <c r="C55"/>
  <c r="B55"/>
  <c r="A55"/>
  <c r="D54"/>
  <c r="C54"/>
  <c r="B54"/>
  <c r="A54"/>
  <c r="D53"/>
  <c r="C53"/>
  <c r="B53"/>
  <c r="A53"/>
  <c r="D52"/>
  <c r="C52"/>
  <c r="B52"/>
  <c r="A52"/>
  <c r="A51"/>
  <c r="D50"/>
  <c r="C50"/>
  <c r="B50"/>
  <c r="A50"/>
  <c r="D49"/>
  <c r="C49"/>
  <c r="B49"/>
  <c r="A49"/>
  <c r="D48"/>
  <c r="C48"/>
  <c r="B48"/>
  <c r="A48"/>
  <c r="D47"/>
  <c r="C47"/>
  <c r="B47"/>
  <c r="A47"/>
  <c r="D46"/>
  <c r="C46"/>
  <c r="B46"/>
  <c r="A46"/>
  <c r="D45"/>
  <c r="C45"/>
  <c r="B45"/>
  <c r="A45"/>
  <c r="A44"/>
  <c r="D43"/>
  <c r="C43"/>
  <c r="B43"/>
  <c r="A43"/>
  <c r="D42"/>
  <c r="C42"/>
  <c r="B42"/>
  <c r="A42"/>
  <c r="D41"/>
  <c r="C41"/>
  <c r="B41"/>
  <c r="A41"/>
  <c r="D40"/>
  <c r="C40"/>
  <c r="B40"/>
  <c r="A40"/>
  <c r="D39"/>
  <c r="C39"/>
  <c r="B39"/>
  <c r="A39"/>
  <c r="D38"/>
  <c r="C38"/>
  <c r="B38"/>
  <c r="A38"/>
  <c r="D37"/>
  <c r="C37"/>
  <c r="B37"/>
  <c r="A37"/>
  <c r="D36"/>
  <c r="C36"/>
  <c r="B36"/>
  <c r="A36"/>
  <c r="D35"/>
  <c r="C35"/>
  <c r="B35"/>
  <c r="A35"/>
  <c r="D34"/>
  <c r="C34"/>
  <c r="B34"/>
  <c r="A34"/>
  <c r="D33"/>
  <c r="C33"/>
  <c r="B33"/>
  <c r="A33"/>
  <c r="D32"/>
  <c r="C32"/>
  <c r="B32"/>
  <c r="A32"/>
  <c r="A31"/>
  <c r="D30"/>
  <c r="C30"/>
  <c r="B30"/>
  <c r="A30"/>
  <c r="D29"/>
  <c r="C29"/>
  <c r="B29"/>
  <c r="A29"/>
  <c r="D28"/>
  <c r="C28"/>
  <c r="B28"/>
  <c r="A28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A11"/>
  <c r="A1"/>
  <c r="I592" i="6"/>
  <c r="I589"/>
  <c r="D592"/>
  <c r="D589"/>
  <c r="J586"/>
  <c r="D586"/>
  <c r="J585"/>
  <c r="D585"/>
  <c r="J584"/>
  <c r="D584"/>
  <c r="J583"/>
  <c r="D583"/>
  <c r="J582"/>
  <c r="A582"/>
  <c r="AF579"/>
  <c r="J579"/>
  <c r="A579"/>
  <c r="J577"/>
  <c r="D577"/>
  <c r="J576"/>
  <c r="D576"/>
  <c r="J575"/>
  <c r="D575"/>
  <c r="J573"/>
  <c r="A573"/>
  <c r="L571"/>
  <c r="P571"/>
  <c r="J571"/>
  <c r="L570"/>
  <c r="I570"/>
  <c r="H570"/>
  <c r="F570"/>
  <c r="K569"/>
  <c r="F569"/>
  <c r="K568"/>
  <c r="F568"/>
  <c r="K567"/>
  <c r="F567"/>
  <c r="K566"/>
  <c r="J566"/>
  <c r="I566"/>
  <c r="H566"/>
  <c r="G566"/>
  <c r="K565"/>
  <c r="J565"/>
  <c r="I565"/>
  <c r="H565"/>
  <c r="G565"/>
  <c r="K564"/>
  <c r="J564"/>
  <c r="I564"/>
  <c r="H564"/>
  <c r="G564"/>
  <c r="K563"/>
  <c r="J563"/>
  <c r="I563"/>
  <c r="H563"/>
  <c r="G563"/>
  <c r="V562"/>
  <c r="T562"/>
  <c r="R562"/>
  <c r="U562"/>
  <c r="S562"/>
  <c r="Q562"/>
  <c r="F562"/>
  <c r="E562"/>
  <c r="D562"/>
  <c r="C562"/>
  <c r="B562"/>
  <c r="L561"/>
  <c r="P561"/>
  <c r="J561"/>
  <c r="L560"/>
  <c r="I560"/>
  <c r="H560"/>
  <c r="F560"/>
  <c r="K559"/>
  <c r="F559"/>
  <c r="K558"/>
  <c r="F558"/>
  <c r="K557"/>
  <c r="J557"/>
  <c r="I557"/>
  <c r="H557"/>
  <c r="G557"/>
  <c r="K556"/>
  <c r="J556"/>
  <c r="I556"/>
  <c r="H556"/>
  <c r="G556"/>
  <c r="D555"/>
  <c r="V554"/>
  <c r="T554"/>
  <c r="R554"/>
  <c r="U554"/>
  <c r="S554"/>
  <c r="Q554"/>
  <c r="F554"/>
  <c r="E554"/>
  <c r="D554"/>
  <c r="C554"/>
  <c r="B554"/>
  <c r="L553"/>
  <c r="P553"/>
  <c r="J553"/>
  <c r="L552"/>
  <c r="I552"/>
  <c r="H552"/>
  <c r="F552"/>
  <c r="K551"/>
  <c r="F551"/>
  <c r="K550"/>
  <c r="F550"/>
  <c r="K549"/>
  <c r="J549"/>
  <c r="I549"/>
  <c r="H549"/>
  <c r="G549"/>
  <c r="K548"/>
  <c r="J548"/>
  <c r="I548"/>
  <c r="H548"/>
  <c r="G548"/>
  <c r="D547"/>
  <c r="V546"/>
  <c r="T546"/>
  <c r="R546"/>
  <c r="U546"/>
  <c r="S546"/>
  <c r="Q546"/>
  <c r="F546"/>
  <c r="E546"/>
  <c r="D546"/>
  <c r="C546"/>
  <c r="B546"/>
  <c r="L545"/>
  <c r="P545"/>
  <c r="J545"/>
  <c r="L544"/>
  <c r="I544"/>
  <c r="H544"/>
  <c r="F544"/>
  <c r="K543"/>
  <c r="F543"/>
  <c r="K542"/>
  <c r="F542"/>
  <c r="K541"/>
  <c r="J541"/>
  <c r="I541"/>
  <c r="H541"/>
  <c r="G541"/>
  <c r="K540"/>
  <c r="J540"/>
  <c r="I540"/>
  <c r="H540"/>
  <c r="G540"/>
  <c r="D539"/>
  <c r="V538"/>
  <c r="T538"/>
  <c r="R538"/>
  <c r="U538"/>
  <c r="S538"/>
  <c r="Q538"/>
  <c r="F538"/>
  <c r="E538"/>
  <c r="D538"/>
  <c r="C538"/>
  <c r="B538"/>
  <c r="L537"/>
  <c r="P537"/>
  <c r="J537"/>
  <c r="L536"/>
  <c r="I536"/>
  <c r="H536"/>
  <c r="F536"/>
  <c r="K535"/>
  <c r="F535"/>
  <c r="K534"/>
  <c r="F534"/>
  <c r="K533"/>
  <c r="J533"/>
  <c r="I533"/>
  <c r="H533"/>
  <c r="G533"/>
  <c r="V532"/>
  <c r="T532"/>
  <c r="R532"/>
  <c r="U532"/>
  <c r="S532"/>
  <c r="Q532"/>
  <c r="F532"/>
  <c r="E532"/>
  <c r="D532"/>
  <c r="C532"/>
  <c r="B532"/>
  <c r="L531"/>
  <c r="P531"/>
  <c r="J531"/>
  <c r="L530"/>
  <c r="I530"/>
  <c r="H530"/>
  <c r="F530"/>
  <c r="K529"/>
  <c r="F529"/>
  <c r="K528"/>
  <c r="F528"/>
  <c r="K527"/>
  <c r="F527"/>
  <c r="K526"/>
  <c r="J526"/>
  <c r="I526"/>
  <c r="G526"/>
  <c r="V526"/>
  <c r="T526"/>
  <c r="R526"/>
  <c r="U526"/>
  <c r="S526"/>
  <c r="Q526"/>
  <c r="F526"/>
  <c r="E526"/>
  <c r="D526"/>
  <c r="C526"/>
  <c r="B526"/>
  <c r="K525"/>
  <c r="J525"/>
  <c r="I525"/>
  <c r="G525"/>
  <c r="V525"/>
  <c r="T525"/>
  <c r="R525"/>
  <c r="U525"/>
  <c r="S525"/>
  <c r="Q525"/>
  <c r="F525"/>
  <c r="E525"/>
  <c r="D525"/>
  <c r="C525"/>
  <c r="B525"/>
  <c r="K524"/>
  <c r="J524"/>
  <c r="I524"/>
  <c r="H524"/>
  <c r="G524"/>
  <c r="K523"/>
  <c r="J523"/>
  <c r="I523"/>
  <c r="H523"/>
  <c r="G523"/>
  <c r="K522"/>
  <c r="J522"/>
  <c r="I522"/>
  <c r="H522"/>
  <c r="G522"/>
  <c r="K521"/>
  <c r="J521"/>
  <c r="I521"/>
  <c r="H521"/>
  <c r="G521"/>
  <c r="D520"/>
  <c r="V519"/>
  <c r="T519"/>
  <c r="R519"/>
  <c r="U519"/>
  <c r="S519"/>
  <c r="Q519"/>
  <c r="F519"/>
  <c r="E519"/>
  <c r="D519"/>
  <c r="C519"/>
  <c r="B519"/>
  <c r="L518"/>
  <c r="P518"/>
  <c r="J518"/>
  <c r="L517"/>
  <c r="I517"/>
  <c r="H517"/>
  <c r="F517"/>
  <c r="K516"/>
  <c r="F516"/>
  <c r="K515"/>
  <c r="F515"/>
  <c r="K514"/>
  <c r="F514"/>
  <c r="K513"/>
  <c r="J513"/>
  <c r="I513"/>
  <c r="G513"/>
  <c r="V513"/>
  <c r="T513"/>
  <c r="R513"/>
  <c r="U513"/>
  <c r="S513"/>
  <c r="Q513"/>
  <c r="F513"/>
  <c r="E513"/>
  <c r="D513"/>
  <c r="C513"/>
  <c r="B513"/>
  <c r="K512"/>
  <c r="J512"/>
  <c r="I512"/>
  <c r="G512"/>
  <c r="V512"/>
  <c r="T512"/>
  <c r="R512"/>
  <c r="U512"/>
  <c r="S512"/>
  <c r="Q512"/>
  <c r="F512"/>
  <c r="E512"/>
  <c r="D512"/>
  <c r="C512"/>
  <c r="B512"/>
  <c r="K511"/>
  <c r="J511"/>
  <c r="I511"/>
  <c r="H511"/>
  <c r="G511"/>
  <c r="K510"/>
  <c r="J510"/>
  <c r="I510"/>
  <c r="H510"/>
  <c r="G510"/>
  <c r="K509"/>
  <c r="J509"/>
  <c r="I509"/>
  <c r="H509"/>
  <c r="G509"/>
  <c r="K508"/>
  <c r="J508"/>
  <c r="I508"/>
  <c r="H508"/>
  <c r="G508"/>
  <c r="D507"/>
  <c r="V506"/>
  <c r="T506"/>
  <c r="R506"/>
  <c r="U506"/>
  <c r="S506"/>
  <c r="Q506"/>
  <c r="F506"/>
  <c r="E506"/>
  <c r="D506"/>
  <c r="C506"/>
  <c r="B506"/>
  <c r="L505"/>
  <c r="P505"/>
  <c r="J505"/>
  <c r="L504"/>
  <c r="I504"/>
  <c r="H504"/>
  <c r="F504"/>
  <c r="K503"/>
  <c r="F503"/>
  <c r="K502"/>
  <c r="F502"/>
  <c r="K501"/>
  <c r="F501"/>
  <c r="K500"/>
  <c r="J500"/>
  <c r="I500"/>
  <c r="G500"/>
  <c r="V500"/>
  <c r="T500"/>
  <c r="R500"/>
  <c r="U500"/>
  <c r="S500"/>
  <c r="Q500"/>
  <c r="F500"/>
  <c r="E500"/>
  <c r="D500"/>
  <c r="C500"/>
  <c r="B500"/>
  <c r="K499"/>
  <c r="J499"/>
  <c r="I499"/>
  <c r="G499"/>
  <c r="V499"/>
  <c r="T499"/>
  <c r="R499"/>
  <c r="U499"/>
  <c r="S499"/>
  <c r="Q499"/>
  <c r="F499"/>
  <c r="E499"/>
  <c r="D499"/>
  <c r="C499"/>
  <c r="B499"/>
  <c r="K498"/>
  <c r="J498"/>
  <c r="I498"/>
  <c r="H498"/>
  <c r="G498"/>
  <c r="K497"/>
  <c r="J497"/>
  <c r="I497"/>
  <c r="H497"/>
  <c r="G497"/>
  <c r="K496"/>
  <c r="J496"/>
  <c r="I496"/>
  <c r="H496"/>
  <c r="G496"/>
  <c r="K495"/>
  <c r="J495"/>
  <c r="I495"/>
  <c r="H495"/>
  <c r="G495"/>
  <c r="V494"/>
  <c r="T494"/>
  <c r="R494"/>
  <c r="U494"/>
  <c r="S494"/>
  <c r="Q494"/>
  <c r="F494"/>
  <c r="E494"/>
  <c r="D494"/>
  <c r="C494"/>
  <c r="B494"/>
  <c r="L493"/>
  <c r="P493"/>
  <c r="J493"/>
  <c r="L492"/>
  <c r="I492"/>
  <c r="H492"/>
  <c r="F492"/>
  <c r="K491"/>
  <c r="F491"/>
  <c r="K490"/>
  <c r="F490"/>
  <c r="K489"/>
  <c r="J489"/>
  <c r="I489"/>
  <c r="H489"/>
  <c r="G489"/>
  <c r="K488"/>
  <c r="J488"/>
  <c r="I488"/>
  <c r="H488"/>
  <c r="G488"/>
  <c r="V487"/>
  <c r="T487"/>
  <c r="R487"/>
  <c r="U487"/>
  <c r="S487"/>
  <c r="Q487"/>
  <c r="F487"/>
  <c r="E487"/>
  <c r="D487"/>
  <c r="C487"/>
  <c r="B487"/>
  <c r="L486"/>
  <c r="P486"/>
  <c r="J486"/>
  <c r="L485"/>
  <c r="I485"/>
  <c r="H485"/>
  <c r="F485"/>
  <c r="K484"/>
  <c r="F484"/>
  <c r="K483"/>
  <c r="F483"/>
  <c r="K482"/>
  <c r="J482"/>
  <c r="I482"/>
  <c r="H482"/>
  <c r="G482"/>
  <c r="K481"/>
  <c r="J481"/>
  <c r="I481"/>
  <c r="H481"/>
  <c r="G481"/>
  <c r="D480"/>
  <c r="V479"/>
  <c r="T479"/>
  <c r="R479"/>
  <c r="U479"/>
  <c r="S479"/>
  <c r="Q479"/>
  <c r="F479"/>
  <c r="E479"/>
  <c r="D479"/>
  <c r="C479"/>
  <c r="B479"/>
  <c r="L478"/>
  <c r="P478"/>
  <c r="J478"/>
  <c r="L477"/>
  <c r="I477"/>
  <c r="H477"/>
  <c r="F477"/>
  <c r="K476"/>
  <c r="F476"/>
  <c r="K475"/>
  <c r="F475"/>
  <c r="K474"/>
  <c r="J474"/>
  <c r="I474"/>
  <c r="H474"/>
  <c r="G474"/>
  <c r="K473"/>
  <c r="J473"/>
  <c r="I473"/>
  <c r="H473"/>
  <c r="G473"/>
  <c r="D472"/>
  <c r="V471"/>
  <c r="T471"/>
  <c r="R471"/>
  <c r="U471"/>
  <c r="S471"/>
  <c r="Q471"/>
  <c r="F471"/>
  <c r="E471"/>
  <c r="D471"/>
  <c r="C471"/>
  <c r="B471"/>
  <c r="L470"/>
  <c r="P470"/>
  <c r="J470"/>
  <c r="L469"/>
  <c r="I469"/>
  <c r="H469"/>
  <c r="F469"/>
  <c r="K468"/>
  <c r="F468"/>
  <c r="K467"/>
  <c r="F467"/>
  <c r="K466"/>
  <c r="F466"/>
  <c r="K465"/>
  <c r="J465"/>
  <c r="I465"/>
  <c r="H465"/>
  <c r="G465"/>
  <c r="K464"/>
  <c r="J464"/>
  <c r="I464"/>
  <c r="H464"/>
  <c r="G464"/>
  <c r="K463"/>
  <c r="J463"/>
  <c r="I463"/>
  <c r="H463"/>
  <c r="G463"/>
  <c r="K462"/>
  <c r="J462"/>
  <c r="I462"/>
  <c r="H462"/>
  <c r="G462"/>
  <c r="D461"/>
  <c r="V460"/>
  <c r="T460"/>
  <c r="R460"/>
  <c r="U460"/>
  <c r="S460"/>
  <c r="Q460"/>
  <c r="F460"/>
  <c r="E460"/>
  <c r="D460"/>
  <c r="C460"/>
  <c r="B460"/>
  <c r="L459"/>
  <c r="P459"/>
  <c r="J459"/>
  <c r="L458"/>
  <c r="I458"/>
  <c r="H458"/>
  <c r="F458"/>
  <c r="K457"/>
  <c r="F457"/>
  <c r="K456"/>
  <c r="F456"/>
  <c r="K455"/>
  <c r="F455"/>
  <c r="K454"/>
  <c r="J454"/>
  <c r="I454"/>
  <c r="H454"/>
  <c r="G454"/>
  <c r="K453"/>
  <c r="J453"/>
  <c r="I453"/>
  <c r="H453"/>
  <c r="G453"/>
  <c r="K452"/>
  <c r="J452"/>
  <c r="I452"/>
  <c r="H452"/>
  <c r="G452"/>
  <c r="K451"/>
  <c r="J451"/>
  <c r="I451"/>
  <c r="H451"/>
  <c r="G451"/>
  <c r="D450"/>
  <c r="V449"/>
  <c r="T449"/>
  <c r="R449"/>
  <c r="U449"/>
  <c r="S449"/>
  <c r="Q449"/>
  <c r="F449"/>
  <c r="E449"/>
  <c r="D449"/>
  <c r="C449"/>
  <c r="B449"/>
  <c r="L448"/>
  <c r="P448"/>
  <c r="J448"/>
  <c r="L447"/>
  <c r="I447"/>
  <c r="H447"/>
  <c r="F447"/>
  <c r="K446"/>
  <c r="F446"/>
  <c r="K445"/>
  <c r="F445"/>
  <c r="K444"/>
  <c r="F444"/>
  <c r="K443"/>
  <c r="J443"/>
  <c r="I443"/>
  <c r="H443"/>
  <c r="G443"/>
  <c r="K442"/>
  <c r="J442"/>
  <c r="I442"/>
  <c r="H442"/>
  <c r="G442"/>
  <c r="K441"/>
  <c r="J441"/>
  <c r="I441"/>
  <c r="H441"/>
  <c r="G441"/>
  <c r="K440"/>
  <c r="J440"/>
  <c r="I440"/>
  <c r="H440"/>
  <c r="G440"/>
  <c r="D439"/>
  <c r="V438"/>
  <c r="T438"/>
  <c r="R438"/>
  <c r="U438"/>
  <c r="S438"/>
  <c r="Q438"/>
  <c r="F438"/>
  <c r="E438"/>
  <c r="D438"/>
  <c r="C438"/>
  <c r="B438"/>
  <c r="L437"/>
  <c r="P437"/>
  <c r="J437"/>
  <c r="L436"/>
  <c r="I436"/>
  <c r="H436"/>
  <c r="F436"/>
  <c r="K435"/>
  <c r="F435"/>
  <c r="K434"/>
  <c r="F434"/>
  <c r="K433"/>
  <c r="J433"/>
  <c r="I433"/>
  <c r="H433"/>
  <c r="G433"/>
  <c r="D432"/>
  <c r="V431"/>
  <c r="T431"/>
  <c r="R431"/>
  <c r="U431"/>
  <c r="S431"/>
  <c r="Q431"/>
  <c r="F431"/>
  <c r="E431"/>
  <c r="D431"/>
  <c r="C431"/>
  <c r="B431"/>
  <c r="L430"/>
  <c r="P430"/>
  <c r="J430"/>
  <c r="K429"/>
  <c r="F429"/>
  <c r="K428"/>
  <c r="J428"/>
  <c r="I428"/>
  <c r="H428"/>
  <c r="G428"/>
  <c r="K427"/>
  <c r="J427"/>
  <c r="I427"/>
  <c r="H427"/>
  <c r="G427"/>
  <c r="D426"/>
  <c r="V425"/>
  <c r="T425"/>
  <c r="R425"/>
  <c r="U425"/>
  <c r="S425"/>
  <c r="Q425"/>
  <c r="F425"/>
  <c r="E425"/>
  <c r="D425"/>
  <c r="C425"/>
  <c r="B425"/>
  <c r="L424"/>
  <c r="P424"/>
  <c r="J424"/>
  <c r="L423"/>
  <c r="I423"/>
  <c r="H423"/>
  <c r="F423"/>
  <c r="K422"/>
  <c r="F422"/>
  <c r="K421"/>
  <c r="F421"/>
  <c r="K420"/>
  <c r="F420"/>
  <c r="K419"/>
  <c r="J419"/>
  <c r="I419"/>
  <c r="H419"/>
  <c r="G419"/>
  <c r="K418"/>
  <c r="J418"/>
  <c r="I418"/>
  <c r="H418"/>
  <c r="G418"/>
  <c r="K417"/>
  <c r="J417"/>
  <c r="I417"/>
  <c r="H417"/>
  <c r="G417"/>
  <c r="D416"/>
  <c r="V415"/>
  <c r="T415"/>
  <c r="R415"/>
  <c r="U415"/>
  <c r="S415"/>
  <c r="Q415"/>
  <c r="F415"/>
  <c r="E415"/>
  <c r="D415"/>
  <c r="C415"/>
  <c r="B415"/>
  <c r="L414"/>
  <c r="P414"/>
  <c r="J414"/>
  <c r="L413"/>
  <c r="I413"/>
  <c r="H413"/>
  <c r="F413"/>
  <c r="K412"/>
  <c r="F412"/>
  <c r="K411"/>
  <c r="F411"/>
  <c r="K410"/>
  <c r="J410"/>
  <c r="I410"/>
  <c r="H410"/>
  <c r="G410"/>
  <c r="D409"/>
  <c r="V408"/>
  <c r="T408"/>
  <c r="R408"/>
  <c r="U408"/>
  <c r="S408"/>
  <c r="Q408"/>
  <c r="F408"/>
  <c r="E408"/>
  <c r="D408"/>
  <c r="C408"/>
  <c r="B408"/>
  <c r="A407"/>
  <c r="J405"/>
  <c r="D405"/>
  <c r="J404"/>
  <c r="D404"/>
  <c r="J403"/>
  <c r="D403"/>
  <c r="AF401"/>
  <c r="J401"/>
  <c r="A401"/>
  <c r="L399"/>
  <c r="P399"/>
  <c r="J399"/>
  <c r="L398"/>
  <c r="I398"/>
  <c r="H398"/>
  <c r="F398"/>
  <c r="K397"/>
  <c r="F397"/>
  <c r="K396"/>
  <c r="F396"/>
  <c r="K395"/>
  <c r="J395"/>
  <c r="I395"/>
  <c r="H395"/>
  <c r="G395"/>
  <c r="K394"/>
  <c r="J394"/>
  <c r="I394"/>
  <c r="H394"/>
  <c r="G394"/>
  <c r="D393"/>
  <c r="V392"/>
  <c r="T392"/>
  <c r="R392"/>
  <c r="U392"/>
  <c r="S392"/>
  <c r="Q392"/>
  <c r="F392"/>
  <c r="E392"/>
  <c r="D392"/>
  <c r="C392"/>
  <c r="B392"/>
  <c r="L391"/>
  <c r="P391"/>
  <c r="J391"/>
  <c r="L390"/>
  <c r="I390"/>
  <c r="H390"/>
  <c r="F390"/>
  <c r="K389"/>
  <c r="F389"/>
  <c r="K388"/>
  <c r="F388"/>
  <c r="K387"/>
  <c r="J387"/>
  <c r="I387"/>
  <c r="H387"/>
  <c r="G387"/>
  <c r="K386"/>
  <c r="J386"/>
  <c r="I386"/>
  <c r="H386"/>
  <c r="G386"/>
  <c r="D385"/>
  <c r="V384"/>
  <c r="T384"/>
  <c r="R384"/>
  <c r="U384"/>
  <c r="S384"/>
  <c r="Q384"/>
  <c r="F384"/>
  <c r="E384"/>
  <c r="D384"/>
  <c r="C384"/>
  <c r="B384"/>
  <c r="L383"/>
  <c r="P383"/>
  <c r="J383"/>
  <c r="L382"/>
  <c r="I382"/>
  <c r="H382"/>
  <c r="F382"/>
  <c r="K381"/>
  <c r="F381"/>
  <c r="K380"/>
  <c r="F380"/>
  <c r="K379"/>
  <c r="J379"/>
  <c r="I379"/>
  <c r="H379"/>
  <c r="G379"/>
  <c r="K378"/>
  <c r="J378"/>
  <c r="I378"/>
  <c r="H378"/>
  <c r="G378"/>
  <c r="D377"/>
  <c r="V376"/>
  <c r="T376"/>
  <c r="R376"/>
  <c r="U376"/>
  <c r="S376"/>
  <c r="Q376"/>
  <c r="F376"/>
  <c r="E376"/>
  <c r="D376"/>
  <c r="C376"/>
  <c r="B376"/>
  <c r="L375"/>
  <c r="P375"/>
  <c r="J375"/>
  <c r="L374"/>
  <c r="I374"/>
  <c r="H374"/>
  <c r="F374"/>
  <c r="K373"/>
  <c r="F373"/>
  <c r="K372"/>
  <c r="F372"/>
  <c r="K371"/>
  <c r="F371"/>
  <c r="K370"/>
  <c r="J370"/>
  <c r="I370"/>
  <c r="H370"/>
  <c r="G370"/>
  <c r="K369"/>
  <c r="J369"/>
  <c r="I369"/>
  <c r="H369"/>
  <c r="G369"/>
  <c r="K368"/>
  <c r="J368"/>
  <c r="I368"/>
  <c r="H368"/>
  <c r="G368"/>
  <c r="K367"/>
  <c r="J367"/>
  <c r="I367"/>
  <c r="H367"/>
  <c r="G367"/>
  <c r="D366"/>
  <c r="V365"/>
  <c r="T365"/>
  <c r="R365"/>
  <c r="U365"/>
  <c r="S365"/>
  <c r="Q365"/>
  <c r="F365"/>
  <c r="E365"/>
  <c r="D365"/>
  <c r="C365"/>
  <c r="B365"/>
  <c r="A364"/>
  <c r="J362"/>
  <c r="D362"/>
  <c r="J361"/>
  <c r="D361"/>
  <c r="J360"/>
  <c r="D360"/>
  <c r="J358"/>
  <c r="A358"/>
  <c r="L356"/>
  <c r="P356"/>
  <c r="J356"/>
  <c r="L355"/>
  <c r="I355"/>
  <c r="H355"/>
  <c r="F355"/>
  <c r="K354"/>
  <c r="F354"/>
  <c r="K353"/>
  <c r="F353"/>
  <c r="K352"/>
  <c r="F352"/>
  <c r="K351"/>
  <c r="J351"/>
  <c r="I351"/>
  <c r="H351"/>
  <c r="G351"/>
  <c r="K350"/>
  <c r="J350"/>
  <c r="I350"/>
  <c r="H350"/>
  <c r="G350"/>
  <c r="K349"/>
  <c r="J349"/>
  <c r="I349"/>
  <c r="H349"/>
  <c r="G349"/>
  <c r="K348"/>
  <c r="J348"/>
  <c r="I348"/>
  <c r="H348"/>
  <c r="G348"/>
  <c r="D347"/>
  <c r="V346"/>
  <c r="T346"/>
  <c r="R346"/>
  <c r="U346"/>
  <c r="S346"/>
  <c r="Q346"/>
  <c r="F346"/>
  <c r="E346"/>
  <c r="D346"/>
  <c r="C346"/>
  <c r="B346"/>
  <c r="L345"/>
  <c r="P345"/>
  <c r="J345"/>
  <c r="L344"/>
  <c r="I344"/>
  <c r="H344"/>
  <c r="F344"/>
  <c r="K343"/>
  <c r="F343"/>
  <c r="K342"/>
  <c r="F342"/>
  <c r="K341"/>
  <c r="J341"/>
  <c r="I341"/>
  <c r="H341"/>
  <c r="G341"/>
  <c r="K340"/>
  <c r="J340"/>
  <c r="I340"/>
  <c r="H340"/>
  <c r="G340"/>
  <c r="D339"/>
  <c r="V338"/>
  <c r="T338"/>
  <c r="R338"/>
  <c r="U338"/>
  <c r="S338"/>
  <c r="Q338"/>
  <c r="F338"/>
  <c r="E338"/>
  <c r="D338"/>
  <c r="C338"/>
  <c r="B338"/>
  <c r="L337"/>
  <c r="P337"/>
  <c r="J337"/>
  <c r="L336"/>
  <c r="I336"/>
  <c r="H336"/>
  <c r="F336"/>
  <c r="K335"/>
  <c r="F335"/>
  <c r="K334"/>
  <c r="F334"/>
  <c r="K333"/>
  <c r="J333"/>
  <c r="I333"/>
  <c r="H333"/>
  <c r="G333"/>
  <c r="K332"/>
  <c r="J332"/>
  <c r="I332"/>
  <c r="H332"/>
  <c r="G332"/>
  <c r="D331"/>
  <c r="V330"/>
  <c r="T330"/>
  <c r="R330"/>
  <c r="U330"/>
  <c r="S330"/>
  <c r="Q330"/>
  <c r="F330"/>
  <c r="E330"/>
  <c r="D330"/>
  <c r="C330"/>
  <c r="B330"/>
  <c r="A329"/>
  <c r="J327"/>
  <c r="D327"/>
  <c r="J326"/>
  <c r="D326"/>
  <c r="J325"/>
  <c r="D325"/>
  <c r="J323"/>
  <c r="A323"/>
  <c r="L321"/>
  <c r="P321"/>
  <c r="J321"/>
  <c r="L320"/>
  <c r="I320"/>
  <c r="H320"/>
  <c r="F320"/>
  <c r="K319"/>
  <c r="F319"/>
  <c r="K318"/>
  <c r="F318"/>
  <c r="K317"/>
  <c r="F317"/>
  <c r="K316"/>
  <c r="J316"/>
  <c r="I316"/>
  <c r="G316"/>
  <c r="V316"/>
  <c r="T316"/>
  <c r="R316"/>
  <c r="U316"/>
  <c r="S316"/>
  <c r="Q316"/>
  <c r="F316"/>
  <c r="E316"/>
  <c r="D316"/>
  <c r="C316"/>
  <c r="B316"/>
  <c r="K315"/>
  <c r="J315"/>
  <c r="I315"/>
  <c r="G315"/>
  <c r="V315"/>
  <c r="T315"/>
  <c r="R315"/>
  <c r="U315"/>
  <c r="S315"/>
  <c r="Q315"/>
  <c r="F315"/>
  <c r="E315"/>
  <c r="D315"/>
  <c r="C315"/>
  <c r="B315"/>
  <c r="K314"/>
  <c r="J314"/>
  <c r="I314"/>
  <c r="G314"/>
  <c r="V314"/>
  <c r="T314"/>
  <c r="R314"/>
  <c r="U314"/>
  <c r="S314"/>
  <c r="Q314"/>
  <c r="F314"/>
  <c r="E314"/>
  <c r="D314"/>
  <c r="C314"/>
  <c r="B314"/>
  <c r="K313"/>
  <c r="J313"/>
  <c r="I313"/>
  <c r="G313"/>
  <c r="V313"/>
  <c r="T313"/>
  <c r="R313"/>
  <c r="U313"/>
  <c r="S313"/>
  <c r="Q313"/>
  <c r="F313"/>
  <c r="E313"/>
  <c r="D313"/>
  <c r="C313"/>
  <c r="B313"/>
  <c r="K312"/>
  <c r="J312"/>
  <c r="I312"/>
  <c r="G312"/>
  <c r="V312"/>
  <c r="T312"/>
  <c r="R312"/>
  <c r="U312"/>
  <c r="S312"/>
  <c r="Q312"/>
  <c r="F312"/>
  <c r="E312"/>
  <c r="D312"/>
  <c r="C312"/>
  <c r="B312"/>
  <c r="K311"/>
  <c r="J311"/>
  <c r="I311"/>
  <c r="H311"/>
  <c r="G311"/>
  <c r="K310"/>
  <c r="J310"/>
  <c r="I310"/>
  <c r="H310"/>
  <c r="G310"/>
  <c r="K309"/>
  <c r="J309"/>
  <c r="I309"/>
  <c r="H309"/>
  <c r="G309"/>
  <c r="K308"/>
  <c r="J308"/>
  <c r="I308"/>
  <c r="H308"/>
  <c r="G308"/>
  <c r="D307"/>
  <c r="V306"/>
  <c r="T306"/>
  <c r="R306"/>
  <c r="U306"/>
  <c r="S306"/>
  <c r="Q306"/>
  <c r="F306"/>
  <c r="E306"/>
  <c r="D306"/>
  <c r="C306"/>
  <c r="B306"/>
  <c r="L305"/>
  <c r="P305"/>
  <c r="J305"/>
  <c r="L304"/>
  <c r="I304"/>
  <c r="H304"/>
  <c r="F304"/>
  <c r="K303"/>
  <c r="F303"/>
  <c r="K302"/>
  <c r="F302"/>
  <c r="K301"/>
  <c r="J301"/>
  <c r="I301"/>
  <c r="H301"/>
  <c r="G301"/>
  <c r="D300"/>
  <c r="V299"/>
  <c r="T299"/>
  <c r="R299"/>
  <c r="U299"/>
  <c r="S299"/>
  <c r="Q299"/>
  <c r="F299"/>
  <c r="E299"/>
  <c r="D299"/>
  <c r="C299"/>
  <c r="B299"/>
  <c r="L298"/>
  <c r="P298"/>
  <c r="J298"/>
  <c r="K297"/>
  <c r="F297"/>
  <c r="K296"/>
  <c r="J296"/>
  <c r="I296"/>
  <c r="H296"/>
  <c r="G296"/>
  <c r="K295"/>
  <c r="J295"/>
  <c r="I295"/>
  <c r="H295"/>
  <c r="G295"/>
  <c r="D294"/>
  <c r="V293"/>
  <c r="T293"/>
  <c r="R293"/>
  <c r="U293"/>
  <c r="S293"/>
  <c r="Q293"/>
  <c r="F293"/>
  <c r="E293"/>
  <c r="D293"/>
  <c r="C293"/>
  <c r="B293"/>
  <c r="L292"/>
  <c r="P292"/>
  <c r="J292"/>
  <c r="L291"/>
  <c r="I291"/>
  <c r="H291"/>
  <c r="F291"/>
  <c r="K290"/>
  <c r="F290"/>
  <c r="K289"/>
  <c r="F289"/>
  <c r="K288"/>
  <c r="F288"/>
  <c r="K287"/>
  <c r="J287"/>
  <c r="I287"/>
  <c r="H287"/>
  <c r="G287"/>
  <c r="K286"/>
  <c r="J286"/>
  <c r="I286"/>
  <c r="H286"/>
  <c r="G286"/>
  <c r="K285"/>
  <c r="J285"/>
  <c r="I285"/>
  <c r="H285"/>
  <c r="G285"/>
  <c r="K284"/>
  <c r="J284"/>
  <c r="I284"/>
  <c r="H284"/>
  <c r="G284"/>
  <c r="D283"/>
  <c r="V282"/>
  <c r="T282"/>
  <c r="R282"/>
  <c r="U282"/>
  <c r="S282"/>
  <c r="Q282"/>
  <c r="F282"/>
  <c r="E282"/>
  <c r="D282"/>
  <c r="C282"/>
  <c r="B282"/>
  <c r="L281"/>
  <c r="P281"/>
  <c r="J281"/>
  <c r="L280"/>
  <c r="I280"/>
  <c r="H280"/>
  <c r="F280"/>
  <c r="K279"/>
  <c r="F279"/>
  <c r="K278"/>
  <c r="F278"/>
  <c r="K277"/>
  <c r="J277"/>
  <c r="I277"/>
  <c r="H277"/>
  <c r="G277"/>
  <c r="K276"/>
  <c r="J276"/>
  <c r="I276"/>
  <c r="H276"/>
  <c r="G276"/>
  <c r="D275"/>
  <c r="V274"/>
  <c r="T274"/>
  <c r="R274"/>
  <c r="U274"/>
  <c r="S274"/>
  <c r="Q274"/>
  <c r="F274"/>
  <c r="E274"/>
  <c r="D274"/>
  <c r="C274"/>
  <c r="B274"/>
  <c r="L273"/>
  <c r="P273"/>
  <c r="J273"/>
  <c r="L272"/>
  <c r="I272"/>
  <c r="H272"/>
  <c r="F272"/>
  <c r="K271"/>
  <c r="F271"/>
  <c r="K270"/>
  <c r="F270"/>
  <c r="K269"/>
  <c r="F269"/>
  <c r="K268"/>
  <c r="J268"/>
  <c r="I268"/>
  <c r="G268"/>
  <c r="V268"/>
  <c r="T268"/>
  <c r="R268"/>
  <c r="U268"/>
  <c r="S268"/>
  <c r="Q268"/>
  <c r="F268"/>
  <c r="E268"/>
  <c r="D268"/>
  <c r="C268"/>
  <c r="B268"/>
  <c r="K267"/>
  <c r="J267"/>
  <c r="I267"/>
  <c r="G267"/>
  <c r="V267"/>
  <c r="T267"/>
  <c r="R267"/>
  <c r="U267"/>
  <c r="S267"/>
  <c r="Q267"/>
  <c r="F267"/>
  <c r="E267"/>
  <c r="D267"/>
  <c r="C267"/>
  <c r="B267"/>
  <c r="K266"/>
  <c r="J266"/>
  <c r="I266"/>
  <c r="H266"/>
  <c r="G266"/>
  <c r="K265"/>
  <c r="J265"/>
  <c r="I265"/>
  <c r="H265"/>
  <c r="G265"/>
  <c r="K264"/>
  <c r="J264"/>
  <c r="I264"/>
  <c r="H264"/>
  <c r="G264"/>
  <c r="K263"/>
  <c r="J263"/>
  <c r="I263"/>
  <c r="H263"/>
  <c r="G263"/>
  <c r="D262"/>
  <c r="V261"/>
  <c r="T261"/>
  <c r="R261"/>
  <c r="U261"/>
  <c r="S261"/>
  <c r="Q261"/>
  <c r="F261"/>
  <c r="E261"/>
  <c r="D261"/>
  <c r="C261"/>
  <c r="B261"/>
  <c r="L260"/>
  <c r="P260"/>
  <c r="J260"/>
  <c r="L259"/>
  <c r="I259"/>
  <c r="H259"/>
  <c r="F259"/>
  <c r="K258"/>
  <c r="F258"/>
  <c r="K257"/>
  <c r="F257"/>
  <c r="K256"/>
  <c r="J256"/>
  <c r="I256"/>
  <c r="H256"/>
  <c r="G256"/>
  <c r="D255"/>
  <c r="V254"/>
  <c r="T254"/>
  <c r="R254"/>
  <c r="U254"/>
  <c r="S254"/>
  <c r="Q254"/>
  <c r="F254"/>
  <c r="E254"/>
  <c r="D254"/>
  <c r="C254"/>
  <c r="B254"/>
  <c r="L253"/>
  <c r="P253"/>
  <c r="J253"/>
  <c r="K252"/>
  <c r="F252"/>
  <c r="K251"/>
  <c r="J251"/>
  <c r="I251"/>
  <c r="H251"/>
  <c r="G251"/>
  <c r="K250"/>
  <c r="J250"/>
  <c r="I250"/>
  <c r="H250"/>
  <c r="G250"/>
  <c r="D249"/>
  <c r="V248"/>
  <c r="T248"/>
  <c r="R248"/>
  <c r="U248"/>
  <c r="S248"/>
  <c r="Q248"/>
  <c r="F248"/>
  <c r="E248"/>
  <c r="D248"/>
  <c r="C248"/>
  <c r="B248"/>
  <c r="L247"/>
  <c r="P247"/>
  <c r="J247"/>
  <c r="L246"/>
  <c r="I246"/>
  <c r="H246"/>
  <c r="F246"/>
  <c r="K245"/>
  <c r="F245"/>
  <c r="K244"/>
  <c r="F244"/>
  <c r="K243"/>
  <c r="J243"/>
  <c r="I243"/>
  <c r="H243"/>
  <c r="G243"/>
  <c r="K242"/>
  <c r="J242"/>
  <c r="I242"/>
  <c r="H242"/>
  <c r="G242"/>
  <c r="D241"/>
  <c r="V240"/>
  <c r="T240"/>
  <c r="R240"/>
  <c r="U240"/>
  <c r="S240"/>
  <c r="Q240"/>
  <c r="F240"/>
  <c r="E240"/>
  <c r="D240"/>
  <c r="C240"/>
  <c r="B240"/>
  <c r="L239"/>
  <c r="P239"/>
  <c r="J239"/>
  <c r="L238"/>
  <c r="I238"/>
  <c r="H238"/>
  <c r="F238"/>
  <c r="K237"/>
  <c r="F237"/>
  <c r="K236"/>
  <c r="F236"/>
  <c r="K235"/>
  <c r="F235"/>
  <c r="K234"/>
  <c r="J234"/>
  <c r="I234"/>
  <c r="H234"/>
  <c r="G234"/>
  <c r="K233"/>
  <c r="J233"/>
  <c r="I233"/>
  <c r="H233"/>
  <c r="G233"/>
  <c r="K232"/>
  <c r="J232"/>
  <c r="I232"/>
  <c r="H232"/>
  <c r="G232"/>
  <c r="K231"/>
  <c r="J231"/>
  <c r="I231"/>
  <c r="H231"/>
  <c r="G231"/>
  <c r="D230"/>
  <c r="V229"/>
  <c r="T229"/>
  <c r="R229"/>
  <c r="U229"/>
  <c r="S229"/>
  <c r="Q229"/>
  <c r="F229"/>
  <c r="E229"/>
  <c r="D229"/>
  <c r="C229"/>
  <c r="B229"/>
  <c r="A228"/>
  <c r="J226"/>
  <c r="D226"/>
  <c r="J225"/>
  <c r="D225"/>
  <c r="J224"/>
  <c r="D224"/>
  <c r="J222"/>
  <c r="A222"/>
  <c r="L220"/>
  <c r="P220"/>
  <c r="J220"/>
  <c r="L219"/>
  <c r="I219"/>
  <c r="H219"/>
  <c r="F219"/>
  <c r="K218"/>
  <c r="F218"/>
  <c r="K217"/>
  <c r="F217"/>
  <c r="K216"/>
  <c r="F216"/>
  <c r="K215"/>
  <c r="J215"/>
  <c r="I215"/>
  <c r="G215"/>
  <c r="V215"/>
  <c r="T215"/>
  <c r="R215"/>
  <c r="U215"/>
  <c r="S215"/>
  <c r="Q215"/>
  <c r="F215"/>
  <c r="E215"/>
  <c r="D215"/>
  <c r="C215"/>
  <c r="B215"/>
  <c r="K214"/>
  <c r="J214"/>
  <c r="I214"/>
  <c r="H214"/>
  <c r="G214"/>
  <c r="K213"/>
  <c r="J213"/>
  <c r="I213"/>
  <c r="H213"/>
  <c r="G213"/>
  <c r="K212"/>
  <c r="J212"/>
  <c r="I212"/>
  <c r="H212"/>
  <c r="G212"/>
  <c r="K211"/>
  <c r="J211"/>
  <c r="I211"/>
  <c r="H211"/>
  <c r="G211"/>
  <c r="D210"/>
  <c r="V209"/>
  <c r="T209"/>
  <c r="R209"/>
  <c r="U209"/>
  <c r="S209"/>
  <c r="Q209"/>
  <c r="F209"/>
  <c r="E209"/>
  <c r="D209"/>
  <c r="C209"/>
  <c r="B209"/>
  <c r="L208"/>
  <c r="P208"/>
  <c r="J208"/>
  <c r="L207"/>
  <c r="I207"/>
  <c r="H207"/>
  <c r="F207"/>
  <c r="K206"/>
  <c r="F206"/>
  <c r="K205"/>
  <c r="F205"/>
  <c r="K204"/>
  <c r="J204"/>
  <c r="I204"/>
  <c r="H204"/>
  <c r="G204"/>
  <c r="D203"/>
  <c r="V202"/>
  <c r="T202"/>
  <c r="R202"/>
  <c r="U202"/>
  <c r="S202"/>
  <c r="Q202"/>
  <c r="F202"/>
  <c r="E202"/>
  <c r="D202"/>
  <c r="C202"/>
  <c r="B202"/>
  <c r="L201"/>
  <c r="P201"/>
  <c r="J201"/>
  <c r="K200"/>
  <c r="F200"/>
  <c r="K199"/>
  <c r="J199"/>
  <c r="I199"/>
  <c r="H199"/>
  <c r="G199"/>
  <c r="K198"/>
  <c r="J198"/>
  <c r="I198"/>
  <c r="H198"/>
  <c r="G198"/>
  <c r="D197"/>
  <c r="V196"/>
  <c r="T196"/>
  <c r="R196"/>
  <c r="U196"/>
  <c r="S196"/>
  <c r="Q196"/>
  <c r="F196"/>
  <c r="E196"/>
  <c r="D196"/>
  <c r="C196"/>
  <c r="B196"/>
  <c r="L195"/>
  <c r="P195"/>
  <c r="J195"/>
  <c r="L194"/>
  <c r="I194"/>
  <c r="H194"/>
  <c r="F194"/>
  <c r="K193"/>
  <c r="F193"/>
  <c r="K192"/>
  <c r="F192"/>
  <c r="K191"/>
  <c r="J191"/>
  <c r="I191"/>
  <c r="H191"/>
  <c r="G191"/>
  <c r="K190"/>
  <c r="J190"/>
  <c r="I190"/>
  <c r="H190"/>
  <c r="G190"/>
  <c r="D189"/>
  <c r="V188"/>
  <c r="T188"/>
  <c r="R188"/>
  <c r="U188"/>
  <c r="S188"/>
  <c r="Q188"/>
  <c r="F188"/>
  <c r="E188"/>
  <c r="D188"/>
  <c r="C188"/>
  <c r="B188"/>
  <c r="L187"/>
  <c r="P187"/>
  <c r="J187"/>
  <c r="L186"/>
  <c r="I186"/>
  <c r="H186"/>
  <c r="F186"/>
  <c r="K185"/>
  <c r="F185"/>
  <c r="K184"/>
  <c r="F184"/>
  <c r="K183"/>
  <c r="F183"/>
  <c r="K182"/>
  <c r="J182"/>
  <c r="I182"/>
  <c r="H182"/>
  <c r="G182"/>
  <c r="K181"/>
  <c r="J181"/>
  <c r="I181"/>
  <c r="H181"/>
  <c r="G181"/>
  <c r="K180"/>
  <c r="J180"/>
  <c r="I180"/>
  <c r="H180"/>
  <c r="G180"/>
  <c r="K179"/>
  <c r="J179"/>
  <c r="I179"/>
  <c r="H179"/>
  <c r="G179"/>
  <c r="D178"/>
  <c r="V177"/>
  <c r="T177"/>
  <c r="R177"/>
  <c r="U177"/>
  <c r="S177"/>
  <c r="Q177"/>
  <c r="F177"/>
  <c r="E177"/>
  <c r="D177"/>
  <c r="C177"/>
  <c r="B177"/>
  <c r="A176"/>
  <c r="J174"/>
  <c r="D174"/>
  <c r="J173"/>
  <c r="D173"/>
  <c r="J172"/>
  <c r="D172"/>
  <c r="J170"/>
  <c r="A170"/>
  <c r="L168"/>
  <c r="P168"/>
  <c r="J168"/>
  <c r="L167"/>
  <c r="I167"/>
  <c r="H167"/>
  <c r="F167"/>
  <c r="K166"/>
  <c r="F166"/>
  <c r="K165"/>
  <c r="F165"/>
  <c r="K164"/>
  <c r="F164"/>
  <c r="K163"/>
  <c r="J163"/>
  <c r="I163"/>
  <c r="G163"/>
  <c r="V163"/>
  <c r="T163"/>
  <c r="R163"/>
  <c r="U163"/>
  <c r="S163"/>
  <c r="Q163"/>
  <c r="F163"/>
  <c r="E163"/>
  <c r="D163"/>
  <c r="C163"/>
  <c r="B163"/>
  <c r="K162"/>
  <c r="J162"/>
  <c r="I162"/>
  <c r="G162"/>
  <c r="V162"/>
  <c r="T162"/>
  <c r="R162"/>
  <c r="U162"/>
  <c r="S162"/>
  <c r="Q162"/>
  <c r="F162"/>
  <c r="E162"/>
  <c r="D162"/>
  <c r="C162"/>
  <c r="B162"/>
  <c r="K161"/>
  <c r="J161"/>
  <c r="I161"/>
  <c r="G161"/>
  <c r="V161"/>
  <c r="T161"/>
  <c r="R161"/>
  <c r="U161"/>
  <c r="S161"/>
  <c r="Q161"/>
  <c r="F161"/>
  <c r="E161"/>
  <c r="D161"/>
  <c r="C161"/>
  <c r="B161"/>
  <c r="K160"/>
  <c r="J160"/>
  <c r="I160"/>
  <c r="G160"/>
  <c r="V160"/>
  <c r="T160"/>
  <c r="R160"/>
  <c r="U160"/>
  <c r="S160"/>
  <c r="Q160"/>
  <c r="F160"/>
  <c r="E160"/>
  <c r="D160"/>
  <c r="C160"/>
  <c r="B160"/>
  <c r="K159"/>
  <c r="J159"/>
  <c r="I159"/>
  <c r="G159"/>
  <c r="V159"/>
  <c r="T159"/>
  <c r="R159"/>
  <c r="U159"/>
  <c r="S159"/>
  <c r="Q159"/>
  <c r="F159"/>
  <c r="E159"/>
  <c r="D159"/>
  <c r="C159"/>
  <c r="B159"/>
  <c r="K158"/>
  <c r="J158"/>
  <c r="I158"/>
  <c r="G158"/>
  <c r="V158"/>
  <c r="T158"/>
  <c r="R158"/>
  <c r="U158"/>
  <c r="S158"/>
  <c r="Q158"/>
  <c r="F158"/>
  <c r="E158"/>
  <c r="D158"/>
  <c r="C158"/>
  <c r="B158"/>
  <c r="K157"/>
  <c r="J157"/>
  <c r="I157"/>
  <c r="G157"/>
  <c r="V157"/>
  <c r="T157"/>
  <c r="R157"/>
  <c r="U157"/>
  <c r="S157"/>
  <c r="Q157"/>
  <c r="F157"/>
  <c r="E157"/>
  <c r="D157"/>
  <c r="C157"/>
  <c r="B157"/>
  <c r="K156"/>
  <c r="J156"/>
  <c r="I156"/>
  <c r="H156"/>
  <c r="G156"/>
  <c r="K155"/>
  <c r="J155"/>
  <c r="I155"/>
  <c r="H155"/>
  <c r="G155"/>
  <c r="K154"/>
  <c r="J154"/>
  <c r="I154"/>
  <c r="H154"/>
  <c r="G154"/>
  <c r="K153"/>
  <c r="J153"/>
  <c r="I153"/>
  <c r="H153"/>
  <c r="G153"/>
  <c r="D152"/>
  <c r="V151"/>
  <c r="T151"/>
  <c r="R151"/>
  <c r="U151"/>
  <c r="S151"/>
  <c r="Q151"/>
  <c r="F151"/>
  <c r="E151"/>
  <c r="D151"/>
  <c r="C151"/>
  <c r="B151"/>
  <c r="L150"/>
  <c r="P150"/>
  <c r="J150"/>
  <c r="L149"/>
  <c r="I149"/>
  <c r="H149"/>
  <c r="F149"/>
  <c r="K148"/>
  <c r="F148"/>
  <c r="K147"/>
  <c r="F147"/>
  <c r="K146"/>
  <c r="J146"/>
  <c r="I146"/>
  <c r="H146"/>
  <c r="G146"/>
  <c r="D145"/>
  <c r="V144"/>
  <c r="T144"/>
  <c r="R144"/>
  <c r="U144"/>
  <c r="S144"/>
  <c r="Q144"/>
  <c r="F144"/>
  <c r="E144"/>
  <c r="D144"/>
  <c r="C144"/>
  <c r="B144"/>
  <c r="L143"/>
  <c r="P143"/>
  <c r="J143"/>
  <c r="K142"/>
  <c r="F142"/>
  <c r="K141"/>
  <c r="J141"/>
  <c r="I141"/>
  <c r="H141"/>
  <c r="G141"/>
  <c r="K140"/>
  <c r="J140"/>
  <c r="I140"/>
  <c r="H140"/>
  <c r="G140"/>
  <c r="D139"/>
  <c r="V138"/>
  <c r="T138"/>
  <c r="R138"/>
  <c r="U138"/>
  <c r="S138"/>
  <c r="Q138"/>
  <c r="F138"/>
  <c r="E138"/>
  <c r="D138"/>
  <c r="C138"/>
  <c r="B138"/>
  <c r="L137"/>
  <c r="P137"/>
  <c r="J137"/>
  <c r="L136"/>
  <c r="I136"/>
  <c r="H136"/>
  <c r="F136"/>
  <c r="K135"/>
  <c r="F135"/>
  <c r="K134"/>
  <c r="F134"/>
  <c r="K133"/>
  <c r="J133"/>
  <c r="I133"/>
  <c r="H133"/>
  <c r="G133"/>
  <c r="K132"/>
  <c r="J132"/>
  <c r="I132"/>
  <c r="H132"/>
  <c r="G132"/>
  <c r="D131"/>
  <c r="V130"/>
  <c r="T130"/>
  <c r="R130"/>
  <c r="U130"/>
  <c r="S130"/>
  <c r="Q130"/>
  <c r="F130"/>
  <c r="E130"/>
  <c r="D130"/>
  <c r="C130"/>
  <c r="B130"/>
  <c r="L129"/>
  <c r="P129"/>
  <c r="J129"/>
  <c r="L128"/>
  <c r="I128"/>
  <c r="H128"/>
  <c r="F128"/>
  <c r="K127"/>
  <c r="F127"/>
  <c r="K126"/>
  <c r="F126"/>
  <c r="K125"/>
  <c r="F125"/>
  <c r="K124"/>
  <c r="J124"/>
  <c r="I124"/>
  <c r="H124"/>
  <c r="G124"/>
  <c r="K123"/>
  <c r="J123"/>
  <c r="I123"/>
  <c r="H123"/>
  <c r="G123"/>
  <c r="K122"/>
  <c r="J122"/>
  <c r="I122"/>
  <c r="H122"/>
  <c r="G122"/>
  <c r="K121"/>
  <c r="J121"/>
  <c r="I121"/>
  <c r="H121"/>
  <c r="G121"/>
  <c r="D120"/>
  <c r="V119"/>
  <c r="T119"/>
  <c r="R119"/>
  <c r="U119"/>
  <c r="S119"/>
  <c r="Q119"/>
  <c r="F119"/>
  <c r="E119"/>
  <c r="D119"/>
  <c r="C119"/>
  <c r="B119"/>
  <c r="A118"/>
  <c r="J116"/>
  <c r="D116"/>
  <c r="J115"/>
  <c r="D115"/>
  <c r="J114"/>
  <c r="D114"/>
  <c r="J112"/>
  <c r="A112"/>
  <c r="L110"/>
  <c r="P110"/>
  <c r="J110"/>
  <c r="L109"/>
  <c r="I109"/>
  <c r="H109"/>
  <c r="F109"/>
  <c r="K108"/>
  <c r="F108"/>
  <c r="K107"/>
  <c r="F107"/>
  <c r="K106"/>
  <c r="J106"/>
  <c r="I106"/>
  <c r="G106"/>
  <c r="V106"/>
  <c r="T106"/>
  <c r="R106"/>
  <c r="U106"/>
  <c r="S106"/>
  <c r="Q106"/>
  <c r="F106"/>
  <c r="E106"/>
  <c r="D106"/>
  <c r="C106"/>
  <c r="B106"/>
  <c r="K105"/>
  <c r="J105"/>
  <c r="I105"/>
  <c r="H105"/>
  <c r="G105"/>
  <c r="K104"/>
  <c r="J104"/>
  <c r="I104"/>
  <c r="H104"/>
  <c r="G104"/>
  <c r="D103"/>
  <c r="V102"/>
  <c r="T102"/>
  <c r="R102"/>
  <c r="U102"/>
  <c r="S102"/>
  <c r="Q102"/>
  <c r="F102"/>
  <c r="E102"/>
  <c r="D102"/>
  <c r="C102"/>
  <c r="B102"/>
  <c r="L101"/>
  <c r="P101"/>
  <c r="J101"/>
  <c r="L100"/>
  <c r="I100"/>
  <c r="H100"/>
  <c r="F100"/>
  <c r="K99"/>
  <c r="F99"/>
  <c r="K98"/>
  <c r="F98"/>
  <c r="K97"/>
  <c r="J97"/>
  <c r="I97"/>
  <c r="G97"/>
  <c r="V97"/>
  <c r="T97"/>
  <c r="R97"/>
  <c r="U97"/>
  <c r="S97"/>
  <c r="Q97"/>
  <c r="F97"/>
  <c r="E97"/>
  <c r="D97"/>
  <c r="C97"/>
  <c r="B97"/>
  <c r="K96"/>
  <c r="J96"/>
  <c r="I96"/>
  <c r="G96"/>
  <c r="V96"/>
  <c r="T96"/>
  <c r="R96"/>
  <c r="U96"/>
  <c r="S96"/>
  <c r="Q96"/>
  <c r="F96"/>
  <c r="E96"/>
  <c r="D96"/>
  <c r="C96"/>
  <c r="B96"/>
  <c r="K95"/>
  <c r="J95"/>
  <c r="I95"/>
  <c r="G95"/>
  <c r="V95"/>
  <c r="T95"/>
  <c r="R95"/>
  <c r="U95"/>
  <c r="S95"/>
  <c r="Q95"/>
  <c r="F95"/>
  <c r="E95"/>
  <c r="D95"/>
  <c r="C95"/>
  <c r="B95"/>
  <c r="K94"/>
  <c r="J94"/>
  <c r="I94"/>
  <c r="H94"/>
  <c r="G94"/>
  <c r="K93"/>
  <c r="J93"/>
  <c r="I93"/>
  <c r="H93"/>
  <c r="G93"/>
  <c r="D92"/>
  <c r="V91"/>
  <c r="T91"/>
  <c r="R91"/>
  <c r="U91"/>
  <c r="S91"/>
  <c r="Q91"/>
  <c r="F91"/>
  <c r="E91"/>
  <c r="D91"/>
  <c r="C91"/>
  <c r="B91"/>
  <c r="L90"/>
  <c r="P90"/>
  <c r="J90"/>
  <c r="L89"/>
  <c r="I89"/>
  <c r="H89"/>
  <c r="F89"/>
  <c r="K88"/>
  <c r="F88"/>
  <c r="K87"/>
  <c r="F87"/>
  <c r="K86"/>
  <c r="J86"/>
  <c r="I86"/>
  <c r="H86"/>
  <c r="G86"/>
  <c r="K85"/>
  <c r="J85"/>
  <c r="I85"/>
  <c r="H85"/>
  <c r="G85"/>
  <c r="D84"/>
  <c r="V83"/>
  <c r="T83"/>
  <c r="R83"/>
  <c r="U83"/>
  <c r="S83"/>
  <c r="Q83"/>
  <c r="F83"/>
  <c r="E83"/>
  <c r="D83"/>
  <c r="C83"/>
  <c r="B83"/>
  <c r="L82"/>
  <c r="P82"/>
  <c r="J82"/>
  <c r="L81"/>
  <c r="I81"/>
  <c r="H81"/>
  <c r="F81"/>
  <c r="K80"/>
  <c r="F80"/>
  <c r="K79"/>
  <c r="F79"/>
  <c r="K78"/>
  <c r="J78"/>
  <c r="I78"/>
  <c r="H78"/>
  <c r="G78"/>
  <c r="K77"/>
  <c r="J77"/>
  <c r="I77"/>
  <c r="H77"/>
  <c r="G77"/>
  <c r="D76"/>
  <c r="V75"/>
  <c r="T75"/>
  <c r="R75"/>
  <c r="U75"/>
  <c r="S75"/>
  <c r="Q75"/>
  <c r="F75"/>
  <c r="E75"/>
  <c r="D75"/>
  <c r="C75"/>
  <c r="B75"/>
  <c r="L74"/>
  <c r="P74"/>
  <c r="J74"/>
  <c r="L73"/>
  <c r="I73"/>
  <c r="H73"/>
  <c r="F73"/>
  <c r="K72"/>
  <c r="F72"/>
  <c r="K71"/>
  <c r="F71"/>
  <c r="K70"/>
  <c r="J70"/>
  <c r="I70"/>
  <c r="H70"/>
  <c r="G70"/>
  <c r="D69"/>
  <c r="V68"/>
  <c r="T68"/>
  <c r="R68"/>
  <c r="U68"/>
  <c r="S68"/>
  <c r="Q68"/>
  <c r="F68"/>
  <c r="E68"/>
  <c r="D68"/>
  <c r="C68"/>
  <c r="B68"/>
  <c r="L67"/>
  <c r="P67"/>
  <c r="J67"/>
  <c r="L66"/>
  <c r="I66"/>
  <c r="H66"/>
  <c r="F66"/>
  <c r="K65"/>
  <c r="F65"/>
  <c r="K64"/>
  <c r="F64"/>
  <c r="K63"/>
  <c r="J63"/>
  <c r="I63"/>
  <c r="H63"/>
  <c r="G63"/>
  <c r="D62"/>
  <c r="V61"/>
  <c r="T61"/>
  <c r="R61"/>
  <c r="U61"/>
  <c r="S61"/>
  <c r="Q61"/>
  <c r="F61"/>
  <c r="E61"/>
  <c r="D61"/>
  <c r="C61"/>
  <c r="B61"/>
  <c r="L60"/>
  <c r="P60"/>
  <c r="J60"/>
  <c r="L59"/>
  <c r="I59"/>
  <c r="H59"/>
  <c r="F59"/>
  <c r="K58"/>
  <c r="F58"/>
  <c r="K57"/>
  <c r="F57"/>
  <c r="K56"/>
  <c r="F56"/>
  <c r="K55"/>
  <c r="J55"/>
  <c r="I55"/>
  <c r="H55"/>
  <c r="G55"/>
  <c r="K54"/>
  <c r="J54"/>
  <c r="I54"/>
  <c r="H54"/>
  <c r="G54"/>
  <c r="K53"/>
  <c r="J53"/>
  <c r="I53"/>
  <c r="H53"/>
  <c r="G53"/>
  <c r="D52"/>
  <c r="V51"/>
  <c r="T51"/>
  <c r="R51"/>
  <c r="U51"/>
  <c r="S51"/>
  <c r="Q51"/>
  <c r="F51"/>
  <c r="E51"/>
  <c r="D51"/>
  <c r="C51"/>
  <c r="B51"/>
  <c r="L50"/>
  <c r="P50"/>
  <c r="J50"/>
  <c r="L49"/>
  <c r="I49"/>
  <c r="H49"/>
  <c r="F49"/>
  <c r="K48"/>
  <c r="F48"/>
  <c r="K47"/>
  <c r="F47"/>
  <c r="K46"/>
  <c r="F46"/>
  <c r="K45"/>
  <c r="J45"/>
  <c r="I45"/>
  <c r="H45"/>
  <c r="G45"/>
  <c r="K44"/>
  <c r="J44"/>
  <c r="I44"/>
  <c r="H44"/>
  <c r="G44"/>
  <c r="K43"/>
  <c r="J43"/>
  <c r="I43"/>
  <c r="H43"/>
  <c r="G43"/>
  <c r="D42"/>
  <c r="V41"/>
  <c r="T41"/>
  <c r="R41"/>
  <c r="U41"/>
  <c r="S41"/>
  <c r="Q41"/>
  <c r="F41"/>
  <c r="E41"/>
  <c r="D41"/>
  <c r="C41"/>
  <c r="B41"/>
  <c r="A40"/>
  <c r="AE38"/>
  <c r="A38"/>
  <c r="H31"/>
  <c r="G26"/>
  <c r="J22"/>
  <c r="J21"/>
  <c r="J20"/>
  <c r="J19"/>
  <c r="J16"/>
  <c r="C17"/>
  <c r="J14"/>
  <c r="J12"/>
  <c r="C13"/>
  <c r="J10"/>
  <c r="C11"/>
  <c r="J8"/>
  <c r="C9"/>
  <c r="A1"/>
  <c r="H580" i="5"/>
  <c r="H577"/>
  <c r="C580"/>
  <c r="C577"/>
  <c r="I574"/>
  <c r="C574"/>
  <c r="I573"/>
  <c r="C573"/>
  <c r="I572"/>
  <c r="C572"/>
  <c r="I571"/>
  <c r="C571"/>
  <c r="I24"/>
  <c r="I23"/>
  <c r="I22"/>
  <c r="I21"/>
  <c r="I20"/>
  <c r="I19"/>
  <c r="AF570"/>
  <c r="A570"/>
  <c r="I567"/>
  <c r="C567"/>
  <c r="I566"/>
  <c r="C566"/>
  <c r="I565"/>
  <c r="C565"/>
  <c r="A563"/>
  <c r="K560"/>
  <c r="H560"/>
  <c r="G560"/>
  <c r="E560"/>
  <c r="E559"/>
  <c r="E558"/>
  <c r="E557"/>
  <c r="J556"/>
  <c r="I556"/>
  <c r="H556"/>
  <c r="G556"/>
  <c r="F556"/>
  <c r="J555"/>
  <c r="I555"/>
  <c r="H555"/>
  <c r="G555"/>
  <c r="F555"/>
  <c r="J554"/>
  <c r="I554"/>
  <c r="H554"/>
  <c r="G554"/>
  <c r="F554"/>
  <c r="J553"/>
  <c r="I553"/>
  <c r="H553"/>
  <c r="G553"/>
  <c r="F553"/>
  <c r="V552"/>
  <c r="J559" s="1"/>
  <c r="T552"/>
  <c r="J558" s="1"/>
  <c r="R552"/>
  <c r="J557" s="1"/>
  <c r="U552"/>
  <c r="S552"/>
  <c r="Q552"/>
  <c r="E552"/>
  <c r="D552"/>
  <c r="C552"/>
  <c r="B552"/>
  <c r="A552"/>
  <c r="K550"/>
  <c r="H550"/>
  <c r="G550"/>
  <c r="E550"/>
  <c r="E549"/>
  <c r="E548"/>
  <c r="J547"/>
  <c r="I547"/>
  <c r="H547"/>
  <c r="G547"/>
  <c r="F547"/>
  <c r="J546"/>
  <c r="I546"/>
  <c r="H546"/>
  <c r="G546"/>
  <c r="F546"/>
  <c r="C545"/>
  <c r="V544"/>
  <c r="T544"/>
  <c r="J549" s="1"/>
  <c r="R544"/>
  <c r="J548" s="1"/>
  <c r="U544"/>
  <c r="S544"/>
  <c r="Q544"/>
  <c r="E544"/>
  <c r="D544"/>
  <c r="C544"/>
  <c r="B544"/>
  <c r="A544"/>
  <c r="K542"/>
  <c r="H542"/>
  <c r="G542"/>
  <c r="E542"/>
  <c r="E541"/>
  <c r="E540"/>
  <c r="J539"/>
  <c r="I539"/>
  <c r="H539"/>
  <c r="G539"/>
  <c r="F539"/>
  <c r="J538"/>
  <c r="I538"/>
  <c r="H538"/>
  <c r="G538"/>
  <c r="F538"/>
  <c r="C537"/>
  <c r="V536"/>
  <c r="T536"/>
  <c r="J541" s="1"/>
  <c r="R536"/>
  <c r="J540" s="1"/>
  <c r="U536"/>
  <c r="S536"/>
  <c r="Q536"/>
  <c r="E536"/>
  <c r="D536"/>
  <c r="C536"/>
  <c r="B536"/>
  <c r="A536"/>
  <c r="K534"/>
  <c r="H534"/>
  <c r="G534"/>
  <c r="E534"/>
  <c r="E533"/>
  <c r="E532"/>
  <c r="J531"/>
  <c r="I531"/>
  <c r="H531"/>
  <c r="G531"/>
  <c r="F531"/>
  <c r="J530"/>
  <c r="I530"/>
  <c r="H530"/>
  <c r="G530"/>
  <c r="F530"/>
  <c r="C529"/>
  <c r="V528"/>
  <c r="T528"/>
  <c r="J533" s="1"/>
  <c r="R528"/>
  <c r="J532" s="1"/>
  <c r="U528"/>
  <c r="S528"/>
  <c r="Q528"/>
  <c r="E528"/>
  <c r="D528"/>
  <c r="C528"/>
  <c r="B528"/>
  <c r="A528"/>
  <c r="K526"/>
  <c r="H526"/>
  <c r="G526"/>
  <c r="E526"/>
  <c r="E525"/>
  <c r="E524"/>
  <c r="J523"/>
  <c r="I523"/>
  <c r="H523"/>
  <c r="G523"/>
  <c r="F523"/>
  <c r="V522"/>
  <c r="T522"/>
  <c r="J525" s="1"/>
  <c r="R522"/>
  <c r="J524" s="1"/>
  <c r="U522"/>
  <c r="S522"/>
  <c r="Q522"/>
  <c r="E522"/>
  <c r="D522"/>
  <c r="C522"/>
  <c r="B522"/>
  <c r="A522"/>
  <c r="K520"/>
  <c r="H520"/>
  <c r="G520"/>
  <c r="E520"/>
  <c r="E519"/>
  <c r="E518"/>
  <c r="E517"/>
  <c r="J516"/>
  <c r="I516"/>
  <c r="H516"/>
  <c r="F516"/>
  <c r="V516"/>
  <c r="T516"/>
  <c r="R516"/>
  <c r="U516"/>
  <c r="S516"/>
  <c r="Q516"/>
  <c r="E516"/>
  <c r="D516"/>
  <c r="C516"/>
  <c r="B516"/>
  <c r="A516"/>
  <c r="J515"/>
  <c r="I515"/>
  <c r="H515"/>
  <c r="F515"/>
  <c r="V515"/>
  <c r="T515"/>
  <c r="R515"/>
  <c r="U515"/>
  <c r="S515"/>
  <c r="Q515"/>
  <c r="E515"/>
  <c r="D515"/>
  <c r="C515"/>
  <c r="B515"/>
  <c r="A515"/>
  <c r="J514"/>
  <c r="I514"/>
  <c r="H514"/>
  <c r="G514"/>
  <c r="F514"/>
  <c r="J513"/>
  <c r="I513"/>
  <c r="H513"/>
  <c r="G513"/>
  <c r="F513"/>
  <c r="J512"/>
  <c r="I512"/>
  <c r="H512"/>
  <c r="G512"/>
  <c r="F512"/>
  <c r="J511"/>
  <c r="I511"/>
  <c r="H511"/>
  <c r="G511"/>
  <c r="F511"/>
  <c r="C510"/>
  <c r="V509"/>
  <c r="T509"/>
  <c r="J518" s="1"/>
  <c r="R509"/>
  <c r="U509"/>
  <c r="S509"/>
  <c r="Q509"/>
  <c r="E509"/>
  <c r="D509"/>
  <c r="C509"/>
  <c r="B509"/>
  <c r="A509"/>
  <c r="K507"/>
  <c r="H507"/>
  <c r="G507"/>
  <c r="E507"/>
  <c r="E506"/>
  <c r="E505"/>
  <c r="E504"/>
  <c r="J503"/>
  <c r="I503"/>
  <c r="H503"/>
  <c r="F503"/>
  <c r="V503"/>
  <c r="T503"/>
  <c r="R503"/>
  <c r="U503"/>
  <c r="S503"/>
  <c r="Q503"/>
  <c r="E503"/>
  <c r="D503"/>
  <c r="C503"/>
  <c r="B503"/>
  <c r="A503"/>
  <c r="J502"/>
  <c r="I502"/>
  <c r="H502"/>
  <c r="F502"/>
  <c r="V502"/>
  <c r="T502"/>
  <c r="R502"/>
  <c r="U502"/>
  <c r="S502"/>
  <c r="Q502"/>
  <c r="E502"/>
  <c r="D502"/>
  <c r="C502"/>
  <c r="B502"/>
  <c r="A502"/>
  <c r="J501"/>
  <c r="I501"/>
  <c r="H501"/>
  <c r="G501"/>
  <c r="F501"/>
  <c r="J500"/>
  <c r="I500"/>
  <c r="H500"/>
  <c r="G500"/>
  <c r="F500"/>
  <c r="J499"/>
  <c r="I499"/>
  <c r="H499"/>
  <c r="G499"/>
  <c r="F499"/>
  <c r="J498"/>
  <c r="I498"/>
  <c r="H498"/>
  <c r="G498"/>
  <c r="F498"/>
  <c r="C497"/>
  <c r="V496"/>
  <c r="J506" s="1"/>
  <c r="T496"/>
  <c r="R496"/>
  <c r="U496"/>
  <c r="S496"/>
  <c r="Q496"/>
  <c r="E496"/>
  <c r="D496"/>
  <c r="C496"/>
  <c r="B496"/>
  <c r="A496"/>
  <c r="K494"/>
  <c r="H494"/>
  <c r="G494"/>
  <c r="E494"/>
  <c r="E493"/>
  <c r="E492"/>
  <c r="E491"/>
  <c r="J490"/>
  <c r="I490"/>
  <c r="H490"/>
  <c r="F490"/>
  <c r="V490"/>
  <c r="T490"/>
  <c r="R490"/>
  <c r="U490"/>
  <c r="S490"/>
  <c r="Q490"/>
  <c r="E490"/>
  <c r="D490"/>
  <c r="C490"/>
  <c r="B490"/>
  <c r="A490"/>
  <c r="J489"/>
  <c r="I489"/>
  <c r="H489"/>
  <c r="F489"/>
  <c r="V489"/>
  <c r="T489"/>
  <c r="R489"/>
  <c r="U489"/>
  <c r="S489"/>
  <c r="Q489"/>
  <c r="E489"/>
  <c r="D489"/>
  <c r="C489"/>
  <c r="B489"/>
  <c r="A489"/>
  <c r="J488"/>
  <c r="I488"/>
  <c r="H488"/>
  <c r="G488"/>
  <c r="F488"/>
  <c r="J487"/>
  <c r="I487"/>
  <c r="H487"/>
  <c r="G487"/>
  <c r="F487"/>
  <c r="J486"/>
  <c r="I486"/>
  <c r="H486"/>
  <c r="G486"/>
  <c r="F486"/>
  <c r="J485"/>
  <c r="I485"/>
  <c r="H485"/>
  <c r="G485"/>
  <c r="F485"/>
  <c r="V484"/>
  <c r="J493" s="1"/>
  <c r="T484"/>
  <c r="R484"/>
  <c r="U484"/>
  <c r="S484"/>
  <c r="Q484"/>
  <c r="E484"/>
  <c r="D484"/>
  <c r="C484"/>
  <c r="B484"/>
  <c r="A484"/>
  <c r="K482"/>
  <c r="H482"/>
  <c r="G482"/>
  <c r="E482"/>
  <c r="E481"/>
  <c r="E480"/>
  <c r="J479"/>
  <c r="I479"/>
  <c r="H479"/>
  <c r="G479"/>
  <c r="F479"/>
  <c r="J478"/>
  <c r="I478"/>
  <c r="H478"/>
  <c r="G478"/>
  <c r="F478"/>
  <c r="V477"/>
  <c r="T477"/>
  <c r="J481" s="1"/>
  <c r="R477"/>
  <c r="J480" s="1"/>
  <c r="U477"/>
  <c r="S477"/>
  <c r="Q477"/>
  <c r="E477"/>
  <c r="D477"/>
  <c r="C477"/>
  <c r="B477"/>
  <c r="A477"/>
  <c r="K475"/>
  <c r="H475"/>
  <c r="G475"/>
  <c r="E475"/>
  <c r="E474"/>
  <c r="E473"/>
  <c r="J472"/>
  <c r="I472"/>
  <c r="H472"/>
  <c r="G472"/>
  <c r="F472"/>
  <c r="J471"/>
  <c r="I471"/>
  <c r="H471"/>
  <c r="G471"/>
  <c r="F471"/>
  <c r="C470"/>
  <c r="V469"/>
  <c r="T469"/>
  <c r="J474" s="1"/>
  <c r="R469"/>
  <c r="J473" s="1"/>
  <c r="U469"/>
  <c r="S469"/>
  <c r="Q469"/>
  <c r="E469"/>
  <c r="D469"/>
  <c r="C469"/>
  <c r="B469"/>
  <c r="A469"/>
  <c r="K467"/>
  <c r="H467"/>
  <c r="G467"/>
  <c r="E467"/>
  <c r="E466"/>
  <c r="E465"/>
  <c r="J464"/>
  <c r="I464"/>
  <c r="H464"/>
  <c r="G464"/>
  <c r="F464"/>
  <c r="J463"/>
  <c r="I463"/>
  <c r="H463"/>
  <c r="G463"/>
  <c r="F463"/>
  <c r="C462"/>
  <c r="V461"/>
  <c r="T461"/>
  <c r="J466" s="1"/>
  <c r="R461"/>
  <c r="J465" s="1"/>
  <c r="U461"/>
  <c r="S461"/>
  <c r="Q461"/>
  <c r="E461"/>
  <c r="D461"/>
  <c r="C461"/>
  <c r="B461"/>
  <c r="A461"/>
  <c r="K459"/>
  <c r="H459"/>
  <c r="G459"/>
  <c r="E459"/>
  <c r="E458"/>
  <c r="E457"/>
  <c r="E456"/>
  <c r="J455"/>
  <c r="I455"/>
  <c r="H455"/>
  <c r="G455"/>
  <c r="F455"/>
  <c r="J454"/>
  <c r="I454"/>
  <c r="H454"/>
  <c r="G454"/>
  <c r="F454"/>
  <c r="J453"/>
  <c r="I453"/>
  <c r="H453"/>
  <c r="G453"/>
  <c r="F453"/>
  <c r="J452"/>
  <c r="I452"/>
  <c r="H452"/>
  <c r="G452"/>
  <c r="F452"/>
  <c r="C451"/>
  <c r="V450"/>
  <c r="J458" s="1"/>
  <c r="T450"/>
  <c r="J457" s="1"/>
  <c r="R450"/>
  <c r="J456" s="1"/>
  <c r="U450"/>
  <c r="S450"/>
  <c r="Q450"/>
  <c r="E450"/>
  <c r="D450"/>
  <c r="C450"/>
  <c r="B450"/>
  <c r="A450"/>
  <c r="K448"/>
  <c r="H448"/>
  <c r="G448"/>
  <c r="E448"/>
  <c r="E447"/>
  <c r="E446"/>
  <c r="E445"/>
  <c r="J444"/>
  <c r="I444"/>
  <c r="H444"/>
  <c r="G444"/>
  <c r="F444"/>
  <c r="J443"/>
  <c r="I443"/>
  <c r="H443"/>
  <c r="G443"/>
  <c r="F443"/>
  <c r="J442"/>
  <c r="I442"/>
  <c r="H442"/>
  <c r="G442"/>
  <c r="F442"/>
  <c r="J441"/>
  <c r="I441"/>
  <c r="H441"/>
  <c r="G441"/>
  <c r="F441"/>
  <c r="C440"/>
  <c r="V439"/>
  <c r="J447" s="1"/>
  <c r="T439"/>
  <c r="J446" s="1"/>
  <c r="R439"/>
  <c r="J445" s="1"/>
  <c r="U439"/>
  <c r="S439"/>
  <c r="Q439"/>
  <c r="E439"/>
  <c r="D439"/>
  <c r="C439"/>
  <c r="B439"/>
  <c r="A439"/>
  <c r="K437"/>
  <c r="H437"/>
  <c r="G437"/>
  <c r="E437"/>
  <c r="E436"/>
  <c r="E435"/>
  <c r="E434"/>
  <c r="J433"/>
  <c r="I433"/>
  <c r="H433"/>
  <c r="G433"/>
  <c r="F433"/>
  <c r="J432"/>
  <c r="I432"/>
  <c r="H432"/>
  <c r="G432"/>
  <c r="F432"/>
  <c r="J431"/>
  <c r="I431"/>
  <c r="H431"/>
  <c r="G431"/>
  <c r="F431"/>
  <c r="J430"/>
  <c r="I430"/>
  <c r="H430"/>
  <c r="G430"/>
  <c r="F430"/>
  <c r="C429"/>
  <c r="V428"/>
  <c r="J436" s="1"/>
  <c r="T428"/>
  <c r="J435" s="1"/>
  <c r="R428"/>
  <c r="J434" s="1"/>
  <c r="U428"/>
  <c r="S428"/>
  <c r="Q428"/>
  <c r="E428"/>
  <c r="D428"/>
  <c r="C428"/>
  <c r="B428"/>
  <c r="A428"/>
  <c r="K426"/>
  <c r="H426"/>
  <c r="G426"/>
  <c r="E426"/>
  <c r="E425"/>
  <c r="J424"/>
  <c r="E424"/>
  <c r="J423"/>
  <c r="I423"/>
  <c r="H423"/>
  <c r="G423"/>
  <c r="F423"/>
  <c r="C422"/>
  <c r="V421"/>
  <c r="T421"/>
  <c r="J425" s="1"/>
  <c r="R421"/>
  <c r="U421"/>
  <c r="S421"/>
  <c r="Q421"/>
  <c r="E421"/>
  <c r="D421"/>
  <c r="C421"/>
  <c r="B421"/>
  <c r="A421"/>
  <c r="E419"/>
  <c r="J418"/>
  <c r="I418"/>
  <c r="H418"/>
  <c r="G418"/>
  <c r="F418"/>
  <c r="J417"/>
  <c r="I417"/>
  <c r="H417"/>
  <c r="G417"/>
  <c r="F417"/>
  <c r="C416"/>
  <c r="V415"/>
  <c r="J419" s="1"/>
  <c r="T415"/>
  <c r="R415"/>
  <c r="U415"/>
  <c r="S415"/>
  <c r="Q415"/>
  <c r="E415"/>
  <c r="D415"/>
  <c r="C415"/>
  <c r="B415"/>
  <c r="A415"/>
  <c r="K413"/>
  <c r="H413"/>
  <c r="G413"/>
  <c r="E413"/>
  <c r="E412"/>
  <c r="E411"/>
  <c r="E410"/>
  <c r="J409"/>
  <c r="I409"/>
  <c r="H409"/>
  <c r="G409"/>
  <c r="F409"/>
  <c r="J408"/>
  <c r="I408"/>
  <c r="H408"/>
  <c r="G408"/>
  <c r="F408"/>
  <c r="J407"/>
  <c r="I407"/>
  <c r="H407"/>
  <c r="G407"/>
  <c r="F407"/>
  <c r="C406"/>
  <c r="V405"/>
  <c r="J412" s="1"/>
  <c r="T405"/>
  <c r="J411" s="1"/>
  <c r="R405"/>
  <c r="J410" s="1"/>
  <c r="U405"/>
  <c r="S405"/>
  <c r="Q405"/>
  <c r="E405"/>
  <c r="D405"/>
  <c r="C405"/>
  <c r="B405"/>
  <c r="A405"/>
  <c r="K403"/>
  <c r="H403"/>
  <c r="G403"/>
  <c r="E403"/>
  <c r="J402"/>
  <c r="E402"/>
  <c r="E401"/>
  <c r="J400"/>
  <c r="I400"/>
  <c r="H400"/>
  <c r="G400"/>
  <c r="F400"/>
  <c r="C399"/>
  <c r="V398"/>
  <c r="T398"/>
  <c r="R398"/>
  <c r="J401" s="1"/>
  <c r="U398"/>
  <c r="S398"/>
  <c r="Q398"/>
  <c r="E398"/>
  <c r="D398"/>
  <c r="C398"/>
  <c r="B398"/>
  <c r="A398"/>
  <c r="A397"/>
  <c r="I395"/>
  <c r="C395"/>
  <c r="I394"/>
  <c r="C394"/>
  <c r="I393"/>
  <c r="C393"/>
  <c r="AF391"/>
  <c r="A391"/>
  <c r="K388"/>
  <c r="H388"/>
  <c r="G388"/>
  <c r="E388"/>
  <c r="E387"/>
  <c r="E386"/>
  <c r="J385"/>
  <c r="I385"/>
  <c r="H385"/>
  <c r="G385"/>
  <c r="F385"/>
  <c r="J384"/>
  <c r="I384"/>
  <c r="H384"/>
  <c r="G384"/>
  <c r="F384"/>
  <c r="C383"/>
  <c r="V382"/>
  <c r="T382"/>
  <c r="J387" s="1"/>
  <c r="R382"/>
  <c r="J386" s="1"/>
  <c r="U382"/>
  <c r="S382"/>
  <c r="Q382"/>
  <c r="E382"/>
  <c r="D382"/>
  <c r="C382"/>
  <c r="B382"/>
  <c r="A382"/>
  <c r="K380"/>
  <c r="H380"/>
  <c r="G380"/>
  <c r="E380"/>
  <c r="E379"/>
  <c r="E378"/>
  <c r="J377"/>
  <c r="I377"/>
  <c r="H377"/>
  <c r="G377"/>
  <c r="F377"/>
  <c r="J376"/>
  <c r="I376"/>
  <c r="H376"/>
  <c r="G376"/>
  <c r="F376"/>
  <c r="C375"/>
  <c r="V374"/>
  <c r="T374"/>
  <c r="J379" s="1"/>
  <c r="R374"/>
  <c r="J378" s="1"/>
  <c r="U374"/>
  <c r="S374"/>
  <c r="Q374"/>
  <c r="E374"/>
  <c r="D374"/>
  <c r="C374"/>
  <c r="B374"/>
  <c r="A374"/>
  <c r="K372"/>
  <c r="H372"/>
  <c r="G372"/>
  <c r="E372"/>
  <c r="E371"/>
  <c r="E370"/>
  <c r="J369"/>
  <c r="I369"/>
  <c r="H369"/>
  <c r="G369"/>
  <c r="F369"/>
  <c r="J368"/>
  <c r="I368"/>
  <c r="H368"/>
  <c r="G368"/>
  <c r="F368"/>
  <c r="C367"/>
  <c r="V366"/>
  <c r="T366"/>
  <c r="J371" s="1"/>
  <c r="R366"/>
  <c r="J370" s="1"/>
  <c r="U366"/>
  <c r="S366"/>
  <c r="Q366"/>
  <c r="E366"/>
  <c r="D366"/>
  <c r="C366"/>
  <c r="B366"/>
  <c r="A366"/>
  <c r="K364"/>
  <c r="H364"/>
  <c r="G364"/>
  <c r="E364"/>
  <c r="E363"/>
  <c r="E362"/>
  <c r="E361"/>
  <c r="J360"/>
  <c r="I360"/>
  <c r="H360"/>
  <c r="G360"/>
  <c r="F360"/>
  <c r="J359"/>
  <c r="I359"/>
  <c r="H359"/>
  <c r="G359"/>
  <c r="F359"/>
  <c r="J358"/>
  <c r="I358"/>
  <c r="H358"/>
  <c r="G358"/>
  <c r="F358"/>
  <c r="J357"/>
  <c r="I357"/>
  <c r="H357"/>
  <c r="G357"/>
  <c r="F357"/>
  <c r="C356"/>
  <c r="V355"/>
  <c r="J363" s="1"/>
  <c r="T355"/>
  <c r="J362" s="1"/>
  <c r="R355"/>
  <c r="J361" s="1"/>
  <c r="U355"/>
  <c r="S355"/>
  <c r="Q355"/>
  <c r="E355"/>
  <c r="D355"/>
  <c r="C355"/>
  <c r="B355"/>
  <c r="A355"/>
  <c r="A354"/>
  <c r="I352"/>
  <c r="C352"/>
  <c r="I351"/>
  <c r="C351"/>
  <c r="I350"/>
  <c r="C350"/>
  <c r="A348"/>
  <c r="K345"/>
  <c r="H345"/>
  <c r="G345"/>
  <c r="E345"/>
  <c r="E344"/>
  <c r="E343"/>
  <c r="E342"/>
  <c r="J341"/>
  <c r="I341"/>
  <c r="H341"/>
  <c r="G341"/>
  <c r="F341"/>
  <c r="J340"/>
  <c r="I340"/>
  <c r="H340"/>
  <c r="G340"/>
  <c r="F340"/>
  <c r="J339"/>
  <c r="I339"/>
  <c r="H339"/>
  <c r="G339"/>
  <c r="F339"/>
  <c r="J338"/>
  <c r="I338"/>
  <c r="H338"/>
  <c r="G338"/>
  <c r="F338"/>
  <c r="C337"/>
  <c r="V336"/>
  <c r="J344" s="1"/>
  <c r="T336"/>
  <c r="J343" s="1"/>
  <c r="R336"/>
  <c r="J342" s="1"/>
  <c r="U336"/>
  <c r="S336"/>
  <c r="Q336"/>
  <c r="E336"/>
  <c r="D336"/>
  <c r="C336"/>
  <c r="B336"/>
  <c r="A336"/>
  <c r="K334"/>
  <c r="H334"/>
  <c r="G334"/>
  <c r="E334"/>
  <c r="E333"/>
  <c r="E332"/>
  <c r="J331"/>
  <c r="I331"/>
  <c r="H331"/>
  <c r="G331"/>
  <c r="F331"/>
  <c r="J330"/>
  <c r="I330"/>
  <c r="H330"/>
  <c r="G330"/>
  <c r="F330"/>
  <c r="C329"/>
  <c r="V328"/>
  <c r="T328"/>
  <c r="J333" s="1"/>
  <c r="R328"/>
  <c r="J332" s="1"/>
  <c r="U328"/>
  <c r="S328"/>
  <c r="Q328"/>
  <c r="E328"/>
  <c r="D328"/>
  <c r="C328"/>
  <c r="B328"/>
  <c r="A328"/>
  <c r="K326"/>
  <c r="H326"/>
  <c r="G326"/>
  <c r="E326"/>
  <c r="E325"/>
  <c r="E324"/>
  <c r="J323"/>
  <c r="I323"/>
  <c r="H323"/>
  <c r="G323"/>
  <c r="F323"/>
  <c r="J322"/>
  <c r="I322"/>
  <c r="H322"/>
  <c r="G322"/>
  <c r="F322"/>
  <c r="C321"/>
  <c r="V320"/>
  <c r="T320"/>
  <c r="J325" s="1"/>
  <c r="R320"/>
  <c r="J324" s="1"/>
  <c r="U320"/>
  <c r="S320"/>
  <c r="Q320"/>
  <c r="E320"/>
  <c r="D320"/>
  <c r="C320"/>
  <c r="B320"/>
  <c r="A320"/>
  <c r="A319"/>
  <c r="I317"/>
  <c r="C317"/>
  <c r="I316"/>
  <c r="C316"/>
  <c r="I315"/>
  <c r="C315"/>
  <c r="A313"/>
  <c r="K310"/>
  <c r="H310"/>
  <c r="G310"/>
  <c r="E310"/>
  <c r="E309"/>
  <c r="E308"/>
  <c r="E307"/>
  <c r="J306"/>
  <c r="I306"/>
  <c r="H306"/>
  <c r="F306"/>
  <c r="V306"/>
  <c r="T306"/>
  <c r="R306"/>
  <c r="U306"/>
  <c r="S306"/>
  <c r="Q306"/>
  <c r="E306"/>
  <c r="D306"/>
  <c r="C306"/>
  <c r="B306"/>
  <c r="A306"/>
  <c r="J305"/>
  <c r="I305"/>
  <c r="H305"/>
  <c r="F305"/>
  <c r="V305"/>
  <c r="T305"/>
  <c r="R305"/>
  <c r="U305"/>
  <c r="S305"/>
  <c r="Q305"/>
  <c r="E305"/>
  <c r="D305"/>
  <c r="C305"/>
  <c r="B305"/>
  <c r="A305"/>
  <c r="J304"/>
  <c r="I304"/>
  <c r="H304"/>
  <c r="F304"/>
  <c r="V304"/>
  <c r="T304"/>
  <c r="R304"/>
  <c r="U304"/>
  <c r="S304"/>
  <c r="Q304"/>
  <c r="E304"/>
  <c r="D304"/>
  <c r="C304"/>
  <c r="B304"/>
  <c r="A304"/>
  <c r="J303"/>
  <c r="I303"/>
  <c r="H303"/>
  <c r="F303"/>
  <c r="V303"/>
  <c r="T303"/>
  <c r="R303"/>
  <c r="U303"/>
  <c r="S303"/>
  <c r="Q303"/>
  <c r="E303"/>
  <c r="D303"/>
  <c r="C303"/>
  <c r="B303"/>
  <c r="A303"/>
  <c r="J302"/>
  <c r="I302"/>
  <c r="H302"/>
  <c r="F302"/>
  <c r="V302"/>
  <c r="T302"/>
  <c r="R302"/>
  <c r="U302"/>
  <c r="S302"/>
  <c r="Q302"/>
  <c r="E302"/>
  <c r="D302"/>
  <c r="C302"/>
  <c r="B302"/>
  <c r="A302"/>
  <c r="J301"/>
  <c r="I301"/>
  <c r="H301"/>
  <c r="G301"/>
  <c r="F301"/>
  <c r="J300"/>
  <c r="I300"/>
  <c r="H300"/>
  <c r="G300"/>
  <c r="F300"/>
  <c r="J299"/>
  <c r="I299"/>
  <c r="H299"/>
  <c r="G299"/>
  <c r="F299"/>
  <c r="J298"/>
  <c r="I298"/>
  <c r="H298"/>
  <c r="G298"/>
  <c r="F298"/>
  <c r="C297"/>
  <c r="V296"/>
  <c r="T296"/>
  <c r="R296"/>
  <c r="J307" s="1"/>
  <c r="U296"/>
  <c r="S296"/>
  <c r="Q296"/>
  <c r="E296"/>
  <c r="D296"/>
  <c r="C296"/>
  <c r="B296"/>
  <c r="A296"/>
  <c r="K294"/>
  <c r="H294"/>
  <c r="G294"/>
  <c r="E294"/>
  <c r="E293"/>
  <c r="E292"/>
  <c r="J291"/>
  <c r="I291"/>
  <c r="H291"/>
  <c r="G291"/>
  <c r="F291"/>
  <c r="C290"/>
  <c r="V289"/>
  <c r="T289"/>
  <c r="J293" s="1"/>
  <c r="R289"/>
  <c r="J292" s="1"/>
  <c r="U289"/>
  <c r="S289"/>
  <c r="Q289"/>
  <c r="E289"/>
  <c r="D289"/>
  <c r="C289"/>
  <c r="B289"/>
  <c r="A289"/>
  <c r="E287"/>
  <c r="J286"/>
  <c r="I286"/>
  <c r="H286"/>
  <c r="G286"/>
  <c r="F286"/>
  <c r="J285"/>
  <c r="I285"/>
  <c r="H285"/>
  <c r="G285"/>
  <c r="F285"/>
  <c r="C284"/>
  <c r="V283"/>
  <c r="J287" s="1"/>
  <c r="T283"/>
  <c r="R283"/>
  <c r="U283"/>
  <c r="S283"/>
  <c r="Q283"/>
  <c r="E283"/>
  <c r="D283"/>
  <c r="C283"/>
  <c r="B283"/>
  <c r="A283"/>
  <c r="K281"/>
  <c r="H281"/>
  <c r="G281"/>
  <c r="E281"/>
  <c r="E280"/>
  <c r="E279"/>
  <c r="E278"/>
  <c r="J277"/>
  <c r="I277"/>
  <c r="H277"/>
  <c r="G277"/>
  <c r="F277"/>
  <c r="J276"/>
  <c r="I276"/>
  <c r="H276"/>
  <c r="G276"/>
  <c r="F276"/>
  <c r="J275"/>
  <c r="I275"/>
  <c r="H275"/>
  <c r="G275"/>
  <c r="F275"/>
  <c r="J274"/>
  <c r="I274"/>
  <c r="H274"/>
  <c r="G274"/>
  <c r="F274"/>
  <c r="C273"/>
  <c r="V272"/>
  <c r="J280" s="1"/>
  <c r="T272"/>
  <c r="J279" s="1"/>
  <c r="R272"/>
  <c r="J278" s="1"/>
  <c r="U272"/>
  <c r="S272"/>
  <c r="Q272"/>
  <c r="E272"/>
  <c r="D272"/>
  <c r="C272"/>
  <c r="B272"/>
  <c r="A272"/>
  <c r="K270"/>
  <c r="H270"/>
  <c r="G270"/>
  <c r="E270"/>
  <c r="E269"/>
  <c r="E268"/>
  <c r="J267"/>
  <c r="I267"/>
  <c r="H267"/>
  <c r="G267"/>
  <c r="F267"/>
  <c r="J266"/>
  <c r="I266"/>
  <c r="H266"/>
  <c r="G266"/>
  <c r="F266"/>
  <c r="C265"/>
  <c r="V264"/>
  <c r="T264"/>
  <c r="J269" s="1"/>
  <c r="R264"/>
  <c r="J268" s="1"/>
  <c r="U264"/>
  <c r="S264"/>
  <c r="Q264"/>
  <c r="E264"/>
  <c r="D264"/>
  <c r="C264"/>
  <c r="B264"/>
  <c r="A264"/>
  <c r="K262"/>
  <c r="H262"/>
  <c r="G262"/>
  <c r="E262"/>
  <c r="E261"/>
  <c r="E260"/>
  <c r="E259"/>
  <c r="J258"/>
  <c r="I258"/>
  <c r="H258"/>
  <c r="F258"/>
  <c r="V258"/>
  <c r="T258"/>
  <c r="R258"/>
  <c r="U258"/>
  <c r="S258"/>
  <c r="Q258"/>
  <c r="E258"/>
  <c r="D258"/>
  <c r="C258"/>
  <c r="B258"/>
  <c r="A258"/>
  <c r="J257"/>
  <c r="I257"/>
  <c r="H257"/>
  <c r="F257"/>
  <c r="V257"/>
  <c r="T257"/>
  <c r="R257"/>
  <c r="U257"/>
  <c r="S257"/>
  <c r="Q257"/>
  <c r="E257"/>
  <c r="D257"/>
  <c r="C257"/>
  <c r="B257"/>
  <c r="A257"/>
  <c r="J256"/>
  <c r="I256"/>
  <c r="H256"/>
  <c r="G256"/>
  <c r="F256"/>
  <c r="J255"/>
  <c r="I255"/>
  <c r="H255"/>
  <c r="G255"/>
  <c r="F255"/>
  <c r="J254"/>
  <c r="I254"/>
  <c r="H254"/>
  <c r="G254"/>
  <c r="F254"/>
  <c r="J253"/>
  <c r="I253"/>
  <c r="H253"/>
  <c r="G253"/>
  <c r="F253"/>
  <c r="C252"/>
  <c r="V251"/>
  <c r="J261" s="1"/>
  <c r="T251"/>
  <c r="R251"/>
  <c r="U251"/>
  <c r="S251"/>
  <c r="Q251"/>
  <c r="E251"/>
  <c r="D251"/>
  <c r="C251"/>
  <c r="B251"/>
  <c r="A251"/>
  <c r="K249"/>
  <c r="H249"/>
  <c r="G249"/>
  <c r="E249"/>
  <c r="E248"/>
  <c r="E247"/>
  <c r="J246"/>
  <c r="I246"/>
  <c r="H246"/>
  <c r="G246"/>
  <c r="F246"/>
  <c r="C245"/>
  <c r="V244"/>
  <c r="T244"/>
  <c r="J248" s="1"/>
  <c r="R244"/>
  <c r="J247" s="1"/>
  <c r="U244"/>
  <c r="S244"/>
  <c r="Q244"/>
  <c r="E244"/>
  <c r="D244"/>
  <c r="C244"/>
  <c r="B244"/>
  <c r="A244"/>
  <c r="E242"/>
  <c r="J241"/>
  <c r="I241"/>
  <c r="H241"/>
  <c r="G241"/>
  <c r="F241"/>
  <c r="J240"/>
  <c r="I240"/>
  <c r="H240"/>
  <c r="G240"/>
  <c r="F240"/>
  <c r="C239"/>
  <c r="V238"/>
  <c r="J242" s="1"/>
  <c r="T238"/>
  <c r="R238"/>
  <c r="U238"/>
  <c r="S238"/>
  <c r="Q238"/>
  <c r="E238"/>
  <c r="D238"/>
  <c r="C238"/>
  <c r="B238"/>
  <c r="A238"/>
  <c r="K236"/>
  <c r="H236"/>
  <c r="G236"/>
  <c r="E236"/>
  <c r="E235"/>
  <c r="E234"/>
  <c r="J233"/>
  <c r="I233"/>
  <c r="H233"/>
  <c r="G233"/>
  <c r="F233"/>
  <c r="J232"/>
  <c r="I232"/>
  <c r="H232"/>
  <c r="G232"/>
  <c r="F232"/>
  <c r="C231"/>
  <c r="V230"/>
  <c r="T230"/>
  <c r="J235" s="1"/>
  <c r="R230"/>
  <c r="J234" s="1"/>
  <c r="U230"/>
  <c r="S230"/>
  <c r="Q230"/>
  <c r="E230"/>
  <c r="D230"/>
  <c r="C230"/>
  <c r="B230"/>
  <c r="A230"/>
  <c r="K228"/>
  <c r="H228"/>
  <c r="G228"/>
  <c r="E228"/>
  <c r="E227"/>
  <c r="E226"/>
  <c r="E225"/>
  <c r="J224"/>
  <c r="I224"/>
  <c r="H224"/>
  <c r="G224"/>
  <c r="F224"/>
  <c r="J223"/>
  <c r="I223"/>
  <c r="H223"/>
  <c r="G223"/>
  <c r="F223"/>
  <c r="J222"/>
  <c r="I222"/>
  <c r="H222"/>
  <c r="G222"/>
  <c r="F222"/>
  <c r="J221"/>
  <c r="I221"/>
  <c r="H221"/>
  <c r="G221"/>
  <c r="F221"/>
  <c r="C220"/>
  <c r="V219"/>
  <c r="J227" s="1"/>
  <c r="T219"/>
  <c r="J226" s="1"/>
  <c r="R219"/>
  <c r="J225" s="1"/>
  <c r="U219"/>
  <c r="S219"/>
  <c r="Q219"/>
  <c r="E219"/>
  <c r="D219"/>
  <c r="C219"/>
  <c r="B219"/>
  <c r="A219"/>
  <c r="A218"/>
  <c r="I216"/>
  <c r="C216"/>
  <c r="I215"/>
  <c r="C215"/>
  <c r="I214"/>
  <c r="C214"/>
  <c r="A212"/>
  <c r="K209"/>
  <c r="H209"/>
  <c r="G209"/>
  <c r="E209"/>
  <c r="E208"/>
  <c r="E207"/>
  <c r="E206"/>
  <c r="J205"/>
  <c r="I205"/>
  <c r="H205"/>
  <c r="F205"/>
  <c r="V205"/>
  <c r="T205"/>
  <c r="R205"/>
  <c r="U205"/>
  <c r="S205"/>
  <c r="Q205"/>
  <c r="E205"/>
  <c r="D205"/>
  <c r="C205"/>
  <c r="B205"/>
  <c r="A205"/>
  <c r="J204"/>
  <c r="I204"/>
  <c r="H204"/>
  <c r="G204"/>
  <c r="F204"/>
  <c r="J203"/>
  <c r="I203"/>
  <c r="H203"/>
  <c r="G203"/>
  <c r="F203"/>
  <c r="J202"/>
  <c r="I202"/>
  <c r="H202"/>
  <c r="G202"/>
  <c r="F202"/>
  <c r="J201"/>
  <c r="I201"/>
  <c r="H201"/>
  <c r="G201"/>
  <c r="F201"/>
  <c r="C200"/>
  <c r="V199"/>
  <c r="J208" s="1"/>
  <c r="T199"/>
  <c r="J207" s="1"/>
  <c r="R199"/>
  <c r="J206" s="1"/>
  <c r="U199"/>
  <c r="S199"/>
  <c r="Q199"/>
  <c r="E199"/>
  <c r="D199"/>
  <c r="C199"/>
  <c r="B199"/>
  <c r="A199"/>
  <c r="K197"/>
  <c r="H197"/>
  <c r="G197"/>
  <c r="E197"/>
  <c r="E196"/>
  <c r="E195"/>
  <c r="J194"/>
  <c r="I194"/>
  <c r="H194"/>
  <c r="G194"/>
  <c r="F194"/>
  <c r="C193"/>
  <c r="V192"/>
  <c r="T192"/>
  <c r="J196" s="1"/>
  <c r="R192"/>
  <c r="J195" s="1"/>
  <c r="U192"/>
  <c r="S192"/>
  <c r="Q192"/>
  <c r="E192"/>
  <c r="D192"/>
  <c r="C192"/>
  <c r="B192"/>
  <c r="A192"/>
  <c r="E190"/>
  <c r="J189"/>
  <c r="I189"/>
  <c r="H189"/>
  <c r="G189"/>
  <c r="F189"/>
  <c r="J188"/>
  <c r="I188"/>
  <c r="H188"/>
  <c r="G188"/>
  <c r="F188"/>
  <c r="C187"/>
  <c r="V186"/>
  <c r="J190" s="1"/>
  <c r="T186"/>
  <c r="R186"/>
  <c r="U186"/>
  <c r="S186"/>
  <c r="Q186"/>
  <c r="E186"/>
  <c r="D186"/>
  <c r="C186"/>
  <c r="B186"/>
  <c r="A186"/>
  <c r="K184"/>
  <c r="H184"/>
  <c r="G184"/>
  <c r="E184"/>
  <c r="E183"/>
  <c r="E182"/>
  <c r="J181"/>
  <c r="I181"/>
  <c r="H181"/>
  <c r="G181"/>
  <c r="F181"/>
  <c r="J180"/>
  <c r="I180"/>
  <c r="H180"/>
  <c r="G180"/>
  <c r="F180"/>
  <c r="C179"/>
  <c r="V178"/>
  <c r="T178"/>
  <c r="J183" s="1"/>
  <c r="R178"/>
  <c r="J182" s="1"/>
  <c r="U178"/>
  <c r="S178"/>
  <c r="Q178"/>
  <c r="E178"/>
  <c r="D178"/>
  <c r="C178"/>
  <c r="B178"/>
  <c r="A178"/>
  <c r="K176"/>
  <c r="H176"/>
  <c r="G176"/>
  <c r="E176"/>
  <c r="E175"/>
  <c r="E174"/>
  <c r="E173"/>
  <c r="J172"/>
  <c r="I172"/>
  <c r="H172"/>
  <c r="G172"/>
  <c r="F172"/>
  <c r="J171"/>
  <c r="I171"/>
  <c r="H171"/>
  <c r="G171"/>
  <c r="F171"/>
  <c r="J170"/>
  <c r="I170"/>
  <c r="H170"/>
  <c r="G170"/>
  <c r="F170"/>
  <c r="J169"/>
  <c r="I169"/>
  <c r="H169"/>
  <c r="G169"/>
  <c r="F169"/>
  <c r="C168"/>
  <c r="V167"/>
  <c r="J175" s="1"/>
  <c r="T167"/>
  <c r="J174" s="1"/>
  <c r="R167"/>
  <c r="J173" s="1"/>
  <c r="U167"/>
  <c r="S167"/>
  <c r="Q167"/>
  <c r="E167"/>
  <c r="D167"/>
  <c r="C167"/>
  <c r="B167"/>
  <c r="A167"/>
  <c r="A166"/>
  <c r="I164"/>
  <c r="C164"/>
  <c r="I163"/>
  <c r="C163"/>
  <c r="I162"/>
  <c r="C162"/>
  <c r="A160"/>
  <c r="K157"/>
  <c r="H157"/>
  <c r="G157"/>
  <c r="E157"/>
  <c r="E156"/>
  <c r="E155"/>
  <c r="E154"/>
  <c r="J153"/>
  <c r="I153"/>
  <c r="H153"/>
  <c r="F153"/>
  <c r="V153"/>
  <c r="T153"/>
  <c r="R153"/>
  <c r="U153"/>
  <c r="S153"/>
  <c r="Q153"/>
  <c r="E153"/>
  <c r="D153"/>
  <c r="C153"/>
  <c r="B153"/>
  <c r="A153"/>
  <c r="J152"/>
  <c r="I152"/>
  <c r="H152"/>
  <c r="F152"/>
  <c r="V152"/>
  <c r="T152"/>
  <c r="R152"/>
  <c r="U152"/>
  <c r="S152"/>
  <c r="Q152"/>
  <c r="E152"/>
  <c r="D152"/>
  <c r="C152"/>
  <c r="B152"/>
  <c r="A152"/>
  <c r="J151"/>
  <c r="I151"/>
  <c r="H151"/>
  <c r="F151"/>
  <c r="V151"/>
  <c r="T151"/>
  <c r="R151"/>
  <c r="U151"/>
  <c r="S151"/>
  <c r="Q151"/>
  <c r="E151"/>
  <c r="D151"/>
  <c r="C151"/>
  <c r="B151"/>
  <c r="A151"/>
  <c r="J150"/>
  <c r="I150"/>
  <c r="H150"/>
  <c r="F150"/>
  <c r="V150"/>
  <c r="T150"/>
  <c r="R150"/>
  <c r="U150"/>
  <c r="S150"/>
  <c r="Q150"/>
  <c r="E150"/>
  <c r="D150"/>
  <c r="C150"/>
  <c r="B150"/>
  <c r="A150"/>
  <c r="J149"/>
  <c r="I149"/>
  <c r="H149"/>
  <c r="F149"/>
  <c r="V149"/>
  <c r="T149"/>
  <c r="R149"/>
  <c r="U149"/>
  <c r="S149"/>
  <c r="Q149"/>
  <c r="E149"/>
  <c r="D149"/>
  <c r="C149"/>
  <c r="B149"/>
  <c r="A149"/>
  <c r="J148"/>
  <c r="I148"/>
  <c r="H148"/>
  <c r="F148"/>
  <c r="V148"/>
  <c r="T148"/>
  <c r="R148"/>
  <c r="U148"/>
  <c r="S148"/>
  <c r="Q148"/>
  <c r="E148"/>
  <c r="D148"/>
  <c r="C148"/>
  <c r="B148"/>
  <c r="A148"/>
  <c r="J147"/>
  <c r="I147"/>
  <c r="H147"/>
  <c r="F147"/>
  <c r="V147"/>
  <c r="T147"/>
  <c r="R147"/>
  <c r="U147"/>
  <c r="S147"/>
  <c r="Q147"/>
  <c r="E147"/>
  <c r="D147"/>
  <c r="C147"/>
  <c r="B147"/>
  <c r="A147"/>
  <c r="J146"/>
  <c r="I146"/>
  <c r="H146"/>
  <c r="G146"/>
  <c r="F146"/>
  <c r="J145"/>
  <c r="I145"/>
  <c r="H145"/>
  <c r="G145"/>
  <c r="F145"/>
  <c r="J144"/>
  <c r="I144"/>
  <c r="H144"/>
  <c r="G144"/>
  <c r="F144"/>
  <c r="J143"/>
  <c r="I143"/>
  <c r="H143"/>
  <c r="G143"/>
  <c r="F143"/>
  <c r="C142"/>
  <c r="V141"/>
  <c r="T141"/>
  <c r="R141"/>
  <c r="J154" s="1"/>
  <c r="U141"/>
  <c r="S141"/>
  <c r="Q141"/>
  <c r="E141"/>
  <c r="D141"/>
  <c r="C141"/>
  <c r="B141"/>
  <c r="A141"/>
  <c r="K139"/>
  <c r="H139"/>
  <c r="G139"/>
  <c r="E139"/>
  <c r="E138"/>
  <c r="E137"/>
  <c r="J136"/>
  <c r="I136"/>
  <c r="H136"/>
  <c r="G136"/>
  <c r="F136"/>
  <c r="C135"/>
  <c r="V134"/>
  <c r="T134"/>
  <c r="J138" s="1"/>
  <c r="R134"/>
  <c r="J137" s="1"/>
  <c r="U134"/>
  <c r="S134"/>
  <c r="Q134"/>
  <c r="E134"/>
  <c r="D134"/>
  <c r="C134"/>
  <c r="B134"/>
  <c r="A134"/>
  <c r="E132"/>
  <c r="J131"/>
  <c r="I131"/>
  <c r="H131"/>
  <c r="G131"/>
  <c r="F131"/>
  <c r="J130"/>
  <c r="I130"/>
  <c r="H130"/>
  <c r="G130"/>
  <c r="F130"/>
  <c r="C129"/>
  <c r="V128"/>
  <c r="J132" s="1"/>
  <c r="T128"/>
  <c r="R128"/>
  <c r="U128"/>
  <c r="S128"/>
  <c r="Q128"/>
  <c r="E128"/>
  <c r="D128"/>
  <c r="C128"/>
  <c r="B128"/>
  <c r="A128"/>
  <c r="K126"/>
  <c r="H126"/>
  <c r="G126"/>
  <c r="E126"/>
  <c r="E125"/>
  <c r="E124"/>
  <c r="J123"/>
  <c r="I123"/>
  <c r="H123"/>
  <c r="G123"/>
  <c r="F123"/>
  <c r="J122"/>
  <c r="I122"/>
  <c r="H122"/>
  <c r="G122"/>
  <c r="F122"/>
  <c r="C121"/>
  <c r="V120"/>
  <c r="T120"/>
  <c r="J125" s="1"/>
  <c r="R120"/>
  <c r="J124" s="1"/>
  <c r="U120"/>
  <c r="S120"/>
  <c r="Q120"/>
  <c r="E120"/>
  <c r="D120"/>
  <c r="C120"/>
  <c r="B120"/>
  <c r="A120"/>
  <c r="K118"/>
  <c r="H118"/>
  <c r="G118"/>
  <c r="E118"/>
  <c r="E117"/>
  <c r="E116"/>
  <c r="E115"/>
  <c r="J114"/>
  <c r="I114"/>
  <c r="H114"/>
  <c r="G114"/>
  <c r="F114"/>
  <c r="J113"/>
  <c r="I113"/>
  <c r="H113"/>
  <c r="G113"/>
  <c r="F113"/>
  <c r="J112"/>
  <c r="I112"/>
  <c r="H112"/>
  <c r="G112"/>
  <c r="F112"/>
  <c r="J111"/>
  <c r="I111"/>
  <c r="H111"/>
  <c r="G111"/>
  <c r="F111"/>
  <c r="C110"/>
  <c r="V109"/>
  <c r="J117" s="1"/>
  <c r="T109"/>
  <c r="J116" s="1"/>
  <c r="R109"/>
  <c r="J115" s="1"/>
  <c r="U109"/>
  <c r="S109"/>
  <c r="Q109"/>
  <c r="E109"/>
  <c r="D109"/>
  <c r="C109"/>
  <c r="B109"/>
  <c r="A109"/>
  <c r="A108"/>
  <c r="I106"/>
  <c r="C106"/>
  <c r="I105"/>
  <c r="C105"/>
  <c r="I104"/>
  <c r="C104"/>
  <c r="A102"/>
  <c r="K99"/>
  <c r="H99"/>
  <c r="G99"/>
  <c r="E99"/>
  <c r="E98"/>
  <c r="E97"/>
  <c r="J96"/>
  <c r="I96"/>
  <c r="H96"/>
  <c r="F96"/>
  <c r="V96"/>
  <c r="T96"/>
  <c r="R96"/>
  <c r="U96"/>
  <c r="S96"/>
  <c r="Q96"/>
  <c r="E96"/>
  <c r="D96"/>
  <c r="C96"/>
  <c r="B96"/>
  <c r="A96"/>
  <c r="J95"/>
  <c r="I95"/>
  <c r="H95"/>
  <c r="G95"/>
  <c r="F95"/>
  <c r="J94"/>
  <c r="I94"/>
  <c r="H94"/>
  <c r="G94"/>
  <c r="F94"/>
  <c r="C93"/>
  <c r="V92"/>
  <c r="T92"/>
  <c r="J98" s="1"/>
  <c r="R92"/>
  <c r="J97" s="1"/>
  <c r="U92"/>
  <c r="S92"/>
  <c r="Q92"/>
  <c r="E92"/>
  <c r="D92"/>
  <c r="C92"/>
  <c r="B92"/>
  <c r="A92"/>
  <c r="K90"/>
  <c r="H90"/>
  <c r="G90"/>
  <c r="E90"/>
  <c r="E89"/>
  <c r="E88"/>
  <c r="J87"/>
  <c r="I87"/>
  <c r="H87"/>
  <c r="F87"/>
  <c r="V87"/>
  <c r="T87"/>
  <c r="R87"/>
  <c r="U87"/>
  <c r="S87"/>
  <c r="Q87"/>
  <c r="E87"/>
  <c r="D87"/>
  <c r="C87"/>
  <c r="B87"/>
  <c r="A87"/>
  <c r="J86"/>
  <c r="I86"/>
  <c r="H86"/>
  <c r="F86"/>
  <c r="V86"/>
  <c r="T86"/>
  <c r="R86"/>
  <c r="U86"/>
  <c r="S86"/>
  <c r="Q86"/>
  <c r="E86"/>
  <c r="D86"/>
  <c r="C86"/>
  <c r="B86"/>
  <c r="A86"/>
  <c r="J85"/>
  <c r="I85"/>
  <c r="H85"/>
  <c r="F85"/>
  <c r="V85"/>
  <c r="T85"/>
  <c r="R85"/>
  <c r="U85"/>
  <c r="S85"/>
  <c r="Q85"/>
  <c r="E85"/>
  <c r="D85"/>
  <c r="C85"/>
  <c r="B85"/>
  <c r="A85"/>
  <c r="J84"/>
  <c r="I84"/>
  <c r="H84"/>
  <c r="G84"/>
  <c r="F84"/>
  <c r="J83"/>
  <c r="I83"/>
  <c r="H83"/>
  <c r="G83"/>
  <c r="F83"/>
  <c r="C82"/>
  <c r="V81"/>
  <c r="T81"/>
  <c r="R81"/>
  <c r="U81"/>
  <c r="S81"/>
  <c r="Q81"/>
  <c r="E81"/>
  <c r="D81"/>
  <c r="C81"/>
  <c r="B81"/>
  <c r="A81"/>
  <c r="K79"/>
  <c r="H79"/>
  <c r="G79"/>
  <c r="E79"/>
  <c r="E78"/>
  <c r="E77"/>
  <c r="J76"/>
  <c r="I76"/>
  <c r="H76"/>
  <c r="G76"/>
  <c r="F76"/>
  <c r="J75"/>
  <c r="I75"/>
  <c r="H75"/>
  <c r="G75"/>
  <c r="F75"/>
  <c r="C74"/>
  <c r="V73"/>
  <c r="T73"/>
  <c r="J78" s="1"/>
  <c r="R73"/>
  <c r="J77" s="1"/>
  <c r="U73"/>
  <c r="S73"/>
  <c r="Q73"/>
  <c r="E73"/>
  <c r="D73"/>
  <c r="C73"/>
  <c r="B73"/>
  <c r="A73"/>
  <c r="K71"/>
  <c r="H71"/>
  <c r="G71"/>
  <c r="E71"/>
  <c r="E70"/>
  <c r="E69"/>
  <c r="J68"/>
  <c r="I68"/>
  <c r="H68"/>
  <c r="G68"/>
  <c r="F68"/>
  <c r="J67"/>
  <c r="I67"/>
  <c r="H67"/>
  <c r="G67"/>
  <c r="F67"/>
  <c r="C66"/>
  <c r="V65"/>
  <c r="T65"/>
  <c r="J70" s="1"/>
  <c r="R65"/>
  <c r="J69" s="1"/>
  <c r="U65"/>
  <c r="S65"/>
  <c r="Q65"/>
  <c r="E65"/>
  <c r="D65"/>
  <c r="C65"/>
  <c r="B65"/>
  <c r="A65"/>
  <c r="K63"/>
  <c r="H63"/>
  <c r="G63"/>
  <c r="E63"/>
  <c r="E62"/>
  <c r="E61"/>
  <c r="J60"/>
  <c r="I60"/>
  <c r="H60"/>
  <c r="G60"/>
  <c r="F60"/>
  <c r="C59"/>
  <c r="V58"/>
  <c r="T58"/>
  <c r="J62" s="1"/>
  <c r="R58"/>
  <c r="J61" s="1"/>
  <c r="U58"/>
  <c r="S58"/>
  <c r="Q58"/>
  <c r="E58"/>
  <c r="D58"/>
  <c r="C58"/>
  <c r="B58"/>
  <c r="A58"/>
  <c r="K56"/>
  <c r="H56"/>
  <c r="G56"/>
  <c r="E56"/>
  <c r="E55"/>
  <c r="E54"/>
  <c r="J53"/>
  <c r="I53"/>
  <c r="H53"/>
  <c r="G53"/>
  <c r="F53"/>
  <c r="C52"/>
  <c r="V51"/>
  <c r="T51"/>
  <c r="J55" s="1"/>
  <c r="R51"/>
  <c r="J54" s="1"/>
  <c r="U51"/>
  <c r="S51"/>
  <c r="Q51"/>
  <c r="E51"/>
  <c r="D51"/>
  <c r="C51"/>
  <c r="B51"/>
  <c r="A51"/>
  <c r="K49"/>
  <c r="H49"/>
  <c r="G49"/>
  <c r="E49"/>
  <c r="E48"/>
  <c r="E47"/>
  <c r="E46"/>
  <c r="J45"/>
  <c r="I45"/>
  <c r="H45"/>
  <c r="G45"/>
  <c r="F45"/>
  <c r="J44"/>
  <c r="I44"/>
  <c r="H44"/>
  <c r="G44"/>
  <c r="F44"/>
  <c r="J43"/>
  <c r="I43"/>
  <c r="H43"/>
  <c r="G43"/>
  <c r="F43"/>
  <c r="C42"/>
  <c r="V41"/>
  <c r="J48" s="1"/>
  <c r="T41"/>
  <c r="J47" s="1"/>
  <c r="R41"/>
  <c r="J46" s="1"/>
  <c r="U41"/>
  <c r="S41"/>
  <c r="Q41"/>
  <c r="E41"/>
  <c r="D41"/>
  <c r="C41"/>
  <c r="B41"/>
  <c r="A41"/>
  <c r="K39"/>
  <c r="H39"/>
  <c r="G39"/>
  <c r="E39"/>
  <c r="E38"/>
  <c r="E37"/>
  <c r="E36"/>
  <c r="J35"/>
  <c r="I35"/>
  <c r="H35"/>
  <c r="G35"/>
  <c r="F35"/>
  <c r="J34"/>
  <c r="I34"/>
  <c r="H34"/>
  <c r="G34"/>
  <c r="F34"/>
  <c r="J33"/>
  <c r="I33"/>
  <c r="H33"/>
  <c r="G33"/>
  <c r="F33"/>
  <c r="C32"/>
  <c r="V31"/>
  <c r="J38" s="1"/>
  <c r="T31"/>
  <c r="J37" s="1"/>
  <c r="R31"/>
  <c r="J36" s="1"/>
  <c r="U31"/>
  <c r="S31"/>
  <c r="Q31"/>
  <c r="E31"/>
  <c r="D31"/>
  <c r="C31"/>
  <c r="B31"/>
  <c r="A31"/>
  <c r="A17"/>
  <c r="A10"/>
  <c r="G6"/>
  <c r="B6"/>
  <c r="A1"/>
  <c r="A1" i="4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" i="3"/>
  <c r="CY1"/>
  <c r="CZ1"/>
  <c r="DA1"/>
  <c r="DB1"/>
  <c r="DC1"/>
  <c r="A2"/>
  <c r="CY2"/>
  <c r="CZ2"/>
  <c r="DA2"/>
  <c r="DB2"/>
  <c r="DC2"/>
  <c r="A3"/>
  <c r="CY3"/>
  <c r="CZ3"/>
  <c r="DB3" s="1"/>
  <c r="DA3"/>
  <c r="DC3"/>
  <c r="A4"/>
  <c r="CY4"/>
  <c r="CZ4"/>
  <c r="DB4" s="1"/>
  <c r="DA4"/>
  <c r="DC4"/>
  <c r="A5"/>
  <c r="CY5"/>
  <c r="CZ5"/>
  <c r="DA5"/>
  <c r="DB5"/>
  <c r="DC5"/>
  <c r="A6"/>
  <c r="CY6"/>
  <c r="CZ6"/>
  <c r="DA6"/>
  <c r="DB6"/>
  <c r="DC6"/>
  <c r="A7"/>
  <c r="CY7"/>
  <c r="CZ7"/>
  <c r="DB7" s="1"/>
  <c r="DA7"/>
  <c r="DC7"/>
  <c r="A8"/>
  <c r="CY8"/>
  <c r="CZ8"/>
  <c r="DB8" s="1"/>
  <c r="DA8"/>
  <c r="DC8"/>
  <c r="A9"/>
  <c r="CY9"/>
  <c r="CZ9"/>
  <c r="DA9"/>
  <c r="DB9"/>
  <c r="DC9"/>
  <c r="A10"/>
  <c r="CY10"/>
  <c r="CZ10"/>
  <c r="DA10"/>
  <c r="DB10"/>
  <c r="DC10"/>
  <c r="A11"/>
  <c r="CY11"/>
  <c r="CZ11"/>
  <c r="DB11" s="1"/>
  <c r="DA11"/>
  <c r="DC11"/>
  <c r="A12"/>
  <c r="CY12"/>
  <c r="CZ12"/>
  <c r="DB12" s="1"/>
  <c r="DA12"/>
  <c r="DC12"/>
  <c r="A13"/>
  <c r="CY13"/>
  <c r="CZ13"/>
  <c r="DA13"/>
  <c r="DB13"/>
  <c r="DC13"/>
  <c r="A14"/>
  <c r="CY14"/>
  <c r="CZ14"/>
  <c r="DA14"/>
  <c r="DB14"/>
  <c r="DC14"/>
  <c r="A15"/>
  <c r="CY15"/>
  <c r="CZ15"/>
  <c r="DB15" s="1"/>
  <c r="DA15"/>
  <c r="DC15"/>
  <c r="A16"/>
  <c r="CY16"/>
  <c r="CZ16"/>
  <c r="DB16" s="1"/>
  <c r="DA16"/>
  <c r="DC16"/>
  <c r="A17"/>
  <c r="CY17"/>
  <c r="CZ17"/>
  <c r="DA17"/>
  <c r="DB17"/>
  <c r="DC17"/>
  <c r="A18"/>
  <c r="CY18"/>
  <c r="CZ18"/>
  <c r="DA18"/>
  <c r="DB18"/>
  <c r="DC18"/>
  <c r="A19"/>
  <c r="CY19"/>
  <c r="CZ19"/>
  <c r="DB19" s="1"/>
  <c r="DA19"/>
  <c r="DC19"/>
  <c r="A20"/>
  <c r="CY20"/>
  <c r="CZ20"/>
  <c r="DB20" s="1"/>
  <c r="DA20"/>
  <c r="DC20"/>
  <c r="A21"/>
  <c r="CY21"/>
  <c r="CZ21"/>
  <c r="DA21"/>
  <c r="DB21"/>
  <c r="DC21"/>
  <c r="A22"/>
  <c r="CY22"/>
  <c r="CZ22"/>
  <c r="DA22"/>
  <c r="DB22"/>
  <c r="DC22"/>
  <c r="A23"/>
  <c r="CY23"/>
  <c r="CZ23"/>
  <c r="DB23" s="1"/>
  <c r="DA23"/>
  <c r="DC23"/>
  <c r="A24"/>
  <c r="CY24"/>
  <c r="CZ24"/>
  <c r="DB24" s="1"/>
  <c r="DA24"/>
  <c r="DC24"/>
  <c r="A25"/>
  <c r="CY25"/>
  <c r="CZ25"/>
  <c r="DA25"/>
  <c r="DB25"/>
  <c r="DC25"/>
  <c r="A26"/>
  <c r="CY26"/>
  <c r="CZ26"/>
  <c r="DA26"/>
  <c r="DB26"/>
  <c r="DC26"/>
  <c r="A27"/>
  <c r="CY27"/>
  <c r="CZ27"/>
  <c r="DB27" s="1"/>
  <c r="DA27"/>
  <c r="DC27"/>
  <c r="A28"/>
  <c r="CY28"/>
  <c r="CZ28"/>
  <c r="DB28" s="1"/>
  <c r="DA28"/>
  <c r="DC28"/>
  <c r="A29"/>
  <c r="CY29"/>
  <c r="CZ29"/>
  <c r="DA29"/>
  <c r="DB29"/>
  <c r="DC29"/>
  <c r="A30"/>
  <c r="CY30"/>
  <c r="CZ30"/>
  <c r="DA30"/>
  <c r="DB30"/>
  <c r="DC30"/>
  <c r="A31"/>
  <c r="CY31"/>
  <c r="CZ31"/>
  <c r="DB31" s="1"/>
  <c r="DA31"/>
  <c r="DC31"/>
  <c r="A32"/>
  <c r="CY32"/>
  <c r="CZ32"/>
  <c r="DB32" s="1"/>
  <c r="DA32"/>
  <c r="DC32"/>
  <c r="A33"/>
  <c r="CY33"/>
  <c r="CZ33"/>
  <c r="DA33"/>
  <c r="DB33"/>
  <c r="DC33"/>
  <c r="A34"/>
  <c r="CY34"/>
  <c r="CZ34"/>
  <c r="DA34"/>
  <c r="DB34"/>
  <c r="DC34"/>
  <c r="A35"/>
  <c r="CY35"/>
  <c r="CZ35"/>
  <c r="DB35" s="1"/>
  <c r="DA35"/>
  <c r="DC35"/>
  <c r="A36"/>
  <c r="CY36"/>
  <c r="CZ36"/>
  <c r="DB36" s="1"/>
  <c r="DA36"/>
  <c r="DC36"/>
  <c r="A37"/>
  <c r="CY37"/>
  <c r="CZ37"/>
  <c r="DA37"/>
  <c r="DB37"/>
  <c r="DC37"/>
  <c r="A38"/>
  <c r="CY38"/>
  <c r="CZ38"/>
  <c r="DA38"/>
  <c r="DB38"/>
  <c r="DC38"/>
  <c r="A39"/>
  <c r="CY39"/>
  <c r="CZ39"/>
  <c r="DB39" s="1"/>
  <c r="DA39"/>
  <c r="DC39"/>
  <c r="A40"/>
  <c r="CY40"/>
  <c r="CZ40"/>
  <c r="DB40" s="1"/>
  <c r="DA40"/>
  <c r="DC40"/>
  <c r="A41"/>
  <c r="CY41"/>
  <c r="CZ41"/>
  <c r="DA41"/>
  <c r="DB41"/>
  <c r="DC41"/>
  <c r="A42"/>
  <c r="CY42"/>
  <c r="CZ42"/>
  <c r="DA42"/>
  <c r="DB42"/>
  <c r="DC42"/>
  <c r="A43"/>
  <c r="CY43"/>
  <c r="CZ43"/>
  <c r="DB43" s="1"/>
  <c r="DA43"/>
  <c r="DC43"/>
  <c r="A44"/>
  <c r="CY44"/>
  <c r="CZ44"/>
  <c r="DB44" s="1"/>
  <c r="DA44"/>
  <c r="DC44"/>
  <c r="A45"/>
  <c r="CY45"/>
  <c r="CZ45"/>
  <c r="DA45"/>
  <c r="DB45"/>
  <c r="DC45"/>
  <c r="A46"/>
  <c r="CY46"/>
  <c r="CZ46"/>
  <c r="DA46"/>
  <c r="DB46"/>
  <c r="DC46"/>
  <c r="A47"/>
  <c r="CY47"/>
  <c r="CZ47"/>
  <c r="DB47" s="1"/>
  <c r="DA47"/>
  <c r="DC47"/>
  <c r="A48"/>
  <c r="CY48"/>
  <c r="CZ48"/>
  <c r="DB48" s="1"/>
  <c r="DA48"/>
  <c r="DC48"/>
  <c r="A49"/>
  <c r="CY49"/>
  <c r="CZ49"/>
  <c r="DA49"/>
  <c r="DB49"/>
  <c r="DC49"/>
  <c r="A50"/>
  <c r="CY50"/>
  <c r="CZ50"/>
  <c r="DA50"/>
  <c r="DB50"/>
  <c r="DC50"/>
  <c r="A51"/>
  <c r="CY51"/>
  <c r="CZ51"/>
  <c r="DB51" s="1"/>
  <c r="DA51"/>
  <c r="DC51"/>
  <c r="A52"/>
  <c r="CY52"/>
  <c r="CZ52"/>
  <c r="DB52" s="1"/>
  <c r="DA52"/>
  <c r="DC52"/>
  <c r="A53"/>
  <c r="CY53"/>
  <c r="CZ53"/>
  <c r="DA53"/>
  <c r="DB53"/>
  <c r="DC53"/>
  <c r="A54"/>
  <c r="CY54"/>
  <c r="CZ54"/>
  <c r="DA54"/>
  <c r="DB54"/>
  <c r="DC54"/>
  <c r="A55"/>
  <c r="CY55"/>
  <c r="CZ55"/>
  <c r="DB55" s="1"/>
  <c r="DA55"/>
  <c r="DC55"/>
  <c r="A56"/>
  <c r="CY56"/>
  <c r="CZ56"/>
  <c r="DB56" s="1"/>
  <c r="DA56"/>
  <c r="DC56"/>
  <c r="A57"/>
  <c r="CY57"/>
  <c r="CZ57"/>
  <c r="DA57"/>
  <c r="DB57"/>
  <c r="DC57"/>
  <c r="A58"/>
  <c r="CY58"/>
  <c r="CZ58"/>
  <c r="DA58"/>
  <c r="DB58"/>
  <c r="DC58"/>
  <c r="A59"/>
  <c r="CY59"/>
  <c r="CZ59"/>
  <c r="DB59" s="1"/>
  <c r="DA59"/>
  <c r="DC59"/>
  <c r="A60"/>
  <c r="CY60"/>
  <c r="CZ60"/>
  <c r="DB60" s="1"/>
  <c r="DA60"/>
  <c r="DC60"/>
  <c r="A61"/>
  <c r="CY61"/>
  <c r="CZ61"/>
  <c r="DA61"/>
  <c r="DB61"/>
  <c r="DC61"/>
  <c r="A62"/>
  <c r="CY62"/>
  <c r="CZ62"/>
  <c r="DA62"/>
  <c r="DB62"/>
  <c r="DC62"/>
  <c r="A63"/>
  <c r="CY63"/>
  <c r="CZ63"/>
  <c r="DB63" s="1"/>
  <c r="DA63"/>
  <c r="DC63"/>
  <c r="A64"/>
  <c r="CY64"/>
  <c r="CZ64"/>
  <c r="DB64" s="1"/>
  <c r="DA64"/>
  <c r="DC64"/>
  <c r="A65"/>
  <c r="CY65"/>
  <c r="CZ65"/>
  <c r="DA65"/>
  <c r="DB65"/>
  <c r="DC65"/>
  <c r="A66"/>
  <c r="CY66"/>
  <c r="CZ66"/>
  <c r="DA66"/>
  <c r="DB66"/>
  <c r="DC66"/>
  <c r="A67"/>
  <c r="CY67"/>
  <c r="CZ67"/>
  <c r="DB67" s="1"/>
  <c r="DA67"/>
  <c r="DC67"/>
  <c r="A68"/>
  <c r="CY68"/>
  <c r="CZ68"/>
  <c r="DB68" s="1"/>
  <c r="DA68"/>
  <c r="DC68"/>
  <c r="A69"/>
  <c r="CY69"/>
  <c r="CZ69"/>
  <c r="DA69"/>
  <c r="DB69"/>
  <c r="DC69"/>
  <c r="A70"/>
  <c r="CY70"/>
  <c r="CZ70"/>
  <c r="DA70"/>
  <c r="DB70"/>
  <c r="DC70"/>
  <c r="A71"/>
  <c r="CY71"/>
  <c r="CZ71"/>
  <c r="DB71" s="1"/>
  <c r="DA71"/>
  <c r="DC71"/>
  <c r="A72"/>
  <c r="CY72"/>
  <c r="CZ72"/>
  <c r="DB72" s="1"/>
  <c r="DA72"/>
  <c r="DC72"/>
  <c r="A73"/>
  <c r="CY73"/>
  <c r="CZ73"/>
  <c r="DA73"/>
  <c r="DB73"/>
  <c r="DC73"/>
  <c r="A74"/>
  <c r="CY74"/>
  <c r="CZ74"/>
  <c r="DA74"/>
  <c r="DB74"/>
  <c r="DC74"/>
  <c r="A75"/>
  <c r="CY75"/>
  <c r="CZ75"/>
  <c r="DB75" s="1"/>
  <c r="DA75"/>
  <c r="DC75"/>
  <c r="A76"/>
  <c r="CY76"/>
  <c r="CZ76"/>
  <c r="DB76" s="1"/>
  <c r="DA76"/>
  <c r="DC76"/>
  <c r="A77"/>
  <c r="CY77"/>
  <c r="CZ77"/>
  <c r="DA77"/>
  <c r="DB77"/>
  <c r="DC77"/>
  <c r="A78"/>
  <c r="CY78"/>
  <c r="CZ78"/>
  <c r="DA78"/>
  <c r="DB78"/>
  <c r="DC78"/>
  <c r="A79"/>
  <c r="CY79"/>
  <c r="CZ79"/>
  <c r="DB79" s="1"/>
  <c r="DA79"/>
  <c r="DC79"/>
  <c r="A80"/>
  <c r="CY80"/>
  <c r="CZ80"/>
  <c r="DB80" s="1"/>
  <c r="DA80"/>
  <c r="DC80"/>
  <c r="A81"/>
  <c r="CY81"/>
  <c r="CZ81"/>
  <c r="DA81"/>
  <c r="DB81"/>
  <c r="DC81"/>
  <c r="A82"/>
  <c r="CY82"/>
  <c r="CZ82"/>
  <c r="DA82"/>
  <c r="DB82"/>
  <c r="DC82"/>
  <c r="A83"/>
  <c r="CY83"/>
  <c r="CZ83"/>
  <c r="DB83" s="1"/>
  <c r="DA83"/>
  <c r="DC83"/>
  <c r="A84"/>
  <c r="CY84"/>
  <c r="CZ84"/>
  <c r="DB84" s="1"/>
  <c r="DA84"/>
  <c r="DC84"/>
  <c r="A85"/>
  <c r="CY85"/>
  <c r="CZ85"/>
  <c r="DA85"/>
  <c r="DB85"/>
  <c r="DC85"/>
  <c r="A86"/>
  <c r="CY86"/>
  <c r="CZ86"/>
  <c r="DA86"/>
  <c r="DB86"/>
  <c r="DC86"/>
  <c r="A87"/>
  <c r="CY87"/>
  <c r="CZ87"/>
  <c r="DB87" s="1"/>
  <c r="DA87"/>
  <c r="DC87"/>
  <c r="A88"/>
  <c r="CY88"/>
  <c r="CZ88"/>
  <c r="DB88" s="1"/>
  <c r="DA88"/>
  <c r="DC88"/>
  <c r="A89"/>
  <c r="CY89"/>
  <c r="CZ89"/>
  <c r="DA89"/>
  <c r="DB89"/>
  <c r="DC89"/>
  <c r="A90"/>
  <c r="CY90"/>
  <c r="CZ90"/>
  <c r="DA90"/>
  <c r="DB90"/>
  <c r="DC90"/>
  <c r="A91"/>
  <c r="CY91"/>
  <c r="CZ91"/>
  <c r="DB91" s="1"/>
  <c r="DA91"/>
  <c r="DC91"/>
  <c r="A92"/>
  <c r="CY92"/>
  <c r="CZ92"/>
  <c r="DB92" s="1"/>
  <c r="DA92"/>
  <c r="DC92"/>
  <c r="A93"/>
  <c r="CY93"/>
  <c r="CZ93"/>
  <c r="DA93"/>
  <c r="DB93"/>
  <c r="DC93"/>
  <c r="A94"/>
  <c r="CY94"/>
  <c r="CZ94"/>
  <c r="DA94"/>
  <c r="DB94"/>
  <c r="DC94"/>
  <c r="A95"/>
  <c r="CY95"/>
  <c r="CZ95"/>
  <c r="DB95" s="1"/>
  <c r="DA95"/>
  <c r="DC95"/>
  <c r="A96"/>
  <c r="CY96"/>
  <c r="CZ96"/>
  <c r="DB96" s="1"/>
  <c r="DA96"/>
  <c r="DC96"/>
  <c r="A97"/>
  <c r="CY97"/>
  <c r="CZ97"/>
  <c r="DA97"/>
  <c r="DB97"/>
  <c r="DC97"/>
  <c r="A98"/>
  <c r="CY98"/>
  <c r="CZ98"/>
  <c r="DA98"/>
  <c r="DB98"/>
  <c r="DC98"/>
  <c r="A99"/>
  <c r="CY99"/>
  <c r="CZ99"/>
  <c r="DB99" s="1"/>
  <c r="DA99"/>
  <c r="DC99"/>
  <c r="A100"/>
  <c r="CY100"/>
  <c r="CZ100"/>
  <c r="DB100" s="1"/>
  <c r="DA100"/>
  <c r="DC100"/>
  <c r="A101"/>
  <c r="CY101"/>
  <c r="CZ101"/>
  <c r="DA101"/>
  <c r="DB101"/>
  <c r="DC101"/>
  <c r="A102"/>
  <c r="CY102"/>
  <c r="CZ102"/>
  <c r="DA102"/>
  <c r="DB102"/>
  <c r="DC102"/>
  <c r="A103"/>
  <c r="CY103"/>
  <c r="CZ103"/>
  <c r="DB103" s="1"/>
  <c r="DA103"/>
  <c r="DC103"/>
  <c r="A104"/>
  <c r="CY104"/>
  <c r="CZ104"/>
  <c r="DB104" s="1"/>
  <c r="DA104"/>
  <c r="DC104"/>
  <c r="A105"/>
  <c r="CY105"/>
  <c r="CZ105"/>
  <c r="DA105"/>
  <c r="DB105"/>
  <c r="DC105"/>
  <c r="A106"/>
  <c r="CY106"/>
  <c r="CZ106"/>
  <c r="DA106"/>
  <c r="DB106"/>
  <c r="DC106"/>
  <c r="A107"/>
  <c r="CY107"/>
  <c r="CZ107"/>
  <c r="DB107" s="1"/>
  <c r="DA107"/>
  <c r="DC107"/>
  <c r="A108"/>
  <c r="CY108"/>
  <c r="CZ108"/>
  <c r="DB108" s="1"/>
  <c r="DA108"/>
  <c r="DC108"/>
  <c r="A109"/>
  <c r="CY109"/>
  <c r="CZ109"/>
  <c r="DA109"/>
  <c r="DB109"/>
  <c r="DC109"/>
  <c r="A110"/>
  <c r="CY110"/>
  <c r="CZ110"/>
  <c r="DA110"/>
  <c r="DB110"/>
  <c r="DC110"/>
  <c r="A111"/>
  <c r="CY111"/>
  <c r="CZ111"/>
  <c r="DB111" s="1"/>
  <c r="DA111"/>
  <c r="DC111"/>
  <c r="A112"/>
  <c r="CY112"/>
  <c r="CZ112"/>
  <c r="DB112" s="1"/>
  <c r="DA112"/>
  <c r="DC112"/>
  <c r="A113"/>
  <c r="CY113"/>
  <c r="CZ113"/>
  <c r="DA113"/>
  <c r="DB113"/>
  <c r="DC113"/>
  <c r="A114"/>
  <c r="CY114"/>
  <c r="CZ114"/>
  <c r="DA114"/>
  <c r="DB114"/>
  <c r="DC114"/>
  <c r="A115"/>
  <c r="CY115"/>
  <c r="CZ115"/>
  <c r="DB115" s="1"/>
  <c r="DA115"/>
  <c r="DC115"/>
  <c r="A116"/>
  <c r="CY116"/>
  <c r="CZ116"/>
  <c r="DB116" s="1"/>
  <c r="DA116"/>
  <c r="DC116"/>
  <c r="A117"/>
  <c r="CY117"/>
  <c r="CZ117"/>
  <c r="DA117"/>
  <c r="DB117"/>
  <c r="DC117"/>
  <c r="A118"/>
  <c r="CY118"/>
  <c r="CZ118"/>
  <c r="DA118"/>
  <c r="DB118"/>
  <c r="DC118"/>
  <c r="A119"/>
  <c r="CY119"/>
  <c r="CZ119"/>
  <c r="DB119" s="1"/>
  <c r="DA119"/>
  <c r="DC119"/>
  <c r="A120"/>
  <c r="CY120"/>
  <c r="CZ120"/>
  <c r="DB120" s="1"/>
  <c r="DA120"/>
  <c r="DC120"/>
  <c r="A121"/>
  <c r="CY121"/>
  <c r="CZ121"/>
  <c r="DA121"/>
  <c r="DB121"/>
  <c r="DC121"/>
  <c r="A122"/>
  <c r="CY122"/>
  <c r="CZ122"/>
  <c r="DA122"/>
  <c r="DB122"/>
  <c r="DC122"/>
  <c r="A123"/>
  <c r="CY123"/>
  <c r="CZ123"/>
  <c r="DB123" s="1"/>
  <c r="DA123"/>
  <c r="DC123"/>
  <c r="A124"/>
  <c r="CY124"/>
  <c r="CZ124"/>
  <c r="DB124" s="1"/>
  <c r="DA124"/>
  <c r="DC124"/>
  <c r="A125"/>
  <c r="CY125"/>
  <c r="CZ125"/>
  <c r="DA125"/>
  <c r="DB125"/>
  <c r="DC125"/>
  <c r="A126"/>
  <c r="CY126"/>
  <c r="CZ126"/>
  <c r="DA126"/>
  <c r="DB126"/>
  <c r="DC126"/>
  <c r="A127"/>
  <c r="CY127"/>
  <c r="CZ127"/>
  <c r="DB127" s="1"/>
  <c r="DA127"/>
  <c r="DC127"/>
  <c r="A128"/>
  <c r="CY128"/>
  <c r="CZ128"/>
  <c r="DB128" s="1"/>
  <c r="DA128"/>
  <c r="DC128"/>
  <c r="A129"/>
  <c r="CY129"/>
  <c r="CZ129"/>
  <c r="DA129"/>
  <c r="DB129"/>
  <c r="DC129"/>
  <c r="A130"/>
  <c r="CY130"/>
  <c r="CZ130"/>
  <c r="DA130"/>
  <c r="DB130"/>
  <c r="DC130"/>
  <c r="A131"/>
  <c r="CY131"/>
  <c r="CZ131"/>
  <c r="DB131" s="1"/>
  <c r="DA131"/>
  <c r="DC131"/>
  <c r="A132"/>
  <c r="CY132"/>
  <c r="CZ132"/>
  <c r="DB132" s="1"/>
  <c r="DA132"/>
  <c r="DC132"/>
  <c r="A133"/>
  <c r="CY133"/>
  <c r="CZ133"/>
  <c r="DA133"/>
  <c r="DB133"/>
  <c r="DC133"/>
  <c r="A134"/>
  <c r="CY134"/>
  <c r="CZ134"/>
  <c r="DA134"/>
  <c r="DB134"/>
  <c r="DC134"/>
  <c r="A135"/>
  <c r="CY135"/>
  <c r="CZ135"/>
  <c r="DB135" s="1"/>
  <c r="DA135"/>
  <c r="DC135"/>
  <c r="A136"/>
  <c r="CY136"/>
  <c r="CZ136"/>
  <c r="DB136" s="1"/>
  <c r="DA136"/>
  <c r="DC136"/>
  <c r="A137"/>
  <c r="CY137"/>
  <c r="CZ137"/>
  <c r="DA137"/>
  <c r="DB137"/>
  <c r="DC137"/>
  <c r="A138"/>
  <c r="CY138"/>
  <c r="CZ138"/>
  <c r="DA138"/>
  <c r="DB138"/>
  <c r="DC138"/>
  <c r="A139"/>
  <c r="CY139"/>
  <c r="CZ139"/>
  <c r="DB139" s="1"/>
  <c r="DA139"/>
  <c r="DC139"/>
  <c r="A140"/>
  <c r="CY140"/>
  <c r="CZ140"/>
  <c r="DB140" s="1"/>
  <c r="DA140"/>
  <c r="DC140"/>
  <c r="A141"/>
  <c r="CY141"/>
  <c r="CZ141"/>
  <c r="DA141"/>
  <c r="DB141"/>
  <c r="DC141"/>
  <c r="A142"/>
  <c r="CY142"/>
  <c r="CZ142"/>
  <c r="DA142"/>
  <c r="DB142"/>
  <c r="DC142"/>
  <c r="A143"/>
  <c r="CY143"/>
  <c r="CZ143"/>
  <c r="DB143" s="1"/>
  <c r="DA143"/>
  <c r="DC143"/>
  <c r="A144"/>
  <c r="CY144"/>
  <c r="CZ144"/>
  <c r="DB144" s="1"/>
  <c r="DA144"/>
  <c r="DC144"/>
  <c r="A145"/>
  <c r="CY145"/>
  <c r="CZ145"/>
  <c r="DA145"/>
  <c r="DB145"/>
  <c r="DC145"/>
  <c r="A146"/>
  <c r="CY146"/>
  <c r="CZ146"/>
  <c r="DA146"/>
  <c r="DB146"/>
  <c r="DC146"/>
  <c r="A147"/>
  <c r="CY147"/>
  <c r="CZ147"/>
  <c r="DB147" s="1"/>
  <c r="DA147"/>
  <c r="DC147"/>
  <c r="A148"/>
  <c r="CY148"/>
  <c r="CZ148"/>
  <c r="DB148" s="1"/>
  <c r="DA148"/>
  <c r="DC148"/>
  <c r="A149"/>
  <c r="CY149"/>
  <c r="CZ149"/>
  <c r="DA149"/>
  <c r="DB149"/>
  <c r="DC149"/>
  <c r="A150"/>
  <c r="CY150"/>
  <c r="CZ150"/>
  <c r="DA150"/>
  <c r="DB150"/>
  <c r="DC150"/>
  <c r="A151"/>
  <c r="CY151"/>
  <c r="CZ151"/>
  <c r="DB151" s="1"/>
  <c r="DA151"/>
  <c r="DC151"/>
  <c r="A152"/>
  <c r="CY152"/>
  <c r="CZ152"/>
  <c r="DB152" s="1"/>
  <c r="DA152"/>
  <c r="DC152"/>
  <c r="A153"/>
  <c r="CY153"/>
  <c r="CZ153"/>
  <c r="DA153"/>
  <c r="DB153"/>
  <c r="DC153"/>
  <c r="A154"/>
  <c r="CY154"/>
  <c r="CZ154"/>
  <c r="DA154"/>
  <c r="DB154"/>
  <c r="DC154"/>
  <c r="A155"/>
  <c r="CY155"/>
  <c r="CZ155"/>
  <c r="DB155" s="1"/>
  <c r="DA155"/>
  <c r="DC155"/>
  <c r="A156"/>
  <c r="CY156"/>
  <c r="CZ156"/>
  <c r="DB156" s="1"/>
  <c r="DA156"/>
  <c r="DC156"/>
  <c r="A157"/>
  <c r="CY157"/>
  <c r="CZ157"/>
  <c r="DA157"/>
  <c r="DB157"/>
  <c r="DC157"/>
  <c r="A158"/>
  <c r="CY158"/>
  <c r="CZ158"/>
  <c r="DA158"/>
  <c r="DB158"/>
  <c r="DC158"/>
  <c r="A159"/>
  <c r="CY159"/>
  <c r="CZ159"/>
  <c r="DB159" s="1"/>
  <c r="DA159"/>
  <c r="DC159"/>
  <c r="A160"/>
  <c r="CY160"/>
  <c r="CZ160"/>
  <c r="DB160" s="1"/>
  <c r="DA160"/>
  <c r="DC160"/>
  <c r="A161"/>
  <c r="CY161"/>
  <c r="CZ161"/>
  <c r="DA161"/>
  <c r="DB161"/>
  <c r="DC161"/>
  <c r="A162"/>
  <c r="CY162"/>
  <c r="CZ162"/>
  <c r="DA162"/>
  <c r="DB162"/>
  <c r="DC162"/>
  <c r="A163"/>
  <c r="CY163"/>
  <c r="CZ163"/>
  <c r="DB163" s="1"/>
  <c r="DA163"/>
  <c r="DC163"/>
  <c r="A164"/>
  <c r="CY164"/>
  <c r="CZ164"/>
  <c r="DB164" s="1"/>
  <c r="DA164"/>
  <c r="DC164"/>
  <c r="A165"/>
  <c r="CY165"/>
  <c r="CZ165"/>
  <c r="DA165"/>
  <c r="DB165"/>
  <c r="DC165"/>
  <c r="A166"/>
  <c r="CY166"/>
  <c r="CZ166"/>
  <c r="DA166"/>
  <c r="DB166"/>
  <c r="DC166"/>
  <c r="A167"/>
  <c r="CY167"/>
  <c r="CZ167"/>
  <c r="DB167" s="1"/>
  <c r="DA167"/>
  <c r="DC167"/>
  <c r="A168"/>
  <c r="CX168"/>
  <c r="CY168"/>
  <c r="CZ168"/>
  <c r="DB168" s="1"/>
  <c r="DA168"/>
  <c r="DC168"/>
  <c r="A169"/>
  <c r="CX169"/>
  <c r="CY169"/>
  <c r="CZ169"/>
  <c r="DA169"/>
  <c r="DB169"/>
  <c r="DC169"/>
  <c r="A170"/>
  <c r="CX170"/>
  <c r="CY170"/>
  <c r="CZ170"/>
  <c r="DA170"/>
  <c r="DB170"/>
  <c r="DC170"/>
  <c r="A171"/>
  <c r="CX171"/>
  <c r="CY171"/>
  <c r="CZ171"/>
  <c r="DB171" s="1"/>
  <c r="DA171"/>
  <c r="DC171"/>
  <c r="A172"/>
  <c r="CX172"/>
  <c r="CY172"/>
  <c r="CZ172"/>
  <c r="DB172" s="1"/>
  <c r="DA172"/>
  <c r="DC172"/>
  <c r="A173"/>
  <c r="CX173"/>
  <c r="CY173"/>
  <c r="CZ173"/>
  <c r="DA173"/>
  <c r="DB173"/>
  <c r="DC173"/>
  <c r="A174"/>
  <c r="CX174"/>
  <c r="CY174"/>
  <c r="CZ174"/>
  <c r="DA174"/>
  <c r="DB174"/>
  <c r="DC174"/>
  <c r="A175"/>
  <c r="CX175"/>
  <c r="CY175"/>
  <c r="CZ175"/>
  <c r="DB175" s="1"/>
  <c r="DA175"/>
  <c r="DC175"/>
  <c r="A176"/>
  <c r="CY176"/>
  <c r="CZ176"/>
  <c r="DB176" s="1"/>
  <c r="DA176"/>
  <c r="DC176"/>
  <c r="A177"/>
  <c r="CY177"/>
  <c r="CZ177"/>
  <c r="DA177"/>
  <c r="DB177"/>
  <c r="DC177"/>
  <c r="A178"/>
  <c r="CY178"/>
  <c r="CZ178"/>
  <c r="DA178"/>
  <c r="DB178"/>
  <c r="DC178"/>
  <c r="A179"/>
  <c r="CY179"/>
  <c r="CZ179"/>
  <c r="DB179" s="1"/>
  <c r="DA179"/>
  <c r="DC179"/>
  <c r="A180"/>
  <c r="CY180"/>
  <c r="CZ180"/>
  <c r="DB180" s="1"/>
  <c r="DA180"/>
  <c r="DC180"/>
  <c r="A181"/>
  <c r="CY181"/>
  <c r="CZ181"/>
  <c r="DA181"/>
  <c r="DB181"/>
  <c r="DC181"/>
  <c r="A182"/>
  <c r="CY182"/>
  <c r="CZ182"/>
  <c r="DA182"/>
  <c r="DB182"/>
  <c r="DC182"/>
  <c r="A183"/>
  <c r="CY183"/>
  <c r="CZ183"/>
  <c r="DB183" s="1"/>
  <c r="DA183"/>
  <c r="DC183"/>
  <c r="A184"/>
  <c r="CY184"/>
  <c r="CZ184"/>
  <c r="DB184" s="1"/>
  <c r="DA184"/>
  <c r="DC184"/>
  <c r="A185"/>
  <c r="CY185"/>
  <c r="CZ185"/>
  <c r="DA185"/>
  <c r="DB185"/>
  <c r="DC185"/>
  <c r="A186"/>
  <c r="CY186"/>
  <c r="CZ186"/>
  <c r="DA186"/>
  <c r="DB186"/>
  <c r="DC186"/>
  <c r="A187"/>
  <c r="CY187"/>
  <c r="CZ187"/>
  <c r="DB187" s="1"/>
  <c r="DA187"/>
  <c r="DC187"/>
  <c r="A188"/>
  <c r="CX188"/>
  <c r="CY188"/>
  <c r="CZ188"/>
  <c r="DB188" s="1"/>
  <c r="DA188"/>
  <c r="DC188"/>
  <c r="A189"/>
  <c r="CY189"/>
  <c r="CZ189"/>
  <c r="DA189"/>
  <c r="DB189"/>
  <c r="DC189"/>
  <c r="A190"/>
  <c r="CY190"/>
  <c r="CZ190"/>
  <c r="DA190"/>
  <c r="DB190"/>
  <c r="DC190"/>
  <c r="A191"/>
  <c r="CY191"/>
  <c r="CZ191"/>
  <c r="DB191" s="1"/>
  <c r="DA191"/>
  <c r="DC191"/>
  <c r="A192"/>
  <c r="CY192"/>
  <c r="CZ192"/>
  <c r="DB192" s="1"/>
  <c r="DA192"/>
  <c r="DC192"/>
  <c r="A193"/>
  <c r="CY193"/>
  <c r="CZ193"/>
  <c r="DA193"/>
  <c r="DB193"/>
  <c r="DC193"/>
  <c r="A194"/>
  <c r="CY194"/>
  <c r="CZ194"/>
  <c r="DA194"/>
  <c r="DB194"/>
  <c r="DC194"/>
  <c r="A195"/>
  <c r="CY195"/>
  <c r="CZ195"/>
  <c r="DB195" s="1"/>
  <c r="DA195"/>
  <c r="DC195"/>
  <c r="A196"/>
  <c r="CY196"/>
  <c r="CZ196"/>
  <c r="DB196" s="1"/>
  <c r="DA196"/>
  <c r="DC196"/>
  <c r="A197"/>
  <c r="CY197"/>
  <c r="CZ197"/>
  <c r="DA197"/>
  <c r="DB197"/>
  <c r="DC197"/>
  <c r="A198"/>
  <c r="CY198"/>
  <c r="CZ198"/>
  <c r="DA198"/>
  <c r="DB198"/>
  <c r="DC198"/>
  <c r="A199"/>
  <c r="CY199"/>
  <c r="CZ199"/>
  <c r="DB199" s="1"/>
  <c r="DA199"/>
  <c r="DC199"/>
  <c r="A200"/>
  <c r="CX200"/>
  <c r="CY200"/>
  <c r="CZ200"/>
  <c r="DB200" s="1"/>
  <c r="DA200"/>
  <c r="DC200"/>
  <c r="A201"/>
  <c r="CX201"/>
  <c r="CY201"/>
  <c r="CZ201"/>
  <c r="DA201"/>
  <c r="DB201"/>
  <c r="DC201"/>
  <c r="A202"/>
  <c r="CX202"/>
  <c r="CY202"/>
  <c r="CZ202"/>
  <c r="DA202"/>
  <c r="DB202"/>
  <c r="DC202"/>
  <c r="A203"/>
  <c r="CX203"/>
  <c r="CY203"/>
  <c r="CZ203"/>
  <c r="DB203" s="1"/>
  <c r="DA203"/>
  <c r="DC203"/>
  <c r="A204"/>
  <c r="CX204"/>
  <c r="CY204"/>
  <c r="CZ204"/>
  <c r="DB204" s="1"/>
  <c r="DA204"/>
  <c r="DC204"/>
  <c r="A205"/>
  <c r="CX205"/>
  <c r="CY205"/>
  <c r="CZ205"/>
  <c r="DA205"/>
  <c r="DB205"/>
  <c r="DC205"/>
  <c r="D12" i="1"/>
  <c r="E18"/>
  <c r="Z18"/>
  <c r="AA18"/>
  <c r="AB18"/>
  <c r="AC18"/>
  <c r="AD18"/>
  <c r="AE18"/>
  <c r="AF18"/>
  <c r="AG18"/>
  <c r="AH18"/>
  <c r="AI18"/>
  <c r="AJ18"/>
  <c r="AK18"/>
  <c r="AL18"/>
  <c r="AM18"/>
  <c r="AN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D20"/>
  <c r="E22"/>
  <c r="Z22"/>
  <c r="AA22"/>
  <c r="AB22"/>
  <c r="AC22"/>
  <c r="AD22"/>
  <c r="AE22"/>
  <c r="AF22"/>
  <c r="AG22"/>
  <c r="AH22"/>
  <c r="AI22"/>
  <c r="AJ22"/>
  <c r="AK22"/>
  <c r="AL22"/>
  <c r="AM22"/>
  <c r="AN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D24"/>
  <c r="E26"/>
  <c r="Z26"/>
  <c r="AA26"/>
  <c r="AM26"/>
  <c r="AN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C28"/>
  <c r="D28"/>
  <c r="I28"/>
  <c r="CX1" i="3" s="1"/>
  <c r="AC28" i="1"/>
  <c r="AE28"/>
  <c r="CS28" s="1"/>
  <c r="R28" s="1"/>
  <c r="AF28"/>
  <c r="CT28" s="1"/>
  <c r="S28" s="1"/>
  <c r="AG28"/>
  <c r="AH28"/>
  <c r="AI28"/>
  <c r="CW28" s="1"/>
  <c r="V28" s="1"/>
  <c r="AJ28"/>
  <c r="CX28" s="1"/>
  <c r="W28" s="1"/>
  <c r="CQ28"/>
  <c r="P28" s="1"/>
  <c r="CR28"/>
  <c r="Q28" s="1"/>
  <c r="CU28"/>
  <c r="T28" s="1"/>
  <c r="CV28"/>
  <c r="U28" s="1"/>
  <c r="FR28"/>
  <c r="GL28"/>
  <c r="GN28"/>
  <c r="GO28"/>
  <c r="GV28"/>
  <c r="HC28" s="1"/>
  <c r="GX28" s="1"/>
  <c r="C29"/>
  <c r="D29"/>
  <c r="I29"/>
  <c r="CX3" i="3" s="1"/>
  <c r="AC29" i="1"/>
  <c r="AE29"/>
  <c r="CS29" s="1"/>
  <c r="R29" s="1"/>
  <c r="GK29" s="1"/>
  <c r="AF29"/>
  <c r="CT29" s="1"/>
  <c r="S29" s="1"/>
  <c r="AG29"/>
  <c r="AH29"/>
  <c r="AI29"/>
  <c r="CW29" s="1"/>
  <c r="V29" s="1"/>
  <c r="AJ29"/>
  <c r="CX29" s="1"/>
  <c r="W29" s="1"/>
  <c r="CQ29"/>
  <c r="P29" s="1"/>
  <c r="CR29"/>
  <c r="Q29" s="1"/>
  <c r="CU29"/>
  <c r="T29" s="1"/>
  <c r="CV29"/>
  <c r="U29" s="1"/>
  <c r="FR29"/>
  <c r="GL29"/>
  <c r="GN29"/>
  <c r="GO29"/>
  <c r="GV29"/>
  <c r="HC29" s="1"/>
  <c r="GX29" s="1"/>
  <c r="C30"/>
  <c r="D30"/>
  <c r="I30"/>
  <c r="CX5" i="3" s="1"/>
  <c r="AC30" i="1"/>
  <c r="AE30"/>
  <c r="CS30" s="1"/>
  <c r="R30" s="1"/>
  <c r="GK30" s="1"/>
  <c r="AF30"/>
  <c r="CT30" s="1"/>
  <c r="S30" s="1"/>
  <c r="AG30"/>
  <c r="AH30"/>
  <c r="AI30"/>
  <c r="CW30" s="1"/>
  <c r="V30" s="1"/>
  <c r="AJ30"/>
  <c r="CX30" s="1"/>
  <c r="W30" s="1"/>
  <c r="CQ30"/>
  <c r="P30" s="1"/>
  <c r="CP30" s="1"/>
  <c r="O30" s="1"/>
  <c r="CR30"/>
  <c r="Q30" s="1"/>
  <c r="CU30"/>
  <c r="T30" s="1"/>
  <c r="CV30"/>
  <c r="U30" s="1"/>
  <c r="FR30"/>
  <c r="GL30"/>
  <c r="GN30"/>
  <c r="GO30"/>
  <c r="GV30"/>
  <c r="HC30" s="1"/>
  <c r="GX30" s="1"/>
  <c r="C31"/>
  <c r="D31"/>
  <c r="I31"/>
  <c r="CX6" i="3" s="1"/>
  <c r="AC31" i="1"/>
  <c r="AE31"/>
  <c r="CS31" s="1"/>
  <c r="R31" s="1"/>
  <c r="GK31" s="1"/>
  <c r="AF31"/>
  <c r="CT31" s="1"/>
  <c r="S31" s="1"/>
  <c r="AG31"/>
  <c r="AH31"/>
  <c r="AI31"/>
  <c r="CW31" s="1"/>
  <c r="V31" s="1"/>
  <c r="AJ31"/>
  <c r="CX31" s="1"/>
  <c r="W31" s="1"/>
  <c r="CQ31"/>
  <c r="P31" s="1"/>
  <c r="CR31"/>
  <c r="Q31" s="1"/>
  <c r="CU31"/>
  <c r="T31" s="1"/>
  <c r="CV31"/>
  <c r="U31" s="1"/>
  <c r="FR31"/>
  <c r="GL31"/>
  <c r="GN31"/>
  <c r="GO31"/>
  <c r="GV31"/>
  <c r="HC31" s="1"/>
  <c r="GX31" s="1"/>
  <c r="C32"/>
  <c r="D32"/>
  <c r="I32"/>
  <c r="CX7" i="3" s="1"/>
  <c r="AC32" i="1"/>
  <c r="AE32"/>
  <c r="CS32" s="1"/>
  <c r="R32" s="1"/>
  <c r="GK32" s="1"/>
  <c r="AF32"/>
  <c r="CT32" s="1"/>
  <c r="S32" s="1"/>
  <c r="AG32"/>
  <c r="AH32"/>
  <c r="AI32"/>
  <c r="CW32" s="1"/>
  <c r="V32" s="1"/>
  <c r="AJ32"/>
  <c r="CX32" s="1"/>
  <c r="W32" s="1"/>
  <c r="CQ32"/>
  <c r="P32" s="1"/>
  <c r="CP32" s="1"/>
  <c r="O32" s="1"/>
  <c r="CR32"/>
  <c r="Q32" s="1"/>
  <c r="CU32"/>
  <c r="T32" s="1"/>
  <c r="CV32"/>
  <c r="U32" s="1"/>
  <c r="FR32"/>
  <c r="GL32"/>
  <c r="GN32"/>
  <c r="GO32"/>
  <c r="GV32"/>
  <c r="HC32" s="1"/>
  <c r="GX32" s="1"/>
  <c r="C33"/>
  <c r="D33"/>
  <c r="I33"/>
  <c r="CX9" i="3" s="1"/>
  <c r="AC33" i="1"/>
  <c r="AE33"/>
  <c r="CS33" s="1"/>
  <c r="R33" s="1"/>
  <c r="GK33" s="1"/>
  <c r="AF33"/>
  <c r="CT33" s="1"/>
  <c r="S33" s="1"/>
  <c r="AG33"/>
  <c r="AH33"/>
  <c r="AI33"/>
  <c r="CW33" s="1"/>
  <c r="V33" s="1"/>
  <c r="AJ33"/>
  <c r="CX33" s="1"/>
  <c r="W33" s="1"/>
  <c r="CQ33"/>
  <c r="P33" s="1"/>
  <c r="CR33"/>
  <c r="Q33" s="1"/>
  <c r="CU33"/>
  <c r="T33" s="1"/>
  <c r="CV33"/>
  <c r="U33" s="1"/>
  <c r="FR33"/>
  <c r="GL33"/>
  <c r="GN33"/>
  <c r="GO33"/>
  <c r="GV33"/>
  <c r="HC33" s="1"/>
  <c r="GX33" s="1"/>
  <c r="C34"/>
  <c r="D34"/>
  <c r="I34"/>
  <c r="CX11" i="3" s="1"/>
  <c r="AC34" i="1"/>
  <c r="AE34"/>
  <c r="CS34" s="1"/>
  <c r="R34" s="1"/>
  <c r="GK34" s="1"/>
  <c r="AF34"/>
  <c r="CT34" s="1"/>
  <c r="S34" s="1"/>
  <c r="AG34"/>
  <c r="AH34"/>
  <c r="AI34"/>
  <c r="CW34" s="1"/>
  <c r="V34" s="1"/>
  <c r="AJ34"/>
  <c r="CX34" s="1"/>
  <c r="W34" s="1"/>
  <c r="CQ34"/>
  <c r="P34" s="1"/>
  <c r="CP34" s="1"/>
  <c r="O34" s="1"/>
  <c r="CR34"/>
  <c r="Q34" s="1"/>
  <c r="CU34"/>
  <c r="T34" s="1"/>
  <c r="CV34"/>
  <c r="U34" s="1"/>
  <c r="FR34"/>
  <c r="GL34"/>
  <c r="GN34"/>
  <c r="GO34"/>
  <c r="GV34"/>
  <c r="HC34" s="1"/>
  <c r="GX34" s="1"/>
  <c r="I35"/>
  <c r="AC35"/>
  <c r="CQ35" s="1"/>
  <c r="P35" s="1"/>
  <c r="AD35"/>
  <c r="AE35"/>
  <c r="AF35"/>
  <c r="AG35"/>
  <c r="CU35" s="1"/>
  <c r="T35" s="1"/>
  <c r="AH35"/>
  <c r="CV35" s="1"/>
  <c r="U35" s="1"/>
  <c r="AI35"/>
  <c r="AJ35"/>
  <c r="CR35"/>
  <c r="Q35" s="1"/>
  <c r="CS35"/>
  <c r="R35" s="1"/>
  <c r="GK35" s="1"/>
  <c r="CT35"/>
  <c r="S35" s="1"/>
  <c r="CW35"/>
  <c r="V35" s="1"/>
  <c r="CX35"/>
  <c r="W35" s="1"/>
  <c r="FR35"/>
  <c r="GL35"/>
  <c r="GN35"/>
  <c r="GO35"/>
  <c r="GV35"/>
  <c r="HC35"/>
  <c r="GX35" s="1"/>
  <c r="I36"/>
  <c r="AC36"/>
  <c r="AE36"/>
  <c r="CS36" s="1"/>
  <c r="R36" s="1"/>
  <c r="GK36" s="1"/>
  <c r="AF36"/>
  <c r="CT36" s="1"/>
  <c r="S36" s="1"/>
  <c r="AG36"/>
  <c r="AH36"/>
  <c r="AI36"/>
  <c r="CW36" s="1"/>
  <c r="V36" s="1"/>
  <c r="AJ36"/>
  <c r="CX36" s="1"/>
  <c r="W36" s="1"/>
  <c r="CQ36"/>
  <c r="P36" s="1"/>
  <c r="CR36"/>
  <c r="Q36" s="1"/>
  <c r="CU36"/>
  <c r="T36" s="1"/>
  <c r="CV36"/>
  <c r="U36" s="1"/>
  <c r="FR36"/>
  <c r="GL36"/>
  <c r="GN36"/>
  <c r="GO36"/>
  <c r="GV36"/>
  <c r="HC36" s="1"/>
  <c r="GX36" s="1"/>
  <c r="I37"/>
  <c r="AC37"/>
  <c r="CQ37" s="1"/>
  <c r="P37" s="1"/>
  <c r="AD37"/>
  <c r="AE37"/>
  <c r="AF37"/>
  <c r="AG37"/>
  <c r="CU37" s="1"/>
  <c r="T37" s="1"/>
  <c r="AH37"/>
  <c r="CV37" s="1"/>
  <c r="U37" s="1"/>
  <c r="AI37"/>
  <c r="AJ37"/>
  <c r="CR37"/>
  <c r="Q37" s="1"/>
  <c r="CS37"/>
  <c r="R37" s="1"/>
  <c r="GK37" s="1"/>
  <c r="CT37"/>
  <c r="S37" s="1"/>
  <c r="CW37"/>
  <c r="V37" s="1"/>
  <c r="CX37"/>
  <c r="W37" s="1"/>
  <c r="FR37"/>
  <c r="GL37"/>
  <c r="GN37"/>
  <c r="GO37"/>
  <c r="GV37"/>
  <c r="HC37"/>
  <c r="GX37" s="1"/>
  <c r="C38"/>
  <c r="D38"/>
  <c r="I38"/>
  <c r="CX19" i="3" s="1"/>
  <c r="AC38" i="1"/>
  <c r="CQ38" s="1"/>
  <c r="P38" s="1"/>
  <c r="AD38"/>
  <c r="AE38"/>
  <c r="AF38"/>
  <c r="AG38"/>
  <c r="CU38" s="1"/>
  <c r="T38" s="1"/>
  <c r="AH38"/>
  <c r="CV38" s="1"/>
  <c r="U38" s="1"/>
  <c r="AI38"/>
  <c r="AJ38"/>
  <c r="CR38"/>
  <c r="Q38" s="1"/>
  <c r="CS38"/>
  <c r="R38" s="1"/>
  <c r="GK38" s="1"/>
  <c r="CT38"/>
  <c r="S38" s="1"/>
  <c r="CW38"/>
  <c r="V38" s="1"/>
  <c r="CX38"/>
  <c r="W38" s="1"/>
  <c r="FR38"/>
  <c r="GL38"/>
  <c r="GN38"/>
  <c r="GO38"/>
  <c r="GV38"/>
  <c r="HC38"/>
  <c r="GX38" s="1"/>
  <c r="AC39"/>
  <c r="AE39"/>
  <c r="CS39" s="1"/>
  <c r="AF39"/>
  <c r="CT39" s="1"/>
  <c r="AG39"/>
  <c r="AH39"/>
  <c r="AI39"/>
  <c r="CW39" s="1"/>
  <c r="AJ39"/>
  <c r="CX39" s="1"/>
  <c r="CQ39"/>
  <c r="CR39"/>
  <c r="CU39"/>
  <c r="CV39"/>
  <c r="FR39"/>
  <c r="GL39"/>
  <c r="GN39"/>
  <c r="GO39"/>
  <c r="GV39"/>
  <c r="HC39" s="1"/>
  <c r="B41"/>
  <c r="B26" s="1"/>
  <c r="C41"/>
  <c r="C26" s="1"/>
  <c r="D41"/>
  <c r="D26" s="1"/>
  <c r="F41"/>
  <c r="F26" s="1"/>
  <c r="G41"/>
  <c r="G26" s="1"/>
  <c r="BX41"/>
  <c r="AO41" s="1"/>
  <c r="BY41"/>
  <c r="BY26" s="1"/>
  <c r="BZ41"/>
  <c r="BZ26" s="1"/>
  <c r="CB41"/>
  <c r="AS41" s="1"/>
  <c r="CC41"/>
  <c r="CC26" s="1"/>
  <c r="CG41"/>
  <c r="CG26" s="1"/>
  <c r="CK41"/>
  <c r="CK26" s="1"/>
  <c r="CL41"/>
  <c r="CL26" s="1"/>
  <c r="D73"/>
  <c r="E75"/>
  <c r="Z75"/>
  <c r="AA75"/>
  <c r="AM75"/>
  <c r="AN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C77"/>
  <c r="D77"/>
  <c r="I77"/>
  <c r="CX23" i="3" s="1"/>
  <c r="AC77" i="1"/>
  <c r="AE77"/>
  <c r="AF77"/>
  <c r="AG77"/>
  <c r="CU77" s="1"/>
  <c r="T77" s="1"/>
  <c r="AH77"/>
  <c r="AI77"/>
  <c r="CW77" s="1"/>
  <c r="V77" s="1"/>
  <c r="AJ77"/>
  <c r="CR77"/>
  <c r="Q77" s="1"/>
  <c r="CT77"/>
  <c r="S77" s="1"/>
  <c r="CY77" s="1"/>
  <c r="X77" s="1"/>
  <c r="CV77"/>
  <c r="U77" s="1"/>
  <c r="CX77"/>
  <c r="W77" s="1"/>
  <c r="CZ77"/>
  <c r="Y77" s="1"/>
  <c r="FR77"/>
  <c r="GL77"/>
  <c r="GN77"/>
  <c r="GO77"/>
  <c r="GV77"/>
  <c r="HC77" s="1"/>
  <c r="GX77" s="1"/>
  <c r="C78"/>
  <c r="D78"/>
  <c r="I78"/>
  <c r="AC78"/>
  <c r="CQ78" s="1"/>
  <c r="P78" s="1"/>
  <c r="AE78"/>
  <c r="AD78" s="1"/>
  <c r="AB78" s="1"/>
  <c r="AF78"/>
  <c r="CT78" s="1"/>
  <c r="S78" s="1"/>
  <c r="AG78"/>
  <c r="CU78" s="1"/>
  <c r="T78" s="1"/>
  <c r="AH78"/>
  <c r="AI78"/>
  <c r="AJ78"/>
  <c r="CX78" s="1"/>
  <c r="W78" s="1"/>
  <c r="CR78"/>
  <c r="Q78" s="1"/>
  <c r="CS78"/>
  <c r="R78" s="1"/>
  <c r="GK78" s="1"/>
  <c r="CV78"/>
  <c r="U78" s="1"/>
  <c r="CW78"/>
  <c r="V78" s="1"/>
  <c r="FR78"/>
  <c r="GL78"/>
  <c r="GN78"/>
  <c r="GO78"/>
  <c r="GV78"/>
  <c r="HC78" s="1"/>
  <c r="GX78" s="1"/>
  <c r="C79"/>
  <c r="D79"/>
  <c r="I79"/>
  <c r="CX31" i="3" s="1"/>
  <c r="AC79" i="1"/>
  <c r="CQ79" s="1"/>
  <c r="P79" s="1"/>
  <c r="AE79"/>
  <c r="AD79" s="1"/>
  <c r="AB79" s="1"/>
  <c r="AF79"/>
  <c r="CT79" s="1"/>
  <c r="S79" s="1"/>
  <c r="AG79"/>
  <c r="CU79" s="1"/>
  <c r="T79" s="1"/>
  <c r="AH79"/>
  <c r="AI79"/>
  <c r="AJ79"/>
  <c r="CX79" s="1"/>
  <c r="W79" s="1"/>
  <c r="CR79"/>
  <c r="Q79" s="1"/>
  <c r="CS79"/>
  <c r="R79" s="1"/>
  <c r="GK79" s="1"/>
  <c r="CV79"/>
  <c r="U79" s="1"/>
  <c r="CW79"/>
  <c r="V79" s="1"/>
  <c r="FR79"/>
  <c r="GL79"/>
  <c r="GN79"/>
  <c r="GO79"/>
  <c r="GV79"/>
  <c r="HC79" s="1"/>
  <c r="GX79" s="1"/>
  <c r="C80"/>
  <c r="D80"/>
  <c r="I80"/>
  <c r="CX32" i="3" s="1"/>
  <c r="AC80" i="1"/>
  <c r="CQ80" s="1"/>
  <c r="P80" s="1"/>
  <c r="CP80" s="1"/>
  <c r="O80" s="1"/>
  <c r="AE80"/>
  <c r="AD80" s="1"/>
  <c r="AB80" s="1"/>
  <c r="AF80"/>
  <c r="CT80" s="1"/>
  <c r="S80" s="1"/>
  <c r="AG80"/>
  <c r="CU80" s="1"/>
  <c r="T80" s="1"/>
  <c r="AH80"/>
  <c r="AI80"/>
  <c r="AJ80"/>
  <c r="CX80" s="1"/>
  <c r="W80" s="1"/>
  <c r="CR80"/>
  <c r="Q80" s="1"/>
  <c r="CS80"/>
  <c r="R80" s="1"/>
  <c r="GK80" s="1"/>
  <c r="CV80"/>
  <c r="U80" s="1"/>
  <c r="CW80"/>
  <c r="V80" s="1"/>
  <c r="FR80"/>
  <c r="GL80"/>
  <c r="GN80"/>
  <c r="GO80"/>
  <c r="GV80"/>
  <c r="HC80" s="1"/>
  <c r="GX80" s="1"/>
  <c r="C81"/>
  <c r="D81"/>
  <c r="I81"/>
  <c r="AC81"/>
  <c r="AE81"/>
  <c r="AD81" s="1"/>
  <c r="AB81" s="1"/>
  <c r="AF81"/>
  <c r="CT81" s="1"/>
  <c r="S81" s="1"/>
  <c r="AG81"/>
  <c r="AH81"/>
  <c r="AI81"/>
  <c r="AJ81"/>
  <c r="CX81" s="1"/>
  <c r="W81" s="1"/>
  <c r="CQ81"/>
  <c r="P81" s="1"/>
  <c r="CR81"/>
  <c r="Q81" s="1"/>
  <c r="CS81"/>
  <c r="R81" s="1"/>
  <c r="GK81" s="1"/>
  <c r="CU81"/>
  <c r="T81" s="1"/>
  <c r="CV81"/>
  <c r="U81" s="1"/>
  <c r="CW81"/>
  <c r="V81" s="1"/>
  <c r="FR81"/>
  <c r="GL81"/>
  <c r="GN81"/>
  <c r="GO81"/>
  <c r="GV81"/>
  <c r="HC81" s="1"/>
  <c r="GX81" s="1"/>
  <c r="AC82"/>
  <c r="AB82" s="1"/>
  <c r="AD82"/>
  <c r="AE82"/>
  <c r="AF82"/>
  <c r="AG82"/>
  <c r="AH82"/>
  <c r="CV82" s="1"/>
  <c r="AI82"/>
  <c r="AJ82"/>
  <c r="CQ82"/>
  <c r="CR82"/>
  <c r="CS82"/>
  <c r="CT82"/>
  <c r="CU82"/>
  <c r="CW82"/>
  <c r="CX82"/>
  <c r="FR82"/>
  <c r="GL82"/>
  <c r="GN82"/>
  <c r="GO82"/>
  <c r="GV82"/>
  <c r="HC82"/>
  <c r="I83"/>
  <c r="AC83"/>
  <c r="AE83"/>
  <c r="AD83" s="1"/>
  <c r="AB83" s="1"/>
  <c r="AF83"/>
  <c r="CT83" s="1"/>
  <c r="S83" s="1"/>
  <c r="AG83"/>
  <c r="AH83"/>
  <c r="AI83"/>
  <c r="AJ83"/>
  <c r="CX83" s="1"/>
  <c r="W83" s="1"/>
  <c r="CQ83"/>
  <c r="P83" s="1"/>
  <c r="CR83"/>
  <c r="Q83" s="1"/>
  <c r="CS83"/>
  <c r="R83" s="1"/>
  <c r="GK83" s="1"/>
  <c r="CU83"/>
  <c r="T83" s="1"/>
  <c r="CV83"/>
  <c r="U83" s="1"/>
  <c r="CW83"/>
  <c r="V83" s="1"/>
  <c r="FR83"/>
  <c r="GL83"/>
  <c r="GN83"/>
  <c r="GO83"/>
  <c r="GV83"/>
  <c r="HC83" s="1"/>
  <c r="GX83" s="1"/>
  <c r="I84"/>
  <c r="AC84"/>
  <c r="AD84"/>
  <c r="AB84" s="1"/>
  <c r="AE84"/>
  <c r="AF84"/>
  <c r="CT84" s="1"/>
  <c r="S84" s="1"/>
  <c r="AG84"/>
  <c r="AH84"/>
  <c r="CV84" s="1"/>
  <c r="U84" s="1"/>
  <c r="AI84"/>
  <c r="AJ84"/>
  <c r="CX84" s="1"/>
  <c r="W84" s="1"/>
  <c r="CQ84"/>
  <c r="P84" s="1"/>
  <c r="CR84"/>
  <c r="Q84" s="1"/>
  <c r="CS84"/>
  <c r="R84" s="1"/>
  <c r="GK84" s="1"/>
  <c r="CU84"/>
  <c r="T84" s="1"/>
  <c r="CW84"/>
  <c r="V84" s="1"/>
  <c r="FR84"/>
  <c r="GL84"/>
  <c r="GN84"/>
  <c r="GO84"/>
  <c r="GV84"/>
  <c r="GX84"/>
  <c r="HC84"/>
  <c r="I85"/>
  <c r="AC85"/>
  <c r="AD85"/>
  <c r="AE85"/>
  <c r="AF85"/>
  <c r="CT85" s="1"/>
  <c r="S85" s="1"/>
  <c r="AG85"/>
  <c r="AH85"/>
  <c r="CV85" s="1"/>
  <c r="U85" s="1"/>
  <c r="AI85"/>
  <c r="AJ85"/>
  <c r="CX85" s="1"/>
  <c r="W85" s="1"/>
  <c r="CQ85"/>
  <c r="P85" s="1"/>
  <c r="CR85"/>
  <c r="Q85" s="1"/>
  <c r="CS85"/>
  <c r="R85" s="1"/>
  <c r="GK85" s="1"/>
  <c r="CU85"/>
  <c r="T85" s="1"/>
  <c r="CW85"/>
  <c r="V85" s="1"/>
  <c r="FR85"/>
  <c r="GL85"/>
  <c r="GN85"/>
  <c r="GO85"/>
  <c r="GV85"/>
  <c r="GX85"/>
  <c r="HC85"/>
  <c r="I86"/>
  <c r="AC86"/>
  <c r="AD86"/>
  <c r="AB86" s="1"/>
  <c r="AE86"/>
  <c r="AF86"/>
  <c r="CT86" s="1"/>
  <c r="S86" s="1"/>
  <c r="AG86"/>
  <c r="AH86"/>
  <c r="CV86" s="1"/>
  <c r="U86" s="1"/>
  <c r="AI86"/>
  <c r="AJ86"/>
  <c r="CX86" s="1"/>
  <c r="W86" s="1"/>
  <c r="CQ86"/>
  <c r="P86" s="1"/>
  <c r="CP86" s="1"/>
  <c r="O86" s="1"/>
  <c r="CR86"/>
  <c r="Q86" s="1"/>
  <c r="CS86"/>
  <c r="R86" s="1"/>
  <c r="GK86" s="1"/>
  <c r="CU86"/>
  <c r="T86" s="1"/>
  <c r="CW86"/>
  <c r="V86" s="1"/>
  <c r="FR86"/>
  <c r="GL86"/>
  <c r="GN86"/>
  <c r="GO86"/>
  <c r="GV86"/>
  <c r="GX86"/>
  <c r="HC86"/>
  <c r="I87"/>
  <c r="AC87"/>
  <c r="AD87"/>
  <c r="AE87"/>
  <c r="AF87"/>
  <c r="CT87" s="1"/>
  <c r="S87" s="1"/>
  <c r="AG87"/>
  <c r="AH87"/>
  <c r="CV87" s="1"/>
  <c r="U87" s="1"/>
  <c r="AI87"/>
  <c r="AJ87"/>
  <c r="CX87" s="1"/>
  <c r="W87" s="1"/>
  <c r="CQ87"/>
  <c r="P87" s="1"/>
  <c r="CR87"/>
  <c r="Q87" s="1"/>
  <c r="CS87"/>
  <c r="R87" s="1"/>
  <c r="GK87" s="1"/>
  <c r="CU87"/>
  <c r="T87" s="1"/>
  <c r="CW87"/>
  <c r="V87" s="1"/>
  <c r="FR87"/>
  <c r="GL87"/>
  <c r="GN87"/>
  <c r="GO87"/>
  <c r="GV87"/>
  <c r="GX87"/>
  <c r="HC87"/>
  <c r="I88"/>
  <c r="AC88"/>
  <c r="AD88"/>
  <c r="AB88" s="1"/>
  <c r="AE88"/>
  <c r="AF88"/>
  <c r="CT88" s="1"/>
  <c r="S88" s="1"/>
  <c r="AG88"/>
  <c r="AH88"/>
  <c r="CV88" s="1"/>
  <c r="U88" s="1"/>
  <c r="AI88"/>
  <c r="AJ88"/>
  <c r="CX88" s="1"/>
  <c r="W88" s="1"/>
  <c r="CQ88"/>
  <c r="P88" s="1"/>
  <c r="CR88"/>
  <c r="Q88" s="1"/>
  <c r="CS88"/>
  <c r="R88" s="1"/>
  <c r="GK88" s="1"/>
  <c r="CU88"/>
  <c r="T88" s="1"/>
  <c r="CW88"/>
  <c r="V88" s="1"/>
  <c r="FR88"/>
  <c r="GL88"/>
  <c r="GN88"/>
  <c r="GO88"/>
  <c r="GV88"/>
  <c r="GX88"/>
  <c r="HC88"/>
  <c r="B90"/>
  <c r="B75" s="1"/>
  <c r="C90"/>
  <c r="C75" s="1"/>
  <c r="D90"/>
  <c r="D75" s="1"/>
  <c r="F90"/>
  <c r="F75" s="1"/>
  <c r="G90"/>
  <c r="G75" s="1"/>
  <c r="AP90"/>
  <c r="AP75" s="1"/>
  <c r="AT90"/>
  <c r="AT75" s="1"/>
  <c r="BB90"/>
  <c r="BB75" s="1"/>
  <c r="BX90"/>
  <c r="BX75" s="1"/>
  <c r="BY90"/>
  <c r="BY75" s="1"/>
  <c r="BZ90"/>
  <c r="BZ75" s="1"/>
  <c r="CB90"/>
  <c r="CB75" s="1"/>
  <c r="CC90"/>
  <c r="CC75" s="1"/>
  <c r="CK90"/>
  <c r="CK75" s="1"/>
  <c r="CL90"/>
  <c r="CL75" s="1"/>
  <c r="F99"/>
  <c r="F103"/>
  <c r="D122"/>
  <c r="E124"/>
  <c r="Z124"/>
  <c r="AA124"/>
  <c r="AM124"/>
  <c r="AN124"/>
  <c r="BD124"/>
  <c r="BE124"/>
  <c r="BF124"/>
  <c r="BG124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CM124"/>
  <c r="CN124"/>
  <c r="CO124"/>
  <c r="CP124"/>
  <c r="CQ124"/>
  <c r="CR124"/>
  <c r="CS124"/>
  <c r="CT124"/>
  <c r="CU124"/>
  <c r="CV124"/>
  <c r="CW124"/>
  <c r="CX124"/>
  <c r="CY124"/>
  <c r="CZ124"/>
  <c r="DA124"/>
  <c r="DB124"/>
  <c r="DC124"/>
  <c r="DD124"/>
  <c r="DE124"/>
  <c r="DF124"/>
  <c r="DG124"/>
  <c r="DH124"/>
  <c r="DI124"/>
  <c r="DJ124"/>
  <c r="DK124"/>
  <c r="DL124"/>
  <c r="DM124"/>
  <c r="DN124"/>
  <c r="DO124"/>
  <c r="DP124"/>
  <c r="DQ124"/>
  <c r="DR124"/>
  <c r="DS124"/>
  <c r="DT124"/>
  <c r="DU124"/>
  <c r="DV124"/>
  <c r="DW124"/>
  <c r="DX124"/>
  <c r="DY124"/>
  <c r="DZ124"/>
  <c r="EA124"/>
  <c r="EB124"/>
  <c r="EC124"/>
  <c r="ED124"/>
  <c r="EE124"/>
  <c r="EF124"/>
  <c r="EG124"/>
  <c r="EH124"/>
  <c r="EI124"/>
  <c r="EJ124"/>
  <c r="EK124"/>
  <c r="EL124"/>
  <c r="EM124"/>
  <c r="EN124"/>
  <c r="EO124"/>
  <c r="EP124"/>
  <c r="EQ124"/>
  <c r="ER124"/>
  <c r="ES124"/>
  <c r="ET124"/>
  <c r="EU124"/>
  <c r="EV124"/>
  <c r="EW124"/>
  <c r="EX124"/>
  <c r="EY124"/>
  <c r="EZ124"/>
  <c r="FA124"/>
  <c r="FB124"/>
  <c r="FC124"/>
  <c r="FD124"/>
  <c r="FE124"/>
  <c r="FF124"/>
  <c r="FG124"/>
  <c r="FH124"/>
  <c r="FI124"/>
  <c r="FJ124"/>
  <c r="FK124"/>
  <c r="FL124"/>
  <c r="FM124"/>
  <c r="FN124"/>
  <c r="FO124"/>
  <c r="FP124"/>
  <c r="FQ124"/>
  <c r="FR124"/>
  <c r="FS124"/>
  <c r="FT124"/>
  <c r="FU124"/>
  <c r="FV124"/>
  <c r="FW124"/>
  <c r="FX124"/>
  <c r="FY124"/>
  <c r="FZ124"/>
  <c r="GA124"/>
  <c r="GB124"/>
  <c r="GC124"/>
  <c r="GD124"/>
  <c r="GE124"/>
  <c r="GF124"/>
  <c r="GG124"/>
  <c r="GH124"/>
  <c r="GI124"/>
  <c r="GJ124"/>
  <c r="GK124"/>
  <c r="GL124"/>
  <c r="GM124"/>
  <c r="GN124"/>
  <c r="GO124"/>
  <c r="GP124"/>
  <c r="GQ124"/>
  <c r="GR124"/>
  <c r="GS124"/>
  <c r="GT124"/>
  <c r="GU124"/>
  <c r="GV124"/>
  <c r="GW124"/>
  <c r="GX124"/>
  <c r="C126"/>
  <c r="D126"/>
  <c r="I126"/>
  <c r="AC126"/>
  <c r="AE126"/>
  <c r="CS126" s="1"/>
  <c r="R126" s="1"/>
  <c r="AF126"/>
  <c r="AG126"/>
  <c r="CU126" s="1"/>
  <c r="T126" s="1"/>
  <c r="AH126"/>
  <c r="AI126"/>
  <c r="CW126" s="1"/>
  <c r="V126" s="1"/>
  <c r="AJ126"/>
  <c r="CR126"/>
  <c r="Q126" s="1"/>
  <c r="CT126"/>
  <c r="S126" s="1"/>
  <c r="CV126"/>
  <c r="U126" s="1"/>
  <c r="CX126"/>
  <c r="W126" s="1"/>
  <c r="FR126"/>
  <c r="GL126"/>
  <c r="GN126"/>
  <c r="GO126"/>
  <c r="GV126"/>
  <c r="HC126"/>
  <c r="GX126" s="1"/>
  <c r="C127"/>
  <c r="D127"/>
  <c r="I127"/>
  <c r="AC127"/>
  <c r="AE127"/>
  <c r="CS127" s="1"/>
  <c r="R127" s="1"/>
  <c r="GK127" s="1"/>
  <c r="AF127"/>
  <c r="AG127"/>
  <c r="CU127" s="1"/>
  <c r="T127" s="1"/>
  <c r="AH127"/>
  <c r="AI127"/>
  <c r="CW127" s="1"/>
  <c r="V127" s="1"/>
  <c r="AJ127"/>
  <c r="CR127"/>
  <c r="Q127" s="1"/>
  <c r="CT127"/>
  <c r="S127" s="1"/>
  <c r="CV127"/>
  <c r="U127" s="1"/>
  <c r="CX127"/>
  <c r="W127" s="1"/>
  <c r="FR127"/>
  <c r="GL127"/>
  <c r="GN127"/>
  <c r="GO127"/>
  <c r="GV127"/>
  <c r="HC127"/>
  <c r="GX127" s="1"/>
  <c r="C128"/>
  <c r="D128"/>
  <c r="I128"/>
  <c r="CX50" i="3" s="1"/>
  <c r="AC128" i="1"/>
  <c r="AE128"/>
  <c r="CS128" s="1"/>
  <c r="R128" s="1"/>
  <c r="GK128" s="1"/>
  <c r="AF128"/>
  <c r="AG128"/>
  <c r="CU128" s="1"/>
  <c r="T128" s="1"/>
  <c r="AH128"/>
  <c r="AI128"/>
  <c r="CW128" s="1"/>
  <c r="V128" s="1"/>
  <c r="AJ128"/>
  <c r="CR128"/>
  <c r="Q128" s="1"/>
  <c r="CT128"/>
  <c r="S128" s="1"/>
  <c r="CV128"/>
  <c r="U128" s="1"/>
  <c r="CX128"/>
  <c r="W128" s="1"/>
  <c r="FR128"/>
  <c r="GL128"/>
  <c r="GN128"/>
  <c r="GO128"/>
  <c r="GV128"/>
  <c r="HC128"/>
  <c r="GX128" s="1"/>
  <c r="C129"/>
  <c r="D129"/>
  <c r="I129"/>
  <c r="CX51" i="3" s="1"/>
  <c r="AC129" i="1"/>
  <c r="AE129"/>
  <c r="CS129" s="1"/>
  <c r="R129" s="1"/>
  <c r="GK129" s="1"/>
  <c r="AF129"/>
  <c r="AG129"/>
  <c r="CU129" s="1"/>
  <c r="T129" s="1"/>
  <c r="AH129"/>
  <c r="AI129"/>
  <c r="CW129" s="1"/>
  <c r="V129" s="1"/>
  <c r="AJ129"/>
  <c r="CR129"/>
  <c r="Q129" s="1"/>
  <c r="CT129"/>
  <c r="S129" s="1"/>
  <c r="CV129"/>
  <c r="U129" s="1"/>
  <c r="CX129"/>
  <c r="W129" s="1"/>
  <c r="FR129"/>
  <c r="GL129"/>
  <c r="GN129"/>
  <c r="GO129"/>
  <c r="GV129"/>
  <c r="HC129"/>
  <c r="GX129" s="1"/>
  <c r="C130"/>
  <c r="D130"/>
  <c r="I130"/>
  <c r="AC130"/>
  <c r="AE130"/>
  <c r="CS130" s="1"/>
  <c r="R130" s="1"/>
  <c r="GK130" s="1"/>
  <c r="AF130"/>
  <c r="AG130"/>
  <c r="CU130" s="1"/>
  <c r="T130" s="1"/>
  <c r="AH130"/>
  <c r="AI130"/>
  <c r="CW130" s="1"/>
  <c r="V130" s="1"/>
  <c r="AJ130"/>
  <c r="CR130"/>
  <c r="Q130" s="1"/>
  <c r="CT130"/>
  <c r="S130" s="1"/>
  <c r="CV130"/>
  <c r="U130" s="1"/>
  <c r="CX130"/>
  <c r="W130" s="1"/>
  <c r="FR130"/>
  <c r="GL130"/>
  <c r="GN130"/>
  <c r="GO130"/>
  <c r="GV130"/>
  <c r="HC130" s="1"/>
  <c r="GX130" s="1"/>
  <c r="I131"/>
  <c r="AC131"/>
  <c r="CQ131" s="1"/>
  <c r="P131" s="1"/>
  <c r="AE131"/>
  <c r="AD131" s="1"/>
  <c r="AF131"/>
  <c r="AG131"/>
  <c r="CU131" s="1"/>
  <c r="T131" s="1"/>
  <c r="AH131"/>
  <c r="AI131"/>
  <c r="CW131" s="1"/>
  <c r="V131" s="1"/>
  <c r="AJ131"/>
  <c r="CR131"/>
  <c r="Q131" s="1"/>
  <c r="CT131"/>
  <c r="S131" s="1"/>
  <c r="CV131"/>
  <c r="U131" s="1"/>
  <c r="CX131"/>
  <c r="W131" s="1"/>
  <c r="FR131"/>
  <c r="GL131"/>
  <c r="GN131"/>
  <c r="GO131"/>
  <c r="GV131"/>
  <c r="HC131"/>
  <c r="GX131" s="1"/>
  <c r="B133"/>
  <c r="B124" s="1"/>
  <c r="C133"/>
  <c r="C124" s="1"/>
  <c r="D133"/>
  <c r="D124" s="1"/>
  <c r="F133"/>
  <c r="F124" s="1"/>
  <c r="G133"/>
  <c r="G124" s="1"/>
  <c r="AO133"/>
  <c r="AO124" s="1"/>
  <c r="AQ133"/>
  <c r="AQ124" s="1"/>
  <c r="AS133"/>
  <c r="AS124" s="1"/>
  <c r="BC133"/>
  <c r="BC124" s="1"/>
  <c r="BX133"/>
  <c r="BX124" s="1"/>
  <c r="BY133"/>
  <c r="BY124" s="1"/>
  <c r="BZ133"/>
  <c r="BZ124" s="1"/>
  <c r="CB133"/>
  <c r="CB124" s="1"/>
  <c r="CC133"/>
  <c r="CC124" s="1"/>
  <c r="CG133"/>
  <c r="CG124" s="1"/>
  <c r="CK133"/>
  <c r="CK124" s="1"/>
  <c r="CL133"/>
  <c r="CL124" s="1"/>
  <c r="F137"/>
  <c r="F143"/>
  <c r="F149"/>
  <c r="D165"/>
  <c r="E167"/>
  <c r="Z167"/>
  <c r="AA167"/>
  <c r="AM167"/>
  <c r="AN167"/>
  <c r="BD167"/>
  <c r="BE167"/>
  <c r="BF167"/>
  <c r="BG167"/>
  <c r="BH167"/>
  <c r="BI167"/>
  <c r="BJ167"/>
  <c r="BK167"/>
  <c r="BL167"/>
  <c r="BM167"/>
  <c r="BN167"/>
  <c r="BO167"/>
  <c r="BP167"/>
  <c r="BQ167"/>
  <c r="BR167"/>
  <c r="BS167"/>
  <c r="BT167"/>
  <c r="BU167"/>
  <c r="BV167"/>
  <c r="BW167"/>
  <c r="CM167"/>
  <c r="CN167"/>
  <c r="CO167"/>
  <c r="CP167"/>
  <c r="CQ167"/>
  <c r="CR167"/>
  <c r="CS167"/>
  <c r="CT167"/>
  <c r="CU167"/>
  <c r="CV167"/>
  <c r="CW167"/>
  <c r="CX167"/>
  <c r="CY167"/>
  <c r="CZ167"/>
  <c r="DA167"/>
  <c r="DB167"/>
  <c r="DC167"/>
  <c r="DD167"/>
  <c r="DE167"/>
  <c r="DF167"/>
  <c r="DG167"/>
  <c r="DH167"/>
  <c r="DI167"/>
  <c r="DJ167"/>
  <c r="DK167"/>
  <c r="DL167"/>
  <c r="DM167"/>
  <c r="DN167"/>
  <c r="DO167"/>
  <c r="DP167"/>
  <c r="DQ167"/>
  <c r="DR167"/>
  <c r="DS167"/>
  <c r="DT167"/>
  <c r="DU167"/>
  <c r="DV167"/>
  <c r="DW167"/>
  <c r="DX167"/>
  <c r="DY167"/>
  <c r="DZ167"/>
  <c r="EA167"/>
  <c r="EB167"/>
  <c r="EC167"/>
  <c r="ED167"/>
  <c r="EE167"/>
  <c r="EF167"/>
  <c r="EG167"/>
  <c r="EH167"/>
  <c r="EI167"/>
  <c r="EJ167"/>
  <c r="EK167"/>
  <c r="EL167"/>
  <c r="EM167"/>
  <c r="EN167"/>
  <c r="EO167"/>
  <c r="EP167"/>
  <c r="EQ167"/>
  <c r="ER167"/>
  <c r="ES167"/>
  <c r="ET167"/>
  <c r="EU167"/>
  <c r="EV167"/>
  <c r="EW167"/>
  <c r="EX167"/>
  <c r="EY167"/>
  <c r="EZ167"/>
  <c r="FA167"/>
  <c r="FB167"/>
  <c r="FC167"/>
  <c r="FD167"/>
  <c r="FE167"/>
  <c r="FF167"/>
  <c r="FG167"/>
  <c r="FH167"/>
  <c r="FI167"/>
  <c r="FJ167"/>
  <c r="FK167"/>
  <c r="FL167"/>
  <c r="FM167"/>
  <c r="FN167"/>
  <c r="FO167"/>
  <c r="FP167"/>
  <c r="FQ167"/>
  <c r="FR167"/>
  <c r="FS167"/>
  <c r="FT167"/>
  <c r="FU167"/>
  <c r="FV167"/>
  <c r="FW167"/>
  <c r="FX167"/>
  <c r="FY167"/>
  <c r="FZ167"/>
  <c r="GA167"/>
  <c r="GB167"/>
  <c r="GC167"/>
  <c r="GD167"/>
  <c r="GE167"/>
  <c r="GF167"/>
  <c r="GG167"/>
  <c r="GH167"/>
  <c r="GI167"/>
  <c r="GJ167"/>
  <c r="GK167"/>
  <c r="GL167"/>
  <c r="GM167"/>
  <c r="GN167"/>
  <c r="GO167"/>
  <c r="GP167"/>
  <c r="GQ167"/>
  <c r="GR167"/>
  <c r="GS167"/>
  <c r="GT167"/>
  <c r="GU167"/>
  <c r="GV167"/>
  <c r="GW167"/>
  <c r="GX167"/>
  <c r="C169"/>
  <c r="D169"/>
  <c r="I169"/>
  <c r="AC169"/>
  <c r="AD169"/>
  <c r="AE169"/>
  <c r="AF169"/>
  <c r="CT169" s="1"/>
  <c r="S169" s="1"/>
  <c r="AG169"/>
  <c r="AH169"/>
  <c r="CV169" s="1"/>
  <c r="U169" s="1"/>
  <c r="AI169"/>
  <c r="AJ169"/>
  <c r="CX169" s="1"/>
  <c r="W169" s="1"/>
  <c r="CQ169"/>
  <c r="P169" s="1"/>
  <c r="CR169"/>
  <c r="Q169" s="1"/>
  <c r="CS169"/>
  <c r="R169" s="1"/>
  <c r="GK169" s="1"/>
  <c r="CU169"/>
  <c r="T169" s="1"/>
  <c r="CW169"/>
  <c r="V169" s="1"/>
  <c r="FR169"/>
  <c r="GL169"/>
  <c r="GN169"/>
  <c r="GO169"/>
  <c r="GV169"/>
  <c r="HC169" s="1"/>
  <c r="GX169" s="1"/>
  <c r="C170"/>
  <c r="D170"/>
  <c r="I170"/>
  <c r="AC170"/>
  <c r="AD170"/>
  <c r="AE170"/>
  <c r="AF170"/>
  <c r="CT170" s="1"/>
  <c r="S170" s="1"/>
  <c r="AG170"/>
  <c r="AH170"/>
  <c r="CV170" s="1"/>
  <c r="U170" s="1"/>
  <c r="AI170"/>
  <c r="AJ170"/>
  <c r="CX170" s="1"/>
  <c r="W170" s="1"/>
  <c r="CQ170"/>
  <c r="P170" s="1"/>
  <c r="CR170"/>
  <c r="Q170" s="1"/>
  <c r="CS170"/>
  <c r="R170" s="1"/>
  <c r="GK170" s="1"/>
  <c r="CU170"/>
  <c r="T170" s="1"/>
  <c r="CW170"/>
  <c r="V170" s="1"/>
  <c r="FR170"/>
  <c r="GL170"/>
  <c r="GN170"/>
  <c r="GO170"/>
  <c r="GV170"/>
  <c r="HC170" s="1"/>
  <c r="GX170" s="1"/>
  <c r="C171"/>
  <c r="D171"/>
  <c r="I171"/>
  <c r="CX66" i="3" s="1"/>
  <c r="AC171" i="1"/>
  <c r="AD171"/>
  <c r="AE171"/>
  <c r="AF171"/>
  <c r="CT171" s="1"/>
  <c r="S171" s="1"/>
  <c r="AG171"/>
  <c r="AH171"/>
  <c r="CV171" s="1"/>
  <c r="U171" s="1"/>
  <c r="AI171"/>
  <c r="AJ171"/>
  <c r="CX171" s="1"/>
  <c r="W171" s="1"/>
  <c r="CQ171"/>
  <c r="P171" s="1"/>
  <c r="CP171" s="1"/>
  <c r="O171" s="1"/>
  <c r="CR171"/>
  <c r="Q171" s="1"/>
  <c r="CS171"/>
  <c r="R171" s="1"/>
  <c r="GK171" s="1"/>
  <c r="CU171"/>
  <c r="T171" s="1"/>
  <c r="CW171"/>
  <c r="V171" s="1"/>
  <c r="FR171"/>
  <c r="GL171"/>
  <c r="GN171"/>
  <c r="GO171"/>
  <c r="GV171"/>
  <c r="HC171" s="1"/>
  <c r="GX171" s="1"/>
  <c r="C172"/>
  <c r="D172"/>
  <c r="I172"/>
  <c r="CX67" i="3" s="1"/>
  <c r="AC172" i="1"/>
  <c r="AD172"/>
  <c r="AE172"/>
  <c r="AF172"/>
  <c r="CT172" s="1"/>
  <c r="S172" s="1"/>
  <c r="AG172"/>
  <c r="AH172"/>
  <c r="CV172" s="1"/>
  <c r="U172" s="1"/>
  <c r="AI172"/>
  <c r="AJ172"/>
  <c r="CX172" s="1"/>
  <c r="W172" s="1"/>
  <c r="CQ172"/>
  <c r="P172" s="1"/>
  <c r="CR172"/>
  <c r="Q172" s="1"/>
  <c r="CS172"/>
  <c r="R172" s="1"/>
  <c r="GK172" s="1"/>
  <c r="CU172"/>
  <c r="T172" s="1"/>
  <c r="CW172"/>
  <c r="V172" s="1"/>
  <c r="FR172"/>
  <c r="GL172"/>
  <c r="GN172"/>
  <c r="GO172"/>
  <c r="GV172"/>
  <c r="HC172" s="1"/>
  <c r="GX172" s="1"/>
  <c r="C173"/>
  <c r="D173"/>
  <c r="I173"/>
  <c r="AC173"/>
  <c r="AD173"/>
  <c r="AE173"/>
  <c r="AF173"/>
  <c r="CT173" s="1"/>
  <c r="S173" s="1"/>
  <c r="AG173"/>
  <c r="AH173"/>
  <c r="CV173" s="1"/>
  <c r="U173" s="1"/>
  <c r="AI173"/>
  <c r="AJ173"/>
  <c r="CX173" s="1"/>
  <c r="W173" s="1"/>
  <c r="CQ173"/>
  <c r="P173" s="1"/>
  <c r="CR173"/>
  <c r="Q173" s="1"/>
  <c r="CS173"/>
  <c r="R173" s="1"/>
  <c r="GK173" s="1"/>
  <c r="CU173"/>
  <c r="T173" s="1"/>
  <c r="CW173"/>
  <c r="V173" s="1"/>
  <c r="FR173"/>
  <c r="GL173"/>
  <c r="GN173"/>
  <c r="GO173"/>
  <c r="GV173"/>
  <c r="HC173" s="1"/>
  <c r="GX173" s="1"/>
  <c r="I174"/>
  <c r="AC174"/>
  <c r="AD174"/>
  <c r="AB174" s="1"/>
  <c r="AE174"/>
  <c r="AF174"/>
  <c r="CT174" s="1"/>
  <c r="S174" s="1"/>
  <c r="AG174"/>
  <c r="AH174"/>
  <c r="CV174" s="1"/>
  <c r="U174" s="1"/>
  <c r="AI174"/>
  <c r="AJ174"/>
  <c r="CX174" s="1"/>
  <c r="W174" s="1"/>
  <c r="CQ174"/>
  <c r="P174" s="1"/>
  <c r="CR174"/>
  <c r="Q174" s="1"/>
  <c r="CS174"/>
  <c r="R174" s="1"/>
  <c r="GK174" s="1"/>
  <c r="CU174"/>
  <c r="T174" s="1"/>
  <c r="CW174"/>
  <c r="V174" s="1"/>
  <c r="FR174"/>
  <c r="GL174"/>
  <c r="GN174"/>
  <c r="GO174"/>
  <c r="GV174"/>
  <c r="GX174"/>
  <c r="HC174"/>
  <c r="I175"/>
  <c r="R175"/>
  <c r="GK175" s="1"/>
  <c r="T175"/>
  <c r="AC175"/>
  <c r="AD175"/>
  <c r="AE175"/>
  <c r="AF175"/>
  <c r="CT175" s="1"/>
  <c r="S175" s="1"/>
  <c r="CZ175" s="1"/>
  <c r="Y175" s="1"/>
  <c r="AG175"/>
  <c r="AH175"/>
  <c r="CV175" s="1"/>
  <c r="U175" s="1"/>
  <c r="AI175"/>
  <c r="AJ175"/>
  <c r="CX175" s="1"/>
  <c r="W175" s="1"/>
  <c r="CQ175"/>
  <c r="P175" s="1"/>
  <c r="CP175" s="1"/>
  <c r="O175" s="1"/>
  <c r="CR175"/>
  <c r="Q175" s="1"/>
  <c r="CS175"/>
  <c r="CU175"/>
  <c r="CW175"/>
  <c r="V175" s="1"/>
  <c r="FR175"/>
  <c r="GL175"/>
  <c r="GN175"/>
  <c r="GO175"/>
  <c r="GV175"/>
  <c r="HC175" s="1"/>
  <c r="GX175"/>
  <c r="C176"/>
  <c r="D176"/>
  <c r="I176"/>
  <c r="P176"/>
  <c r="V176"/>
  <c r="AC176"/>
  <c r="AD176"/>
  <c r="AB176" s="1"/>
  <c r="AE176"/>
  <c r="AF176"/>
  <c r="CT176" s="1"/>
  <c r="AG176"/>
  <c r="AH176"/>
  <c r="CV176" s="1"/>
  <c r="U176" s="1"/>
  <c r="AI176"/>
  <c r="AJ176"/>
  <c r="CX176" s="1"/>
  <c r="CQ176"/>
  <c r="CR176"/>
  <c r="Q176" s="1"/>
  <c r="CS176"/>
  <c r="R176" s="1"/>
  <c r="CU176"/>
  <c r="T176" s="1"/>
  <c r="CW176"/>
  <c r="FR176"/>
  <c r="GL176"/>
  <c r="GN176"/>
  <c r="GO176"/>
  <c r="GV176"/>
  <c r="HC176" s="1"/>
  <c r="GX176" s="1"/>
  <c r="C177"/>
  <c r="D177"/>
  <c r="I177"/>
  <c r="R177"/>
  <c r="GK177" s="1"/>
  <c r="AC177"/>
  <c r="AD177"/>
  <c r="AE177"/>
  <c r="AF177"/>
  <c r="CT177" s="1"/>
  <c r="S177" s="1"/>
  <c r="CZ177" s="1"/>
  <c r="Y177" s="1"/>
  <c r="AG177"/>
  <c r="AH177"/>
  <c r="CV177" s="1"/>
  <c r="U177" s="1"/>
  <c r="AI177"/>
  <c r="AJ177"/>
  <c r="CX177" s="1"/>
  <c r="W177" s="1"/>
  <c r="CQ177"/>
  <c r="P177" s="1"/>
  <c r="CR177"/>
  <c r="Q177" s="1"/>
  <c r="CS177"/>
  <c r="CU177"/>
  <c r="T177" s="1"/>
  <c r="CW177"/>
  <c r="V177" s="1"/>
  <c r="FR177"/>
  <c r="GL177"/>
  <c r="GN177"/>
  <c r="GO177"/>
  <c r="GV177"/>
  <c r="HC177" s="1"/>
  <c r="GX177"/>
  <c r="C178"/>
  <c r="D178"/>
  <c r="I178"/>
  <c r="CX84" i="3" s="1"/>
  <c r="P178" i="1"/>
  <c r="V178"/>
  <c r="AC178"/>
  <c r="AD178"/>
  <c r="AB178" s="1"/>
  <c r="AE178"/>
  <c r="AF178"/>
  <c r="CT178" s="1"/>
  <c r="AG178"/>
  <c r="AH178"/>
  <c r="CV178" s="1"/>
  <c r="U178" s="1"/>
  <c r="AI178"/>
  <c r="AJ178"/>
  <c r="CX178" s="1"/>
  <c r="CQ178"/>
  <c r="CR178"/>
  <c r="Q178" s="1"/>
  <c r="CS178"/>
  <c r="R178" s="1"/>
  <c r="GK178" s="1"/>
  <c r="CU178"/>
  <c r="T178" s="1"/>
  <c r="CW178"/>
  <c r="FR178"/>
  <c r="GL178"/>
  <c r="GN178"/>
  <c r="GO178"/>
  <c r="GV178"/>
  <c r="HC178" s="1"/>
  <c r="GX178" s="1"/>
  <c r="C179"/>
  <c r="D179"/>
  <c r="I179"/>
  <c r="CX85" i="3" s="1"/>
  <c r="T179" i="1"/>
  <c r="Y179"/>
  <c r="AC179"/>
  <c r="AE179"/>
  <c r="AD179" s="1"/>
  <c r="AB179" s="1"/>
  <c r="AF179"/>
  <c r="CT179" s="1"/>
  <c r="S179" s="1"/>
  <c r="AG179"/>
  <c r="AH179"/>
  <c r="CV179" s="1"/>
  <c r="U179" s="1"/>
  <c r="AI179"/>
  <c r="AJ179"/>
  <c r="CX179" s="1"/>
  <c r="W179" s="1"/>
  <c r="CQ179"/>
  <c r="P179" s="1"/>
  <c r="CP179" s="1"/>
  <c r="O179" s="1"/>
  <c r="CR179"/>
  <c r="Q179" s="1"/>
  <c r="CS179"/>
  <c r="R179" s="1"/>
  <c r="GK179" s="1"/>
  <c r="CU179"/>
  <c r="CW179"/>
  <c r="V179" s="1"/>
  <c r="CY179"/>
  <c r="X179" s="1"/>
  <c r="CZ179"/>
  <c r="FR179"/>
  <c r="GL179"/>
  <c r="GN179"/>
  <c r="GO179"/>
  <c r="GV179"/>
  <c r="HC179" s="1"/>
  <c r="GX179" s="1"/>
  <c r="C180"/>
  <c r="D180"/>
  <c r="I180"/>
  <c r="I182" s="1"/>
  <c r="AC180"/>
  <c r="AB180" s="1"/>
  <c r="AD180"/>
  <c r="AE180"/>
  <c r="CS180" s="1"/>
  <c r="R180" s="1"/>
  <c r="GK180" s="1"/>
  <c r="AF180"/>
  <c r="AG180"/>
  <c r="AH180"/>
  <c r="CV180" s="1"/>
  <c r="U180" s="1"/>
  <c r="AI180"/>
  <c r="CW180" s="1"/>
  <c r="V180" s="1"/>
  <c r="AJ180"/>
  <c r="CQ180"/>
  <c r="P180" s="1"/>
  <c r="CP180" s="1"/>
  <c r="O180" s="1"/>
  <c r="CR180"/>
  <c r="Q180" s="1"/>
  <c r="CT180"/>
  <c r="S180" s="1"/>
  <c r="CZ180" s="1"/>
  <c r="Y180" s="1"/>
  <c r="CU180"/>
  <c r="T180" s="1"/>
  <c r="CX180"/>
  <c r="W180" s="1"/>
  <c r="FR180"/>
  <c r="GL180"/>
  <c r="GN180"/>
  <c r="GO180"/>
  <c r="GV180"/>
  <c r="HC180"/>
  <c r="GX180" s="1"/>
  <c r="I181"/>
  <c r="AC181"/>
  <c r="CQ181" s="1"/>
  <c r="P181" s="1"/>
  <c r="CP181" s="1"/>
  <c r="O181" s="1"/>
  <c r="AE181"/>
  <c r="AD181" s="1"/>
  <c r="AB181" s="1"/>
  <c r="AF181"/>
  <c r="CT181" s="1"/>
  <c r="S181" s="1"/>
  <c r="AG181"/>
  <c r="CU181" s="1"/>
  <c r="T181" s="1"/>
  <c r="AH181"/>
  <c r="AI181"/>
  <c r="AJ181"/>
  <c r="CX181" s="1"/>
  <c r="W181" s="1"/>
  <c r="CR181"/>
  <c r="Q181" s="1"/>
  <c r="CS181"/>
  <c r="R181" s="1"/>
  <c r="GK181" s="1"/>
  <c r="CV181"/>
  <c r="U181" s="1"/>
  <c r="CW181"/>
  <c r="V181" s="1"/>
  <c r="FR181"/>
  <c r="GL181"/>
  <c r="GN181"/>
  <c r="GO181"/>
  <c r="GV181"/>
  <c r="HC181" s="1"/>
  <c r="GX181" s="1"/>
  <c r="AC182"/>
  <c r="AB182" s="1"/>
  <c r="AD182"/>
  <c r="AE182"/>
  <c r="CS182" s="1"/>
  <c r="R182" s="1"/>
  <c r="GK182" s="1"/>
  <c r="AF182"/>
  <c r="AG182"/>
  <c r="AH182"/>
  <c r="CV182" s="1"/>
  <c r="U182" s="1"/>
  <c r="AI182"/>
  <c r="CW182" s="1"/>
  <c r="V182" s="1"/>
  <c r="AJ182"/>
  <c r="CQ182"/>
  <c r="P182" s="1"/>
  <c r="CP182" s="1"/>
  <c r="O182" s="1"/>
  <c r="CR182"/>
  <c r="Q182" s="1"/>
  <c r="CT182"/>
  <c r="S182" s="1"/>
  <c r="CU182"/>
  <c r="T182" s="1"/>
  <c r="CX182"/>
  <c r="W182" s="1"/>
  <c r="FR182"/>
  <c r="GL182"/>
  <c r="GN182"/>
  <c r="GO182"/>
  <c r="GV182"/>
  <c r="HC182"/>
  <c r="GX182" s="1"/>
  <c r="I183"/>
  <c r="AC183"/>
  <c r="CQ183" s="1"/>
  <c r="P183" s="1"/>
  <c r="CP183" s="1"/>
  <c r="O183" s="1"/>
  <c r="AE183"/>
  <c r="AD183" s="1"/>
  <c r="AB183" s="1"/>
  <c r="AF183"/>
  <c r="CT183" s="1"/>
  <c r="S183" s="1"/>
  <c r="AG183"/>
  <c r="CU183" s="1"/>
  <c r="T183" s="1"/>
  <c r="AH183"/>
  <c r="AI183"/>
  <c r="AJ183"/>
  <c r="CX183" s="1"/>
  <c r="W183" s="1"/>
  <c r="CR183"/>
  <c r="Q183" s="1"/>
  <c r="CS183"/>
  <c r="R183" s="1"/>
  <c r="GK183" s="1"/>
  <c r="CV183"/>
  <c r="U183" s="1"/>
  <c r="CW183"/>
  <c r="V183" s="1"/>
  <c r="FR183"/>
  <c r="GL183"/>
  <c r="GN183"/>
  <c r="GO183"/>
  <c r="GV183"/>
  <c r="HC183" s="1"/>
  <c r="GX183" s="1"/>
  <c r="I184"/>
  <c r="AC184"/>
  <c r="AB184" s="1"/>
  <c r="AD184"/>
  <c r="AE184"/>
  <c r="CS184" s="1"/>
  <c r="R184" s="1"/>
  <c r="GK184" s="1"/>
  <c r="AF184"/>
  <c r="AG184"/>
  <c r="AH184"/>
  <c r="CV184" s="1"/>
  <c r="U184" s="1"/>
  <c r="AI184"/>
  <c r="CW184" s="1"/>
  <c r="V184" s="1"/>
  <c r="AJ184"/>
  <c r="CQ184"/>
  <c r="P184" s="1"/>
  <c r="CP184" s="1"/>
  <c r="O184" s="1"/>
  <c r="CR184"/>
  <c r="Q184" s="1"/>
  <c r="CT184"/>
  <c r="S184" s="1"/>
  <c r="CU184"/>
  <c r="T184" s="1"/>
  <c r="CX184"/>
  <c r="W184" s="1"/>
  <c r="FR184"/>
  <c r="GL184"/>
  <c r="BZ187" s="1"/>
  <c r="GN184"/>
  <c r="GO184"/>
  <c r="GV184"/>
  <c r="HC184"/>
  <c r="GX184" s="1"/>
  <c r="I185"/>
  <c r="AC185"/>
  <c r="CQ185" s="1"/>
  <c r="P185" s="1"/>
  <c r="AE185"/>
  <c r="AD185" s="1"/>
  <c r="AB185" s="1"/>
  <c r="AF185"/>
  <c r="CT185" s="1"/>
  <c r="S185" s="1"/>
  <c r="AG185"/>
  <c r="CU185" s="1"/>
  <c r="T185" s="1"/>
  <c r="AH185"/>
  <c r="AI185"/>
  <c r="AJ185"/>
  <c r="CX185" s="1"/>
  <c r="W185" s="1"/>
  <c r="CR185"/>
  <c r="Q185" s="1"/>
  <c r="CS185"/>
  <c r="R185" s="1"/>
  <c r="GK185" s="1"/>
  <c r="CV185"/>
  <c r="U185" s="1"/>
  <c r="CW185"/>
  <c r="V185" s="1"/>
  <c r="FR185"/>
  <c r="GL185"/>
  <c r="GN185"/>
  <c r="GO185"/>
  <c r="GV185"/>
  <c r="HC185" s="1"/>
  <c r="GX185" s="1"/>
  <c r="B187"/>
  <c r="B167" s="1"/>
  <c r="C187"/>
  <c r="C167" s="1"/>
  <c r="D187"/>
  <c r="D167" s="1"/>
  <c r="F187"/>
  <c r="F167" s="1"/>
  <c r="G187"/>
  <c r="G167" s="1"/>
  <c r="BC187"/>
  <c r="BC167" s="1"/>
  <c r="BX187"/>
  <c r="BX167" s="1"/>
  <c r="BY187"/>
  <c r="BY167" s="1"/>
  <c r="CB187"/>
  <c r="CB167" s="1"/>
  <c r="CC187"/>
  <c r="CC167" s="1"/>
  <c r="CK187"/>
  <c r="CK167" s="1"/>
  <c r="CL187"/>
  <c r="CL167" s="1"/>
  <c r="F203"/>
  <c r="D219"/>
  <c r="E221"/>
  <c r="Z221"/>
  <c r="AA221"/>
  <c r="AM221"/>
  <c r="AN221"/>
  <c r="BD221"/>
  <c r="BE221"/>
  <c r="BF221"/>
  <c r="BG221"/>
  <c r="BH221"/>
  <c r="BI221"/>
  <c r="BJ221"/>
  <c r="BK221"/>
  <c r="BL221"/>
  <c r="BM221"/>
  <c r="BN221"/>
  <c r="BO221"/>
  <c r="BP221"/>
  <c r="BQ221"/>
  <c r="BR221"/>
  <c r="BS221"/>
  <c r="BT221"/>
  <c r="BU221"/>
  <c r="BV221"/>
  <c r="BW221"/>
  <c r="CM221"/>
  <c r="CN221"/>
  <c r="CO221"/>
  <c r="CP221"/>
  <c r="CQ221"/>
  <c r="CR221"/>
  <c r="CS221"/>
  <c r="CT221"/>
  <c r="CU221"/>
  <c r="CV221"/>
  <c r="CW221"/>
  <c r="CX221"/>
  <c r="CY221"/>
  <c r="CZ221"/>
  <c r="DA221"/>
  <c r="DB221"/>
  <c r="DC221"/>
  <c r="DD221"/>
  <c r="DE221"/>
  <c r="DF221"/>
  <c r="DG221"/>
  <c r="DH221"/>
  <c r="DI221"/>
  <c r="DJ221"/>
  <c r="DK221"/>
  <c r="DL221"/>
  <c r="DM221"/>
  <c r="DN221"/>
  <c r="DO221"/>
  <c r="DP221"/>
  <c r="DQ221"/>
  <c r="DR221"/>
  <c r="DS221"/>
  <c r="DT221"/>
  <c r="DU221"/>
  <c r="DV221"/>
  <c r="DW221"/>
  <c r="DX221"/>
  <c r="DY221"/>
  <c r="DZ221"/>
  <c r="EA221"/>
  <c r="EB221"/>
  <c r="EC221"/>
  <c r="ED221"/>
  <c r="EE221"/>
  <c r="EF221"/>
  <c r="EG221"/>
  <c r="EH221"/>
  <c r="EI221"/>
  <c r="EJ221"/>
  <c r="EK221"/>
  <c r="EL221"/>
  <c r="EM221"/>
  <c r="EN221"/>
  <c r="EO221"/>
  <c r="EP221"/>
  <c r="EQ221"/>
  <c r="ER221"/>
  <c r="ES221"/>
  <c r="ET221"/>
  <c r="EU221"/>
  <c r="EV221"/>
  <c r="EW221"/>
  <c r="EX221"/>
  <c r="EY221"/>
  <c r="EZ221"/>
  <c r="FA221"/>
  <c r="FB221"/>
  <c r="FC221"/>
  <c r="FD221"/>
  <c r="FE221"/>
  <c r="FF221"/>
  <c r="FG221"/>
  <c r="FH221"/>
  <c r="FI221"/>
  <c r="FJ221"/>
  <c r="FK221"/>
  <c r="FL221"/>
  <c r="FM221"/>
  <c r="FN221"/>
  <c r="FO221"/>
  <c r="FP221"/>
  <c r="FQ221"/>
  <c r="FR221"/>
  <c r="FS221"/>
  <c r="FT221"/>
  <c r="FU221"/>
  <c r="FV221"/>
  <c r="FW221"/>
  <c r="FX221"/>
  <c r="FY221"/>
  <c r="FZ221"/>
  <c r="GA221"/>
  <c r="GB221"/>
  <c r="GC221"/>
  <c r="GD221"/>
  <c r="GE221"/>
  <c r="GF221"/>
  <c r="GG221"/>
  <c r="GH221"/>
  <c r="GI221"/>
  <c r="GJ221"/>
  <c r="GK221"/>
  <c r="GL221"/>
  <c r="GM221"/>
  <c r="GN221"/>
  <c r="GO221"/>
  <c r="GP221"/>
  <c r="GQ221"/>
  <c r="GR221"/>
  <c r="GS221"/>
  <c r="GT221"/>
  <c r="GU221"/>
  <c r="GV221"/>
  <c r="GW221"/>
  <c r="GX221"/>
  <c r="C223"/>
  <c r="D223"/>
  <c r="I223"/>
  <c r="AC223"/>
  <c r="AE223"/>
  <c r="CS223" s="1"/>
  <c r="R223" s="1"/>
  <c r="AF223"/>
  <c r="CT223" s="1"/>
  <c r="S223" s="1"/>
  <c r="AG223"/>
  <c r="AH223"/>
  <c r="AI223"/>
  <c r="CW223" s="1"/>
  <c r="V223" s="1"/>
  <c r="AJ223"/>
  <c r="CX223" s="1"/>
  <c r="W223" s="1"/>
  <c r="CQ223"/>
  <c r="P223" s="1"/>
  <c r="CR223"/>
  <c r="Q223" s="1"/>
  <c r="CU223"/>
  <c r="T223" s="1"/>
  <c r="CV223"/>
  <c r="U223" s="1"/>
  <c r="FR223"/>
  <c r="GL223"/>
  <c r="GN223"/>
  <c r="GO223"/>
  <c r="GV223"/>
  <c r="HC223" s="1"/>
  <c r="GX223" s="1"/>
  <c r="C224"/>
  <c r="D224"/>
  <c r="I224"/>
  <c r="AC224"/>
  <c r="AE224"/>
  <c r="CS224" s="1"/>
  <c r="R224" s="1"/>
  <c r="GK224" s="1"/>
  <c r="AF224"/>
  <c r="CT224" s="1"/>
  <c r="S224" s="1"/>
  <c r="AG224"/>
  <c r="AH224"/>
  <c r="AI224"/>
  <c r="CW224" s="1"/>
  <c r="V224" s="1"/>
  <c r="AJ224"/>
  <c r="CX224" s="1"/>
  <c r="W224" s="1"/>
  <c r="CQ224"/>
  <c r="P224" s="1"/>
  <c r="CR224"/>
  <c r="Q224" s="1"/>
  <c r="CU224"/>
  <c r="T224" s="1"/>
  <c r="CV224"/>
  <c r="U224" s="1"/>
  <c r="FR224"/>
  <c r="GL224"/>
  <c r="GN224"/>
  <c r="GO224"/>
  <c r="GV224"/>
  <c r="HC224" s="1"/>
  <c r="GX224" s="1"/>
  <c r="C225"/>
  <c r="D225"/>
  <c r="I225"/>
  <c r="AC225"/>
  <c r="AE225"/>
  <c r="CS225" s="1"/>
  <c r="R225" s="1"/>
  <c r="GK225" s="1"/>
  <c r="AF225"/>
  <c r="CT225" s="1"/>
  <c r="S225" s="1"/>
  <c r="AG225"/>
  <c r="AH225"/>
  <c r="AI225"/>
  <c r="CW225" s="1"/>
  <c r="V225" s="1"/>
  <c r="AJ225"/>
  <c r="CX225" s="1"/>
  <c r="W225" s="1"/>
  <c r="CQ225"/>
  <c r="P225" s="1"/>
  <c r="CP225" s="1"/>
  <c r="O225" s="1"/>
  <c r="CR225"/>
  <c r="Q225" s="1"/>
  <c r="CU225"/>
  <c r="T225" s="1"/>
  <c r="CV225"/>
  <c r="U225" s="1"/>
  <c r="FR225"/>
  <c r="GL225"/>
  <c r="GN225"/>
  <c r="GO225"/>
  <c r="GV225"/>
  <c r="HC225" s="1"/>
  <c r="GX225" s="1"/>
  <c r="B227"/>
  <c r="B221" s="1"/>
  <c r="C227"/>
  <c r="C221" s="1"/>
  <c r="D227"/>
  <c r="D221" s="1"/>
  <c r="F227"/>
  <c r="F221" s="1"/>
  <c r="G227"/>
  <c r="G221" s="1"/>
  <c r="AP227"/>
  <c r="AP221" s="1"/>
  <c r="AQ227"/>
  <c r="AQ221" s="1"/>
  <c r="AT227"/>
  <c r="AT221" s="1"/>
  <c r="BB227"/>
  <c r="BB221" s="1"/>
  <c r="BC227"/>
  <c r="BC221" s="1"/>
  <c r="BX227"/>
  <c r="BX221" s="1"/>
  <c r="BY227"/>
  <c r="BY221" s="1"/>
  <c r="BZ227"/>
  <c r="BZ221" s="1"/>
  <c r="CB227"/>
  <c r="CB221" s="1"/>
  <c r="CC227"/>
  <c r="CC221" s="1"/>
  <c r="CI227"/>
  <c r="AZ227" s="1"/>
  <c r="CK227"/>
  <c r="CK221" s="1"/>
  <c r="CL227"/>
  <c r="CL221" s="1"/>
  <c r="F236"/>
  <c r="F237"/>
  <c r="F240"/>
  <c r="F245"/>
  <c r="D259"/>
  <c r="E261"/>
  <c r="Z261"/>
  <c r="AA261"/>
  <c r="AM261"/>
  <c r="AN261"/>
  <c r="BD261"/>
  <c r="BE261"/>
  <c r="BF261"/>
  <c r="BG261"/>
  <c r="BH261"/>
  <c r="BI261"/>
  <c r="BJ261"/>
  <c r="BK261"/>
  <c r="BL261"/>
  <c r="BM261"/>
  <c r="BN261"/>
  <c r="BO261"/>
  <c r="BP261"/>
  <c r="BQ261"/>
  <c r="BR261"/>
  <c r="BS261"/>
  <c r="BT261"/>
  <c r="BU261"/>
  <c r="BV261"/>
  <c r="BW261"/>
  <c r="CM261"/>
  <c r="CN261"/>
  <c r="CO261"/>
  <c r="CP261"/>
  <c r="CQ261"/>
  <c r="CR261"/>
  <c r="CS261"/>
  <c r="CT261"/>
  <c r="CU261"/>
  <c r="CV261"/>
  <c r="CW261"/>
  <c r="CX261"/>
  <c r="CY261"/>
  <c r="CZ261"/>
  <c r="DA261"/>
  <c r="DB261"/>
  <c r="DC261"/>
  <c r="DD261"/>
  <c r="DE261"/>
  <c r="DF261"/>
  <c r="DG261"/>
  <c r="DH261"/>
  <c r="DI261"/>
  <c r="DJ261"/>
  <c r="DK261"/>
  <c r="DL261"/>
  <c r="DM261"/>
  <c r="DN261"/>
  <c r="DO261"/>
  <c r="DP261"/>
  <c r="DQ261"/>
  <c r="DR261"/>
  <c r="DS261"/>
  <c r="DT261"/>
  <c r="DU261"/>
  <c r="DV261"/>
  <c r="DW261"/>
  <c r="DX261"/>
  <c r="DY261"/>
  <c r="DZ261"/>
  <c r="EA261"/>
  <c r="EB261"/>
  <c r="EC261"/>
  <c r="ED261"/>
  <c r="EE261"/>
  <c r="EF261"/>
  <c r="EG261"/>
  <c r="EH261"/>
  <c r="EI261"/>
  <c r="EJ261"/>
  <c r="EK261"/>
  <c r="EL261"/>
  <c r="EM261"/>
  <c r="EN261"/>
  <c r="EO261"/>
  <c r="EP261"/>
  <c r="EQ261"/>
  <c r="ER261"/>
  <c r="ES261"/>
  <c r="ET261"/>
  <c r="EU261"/>
  <c r="EV261"/>
  <c r="EW261"/>
  <c r="EX261"/>
  <c r="EY261"/>
  <c r="EZ261"/>
  <c r="FA261"/>
  <c r="FB261"/>
  <c r="FC261"/>
  <c r="FD261"/>
  <c r="FE261"/>
  <c r="FF261"/>
  <c r="FG261"/>
  <c r="FH261"/>
  <c r="FI261"/>
  <c r="FJ261"/>
  <c r="FK261"/>
  <c r="FL261"/>
  <c r="FM261"/>
  <c r="FN261"/>
  <c r="FO261"/>
  <c r="FP261"/>
  <c r="FQ261"/>
  <c r="FR261"/>
  <c r="FS261"/>
  <c r="FT261"/>
  <c r="FU261"/>
  <c r="FV261"/>
  <c r="FW261"/>
  <c r="FX261"/>
  <c r="FY261"/>
  <c r="FZ261"/>
  <c r="GA261"/>
  <c r="GB261"/>
  <c r="GC261"/>
  <c r="GD261"/>
  <c r="GE261"/>
  <c r="GF261"/>
  <c r="GG261"/>
  <c r="GH261"/>
  <c r="GI261"/>
  <c r="GJ261"/>
  <c r="GK261"/>
  <c r="GL261"/>
  <c r="GM261"/>
  <c r="GN261"/>
  <c r="GO261"/>
  <c r="GP261"/>
  <c r="GQ261"/>
  <c r="GR261"/>
  <c r="GS261"/>
  <c r="GT261"/>
  <c r="GU261"/>
  <c r="GV261"/>
  <c r="GW261"/>
  <c r="GX261"/>
  <c r="C263"/>
  <c r="D263"/>
  <c r="I263"/>
  <c r="AC263"/>
  <c r="AB263" s="1"/>
  <c r="AD263"/>
  <c r="AE263"/>
  <c r="CS263" s="1"/>
  <c r="R263" s="1"/>
  <c r="AF263"/>
  <c r="AG263"/>
  <c r="AH263"/>
  <c r="CV263" s="1"/>
  <c r="U263" s="1"/>
  <c r="AI263"/>
  <c r="CW263" s="1"/>
  <c r="V263" s="1"/>
  <c r="AJ263"/>
  <c r="CQ263"/>
  <c r="P263" s="1"/>
  <c r="CR263"/>
  <c r="Q263" s="1"/>
  <c r="CT263"/>
  <c r="S263" s="1"/>
  <c r="CU263"/>
  <c r="T263" s="1"/>
  <c r="CX263"/>
  <c r="W263" s="1"/>
  <c r="FR263"/>
  <c r="GL263"/>
  <c r="GN263"/>
  <c r="GO263"/>
  <c r="GV263"/>
  <c r="HC263"/>
  <c r="GX263" s="1"/>
  <c r="C264"/>
  <c r="D264"/>
  <c r="I264"/>
  <c r="AC264"/>
  <c r="AB264" s="1"/>
  <c r="AD264"/>
  <c r="AE264"/>
  <c r="AF264"/>
  <c r="AG264"/>
  <c r="AH264"/>
  <c r="CV264" s="1"/>
  <c r="U264" s="1"/>
  <c r="AI264"/>
  <c r="AJ264"/>
  <c r="CQ264"/>
  <c r="P264" s="1"/>
  <c r="CR264"/>
  <c r="Q264" s="1"/>
  <c r="CS264"/>
  <c r="R264" s="1"/>
  <c r="GK264" s="1"/>
  <c r="CT264"/>
  <c r="S264" s="1"/>
  <c r="CU264"/>
  <c r="T264" s="1"/>
  <c r="CW264"/>
  <c r="V264" s="1"/>
  <c r="CX264"/>
  <c r="W264" s="1"/>
  <c r="FR264"/>
  <c r="GL264"/>
  <c r="GN264"/>
  <c r="GO264"/>
  <c r="GV264"/>
  <c r="HC264"/>
  <c r="GX264" s="1"/>
  <c r="C265"/>
  <c r="D265"/>
  <c r="I265"/>
  <c r="AC265"/>
  <c r="AD265"/>
  <c r="AB265" s="1"/>
  <c r="AE265"/>
  <c r="AF265"/>
  <c r="CT265" s="1"/>
  <c r="S265" s="1"/>
  <c r="AG265"/>
  <c r="AH265"/>
  <c r="CV265" s="1"/>
  <c r="U265" s="1"/>
  <c r="AI265"/>
  <c r="AJ265"/>
  <c r="CX265" s="1"/>
  <c r="W265" s="1"/>
  <c r="CQ265"/>
  <c r="P265" s="1"/>
  <c r="CR265"/>
  <c r="Q265" s="1"/>
  <c r="CS265"/>
  <c r="R265" s="1"/>
  <c r="GK265" s="1"/>
  <c r="CU265"/>
  <c r="T265" s="1"/>
  <c r="CW265"/>
  <c r="V265" s="1"/>
  <c r="FR265"/>
  <c r="GL265"/>
  <c r="GN265"/>
  <c r="GO265"/>
  <c r="GV265"/>
  <c r="GX265"/>
  <c r="HC265"/>
  <c r="C266"/>
  <c r="D266"/>
  <c r="I266"/>
  <c r="AC266"/>
  <c r="AD266"/>
  <c r="AB266" s="1"/>
  <c r="AE266"/>
  <c r="AF266"/>
  <c r="CT266" s="1"/>
  <c r="S266" s="1"/>
  <c r="AG266"/>
  <c r="AH266"/>
  <c r="CV266" s="1"/>
  <c r="U266" s="1"/>
  <c r="AI266"/>
  <c r="AJ266"/>
  <c r="CX266" s="1"/>
  <c r="W266" s="1"/>
  <c r="CQ266"/>
  <c r="P266" s="1"/>
  <c r="CR266"/>
  <c r="Q266" s="1"/>
  <c r="CS266"/>
  <c r="R266" s="1"/>
  <c r="GK266" s="1"/>
  <c r="CU266"/>
  <c r="T266" s="1"/>
  <c r="CW266"/>
  <c r="V266" s="1"/>
  <c r="FR266"/>
  <c r="GL266"/>
  <c r="GN266"/>
  <c r="GO266"/>
  <c r="GV266"/>
  <c r="GX266"/>
  <c r="HC266"/>
  <c r="B268"/>
  <c r="B261" s="1"/>
  <c r="C268"/>
  <c r="C261" s="1"/>
  <c r="D268"/>
  <c r="D261" s="1"/>
  <c r="F268"/>
  <c r="F261" s="1"/>
  <c r="G268"/>
  <c r="G261" s="1"/>
  <c r="AP268"/>
  <c r="AP261" s="1"/>
  <c r="AT268"/>
  <c r="F286" s="1"/>
  <c r="BB268"/>
  <c r="BB261" s="1"/>
  <c r="BX268"/>
  <c r="BX261" s="1"/>
  <c r="BY268"/>
  <c r="CI268" s="1"/>
  <c r="BZ268"/>
  <c r="AQ268" s="1"/>
  <c r="CB268"/>
  <c r="CB261" s="1"/>
  <c r="CC268"/>
  <c r="CC261" s="1"/>
  <c r="CK268"/>
  <c r="CK261" s="1"/>
  <c r="CL268"/>
  <c r="BC268" s="1"/>
  <c r="F277"/>
  <c r="F281"/>
  <c r="D300"/>
  <c r="E302"/>
  <c r="Z302"/>
  <c r="AA302"/>
  <c r="AM302"/>
  <c r="AN302"/>
  <c r="BD302"/>
  <c r="BE302"/>
  <c r="BF302"/>
  <c r="BG302"/>
  <c r="BH302"/>
  <c r="BI302"/>
  <c r="BJ302"/>
  <c r="BK302"/>
  <c r="BL302"/>
  <c r="BM302"/>
  <c r="BN302"/>
  <c r="BO302"/>
  <c r="BP302"/>
  <c r="BQ302"/>
  <c r="BR302"/>
  <c r="BS302"/>
  <c r="BT302"/>
  <c r="BU302"/>
  <c r="BV302"/>
  <c r="BW302"/>
  <c r="CM302"/>
  <c r="CN302"/>
  <c r="CO302"/>
  <c r="CP302"/>
  <c r="CQ302"/>
  <c r="CR302"/>
  <c r="CS302"/>
  <c r="CT302"/>
  <c r="CU302"/>
  <c r="CV302"/>
  <c r="CW302"/>
  <c r="CX302"/>
  <c r="CY302"/>
  <c r="CZ302"/>
  <c r="DA302"/>
  <c r="DB302"/>
  <c r="DC302"/>
  <c r="DD302"/>
  <c r="DE302"/>
  <c r="DF302"/>
  <c r="DG302"/>
  <c r="DH302"/>
  <c r="DI302"/>
  <c r="DJ302"/>
  <c r="DK302"/>
  <c r="DL302"/>
  <c r="DM302"/>
  <c r="DN302"/>
  <c r="DO302"/>
  <c r="DP302"/>
  <c r="DQ302"/>
  <c r="DR302"/>
  <c r="DS302"/>
  <c r="DT302"/>
  <c r="DU302"/>
  <c r="DV302"/>
  <c r="DW302"/>
  <c r="DX302"/>
  <c r="DY302"/>
  <c r="DZ302"/>
  <c r="EA302"/>
  <c r="EB302"/>
  <c r="EC302"/>
  <c r="ED302"/>
  <c r="EE302"/>
  <c r="EF302"/>
  <c r="EG302"/>
  <c r="EH302"/>
  <c r="EI302"/>
  <c r="EJ302"/>
  <c r="EK302"/>
  <c r="EL302"/>
  <c r="EM302"/>
  <c r="EN302"/>
  <c r="EO302"/>
  <c r="EP302"/>
  <c r="EQ302"/>
  <c r="ER302"/>
  <c r="ES302"/>
  <c r="ET302"/>
  <c r="EU302"/>
  <c r="EV302"/>
  <c r="EW302"/>
  <c r="EX302"/>
  <c r="EY302"/>
  <c r="EZ302"/>
  <c r="FA302"/>
  <c r="FB302"/>
  <c r="FC302"/>
  <c r="FD302"/>
  <c r="FE302"/>
  <c r="FF302"/>
  <c r="FG302"/>
  <c r="FH302"/>
  <c r="FI302"/>
  <c r="FJ302"/>
  <c r="FK302"/>
  <c r="FL302"/>
  <c r="FM302"/>
  <c r="FN302"/>
  <c r="FO302"/>
  <c r="FP302"/>
  <c r="FQ302"/>
  <c r="FR302"/>
  <c r="FS302"/>
  <c r="FT302"/>
  <c r="FU302"/>
  <c r="FV302"/>
  <c r="FW302"/>
  <c r="FX302"/>
  <c r="FY302"/>
  <c r="FZ302"/>
  <c r="GA302"/>
  <c r="GB302"/>
  <c r="GC302"/>
  <c r="GD302"/>
  <c r="GE302"/>
  <c r="GF302"/>
  <c r="GG302"/>
  <c r="GH302"/>
  <c r="GI302"/>
  <c r="GJ302"/>
  <c r="GK302"/>
  <c r="GL302"/>
  <c r="GM302"/>
  <c r="GN302"/>
  <c r="GO302"/>
  <c r="GP302"/>
  <c r="GQ302"/>
  <c r="GR302"/>
  <c r="GS302"/>
  <c r="GT302"/>
  <c r="GU302"/>
  <c r="GV302"/>
  <c r="GW302"/>
  <c r="GX302"/>
  <c r="C304"/>
  <c r="D304"/>
  <c r="I304"/>
  <c r="CX123" i="3" s="1"/>
  <c r="AC304" i="1"/>
  <c r="CQ304" s="1"/>
  <c r="P304" s="1"/>
  <c r="AE304"/>
  <c r="AD304" s="1"/>
  <c r="AF304"/>
  <c r="AG304"/>
  <c r="CU304" s="1"/>
  <c r="T304" s="1"/>
  <c r="AH304"/>
  <c r="AI304"/>
  <c r="CW304" s="1"/>
  <c r="V304" s="1"/>
  <c r="AJ304"/>
  <c r="CR304"/>
  <c r="Q304" s="1"/>
  <c r="CT304"/>
  <c r="S304" s="1"/>
  <c r="CV304"/>
  <c r="U304" s="1"/>
  <c r="CX304"/>
  <c r="W304" s="1"/>
  <c r="FR304"/>
  <c r="GL304"/>
  <c r="GN304"/>
  <c r="GO304"/>
  <c r="GV304"/>
  <c r="HC304"/>
  <c r="GX304" s="1"/>
  <c r="C305"/>
  <c r="D305"/>
  <c r="I305"/>
  <c r="AC305"/>
  <c r="CQ305" s="1"/>
  <c r="P305" s="1"/>
  <c r="AE305"/>
  <c r="AD305" s="1"/>
  <c r="AF305"/>
  <c r="AG305"/>
  <c r="CU305" s="1"/>
  <c r="T305" s="1"/>
  <c r="AH305"/>
  <c r="AI305"/>
  <c r="CW305" s="1"/>
  <c r="V305" s="1"/>
  <c r="AJ305"/>
  <c r="CR305"/>
  <c r="Q305" s="1"/>
  <c r="CT305"/>
  <c r="S305" s="1"/>
  <c r="CV305"/>
  <c r="U305" s="1"/>
  <c r="CX305"/>
  <c r="W305" s="1"/>
  <c r="FR305"/>
  <c r="GL305"/>
  <c r="GN305"/>
  <c r="GO305"/>
  <c r="GV305"/>
  <c r="HC305" s="1"/>
  <c r="GX305" s="1"/>
  <c r="C306"/>
  <c r="D306"/>
  <c r="I306"/>
  <c r="CX127" i="3" s="1"/>
  <c r="AC306" i="1"/>
  <c r="CQ306" s="1"/>
  <c r="P306" s="1"/>
  <c r="AE306"/>
  <c r="AD306" s="1"/>
  <c r="AF306"/>
  <c r="AG306"/>
  <c r="CU306" s="1"/>
  <c r="T306" s="1"/>
  <c r="AH306"/>
  <c r="AI306"/>
  <c r="CW306" s="1"/>
  <c r="V306" s="1"/>
  <c r="AJ306"/>
  <c r="CR306"/>
  <c r="Q306" s="1"/>
  <c r="CT306"/>
  <c r="S306" s="1"/>
  <c r="CV306"/>
  <c r="U306" s="1"/>
  <c r="CX306"/>
  <c r="W306" s="1"/>
  <c r="FR306"/>
  <c r="GL306"/>
  <c r="GN306"/>
  <c r="GO306"/>
  <c r="GV306"/>
  <c r="HC306" s="1"/>
  <c r="GX306" s="1"/>
  <c r="C307"/>
  <c r="D307"/>
  <c r="I307"/>
  <c r="CX128" i="3" s="1"/>
  <c r="AC307" i="1"/>
  <c r="CQ307" s="1"/>
  <c r="P307" s="1"/>
  <c r="AE307"/>
  <c r="AD307" s="1"/>
  <c r="AF307"/>
  <c r="AG307"/>
  <c r="CU307" s="1"/>
  <c r="T307" s="1"/>
  <c r="AH307"/>
  <c r="AI307"/>
  <c r="CW307" s="1"/>
  <c r="V307" s="1"/>
  <c r="AJ307"/>
  <c r="CR307"/>
  <c r="Q307" s="1"/>
  <c r="CT307"/>
  <c r="S307" s="1"/>
  <c r="CV307"/>
  <c r="U307" s="1"/>
  <c r="CX307"/>
  <c r="W307" s="1"/>
  <c r="FR307"/>
  <c r="GL307"/>
  <c r="GN307"/>
  <c r="GO307"/>
  <c r="GV307"/>
  <c r="HC307" s="1"/>
  <c r="GX307" s="1"/>
  <c r="C308"/>
  <c r="D308"/>
  <c r="I308"/>
  <c r="AC308"/>
  <c r="CQ308" s="1"/>
  <c r="P308" s="1"/>
  <c r="AE308"/>
  <c r="AD308" s="1"/>
  <c r="AF308"/>
  <c r="AG308"/>
  <c r="CU308" s="1"/>
  <c r="T308" s="1"/>
  <c r="AH308"/>
  <c r="AI308"/>
  <c r="CW308" s="1"/>
  <c r="V308" s="1"/>
  <c r="AJ308"/>
  <c r="CR308"/>
  <c r="Q308" s="1"/>
  <c r="CT308"/>
  <c r="S308" s="1"/>
  <c r="CV308"/>
  <c r="U308" s="1"/>
  <c r="CX308"/>
  <c r="W308" s="1"/>
  <c r="FR308"/>
  <c r="GL308"/>
  <c r="GN308"/>
  <c r="GO308"/>
  <c r="GV308"/>
  <c r="HC308" s="1"/>
  <c r="GX308" s="1"/>
  <c r="C309"/>
  <c r="D309"/>
  <c r="I309"/>
  <c r="AC309"/>
  <c r="CQ309" s="1"/>
  <c r="P309" s="1"/>
  <c r="AE309"/>
  <c r="AD309" s="1"/>
  <c r="AF309"/>
  <c r="AG309"/>
  <c r="CU309" s="1"/>
  <c r="T309" s="1"/>
  <c r="AH309"/>
  <c r="AI309"/>
  <c r="CW309" s="1"/>
  <c r="V309" s="1"/>
  <c r="AJ309"/>
  <c r="CR309"/>
  <c r="Q309" s="1"/>
  <c r="CT309"/>
  <c r="S309" s="1"/>
  <c r="CV309"/>
  <c r="U309" s="1"/>
  <c r="CX309"/>
  <c r="W309" s="1"/>
  <c r="FR309"/>
  <c r="GL309"/>
  <c r="GN309"/>
  <c r="GO309"/>
  <c r="GV309"/>
  <c r="HC309" s="1"/>
  <c r="GX309" s="1"/>
  <c r="C310"/>
  <c r="D310"/>
  <c r="I310"/>
  <c r="AC310"/>
  <c r="CQ310" s="1"/>
  <c r="P310" s="1"/>
  <c r="AE310"/>
  <c r="AD310" s="1"/>
  <c r="AF310"/>
  <c r="AG310"/>
  <c r="CU310" s="1"/>
  <c r="T310" s="1"/>
  <c r="AH310"/>
  <c r="AI310"/>
  <c r="CW310" s="1"/>
  <c r="V310" s="1"/>
  <c r="AJ310"/>
  <c r="CR310"/>
  <c r="Q310" s="1"/>
  <c r="CT310"/>
  <c r="S310" s="1"/>
  <c r="CV310"/>
  <c r="U310" s="1"/>
  <c r="CX310"/>
  <c r="W310" s="1"/>
  <c r="FR310"/>
  <c r="GL310"/>
  <c r="GN310"/>
  <c r="GO310"/>
  <c r="GV310"/>
  <c r="HC310" s="1"/>
  <c r="GX310" s="1"/>
  <c r="C311"/>
  <c r="D311"/>
  <c r="I311"/>
  <c r="AC311"/>
  <c r="CQ311" s="1"/>
  <c r="P311" s="1"/>
  <c r="AE311"/>
  <c r="AD311" s="1"/>
  <c r="AF311"/>
  <c r="AG311"/>
  <c r="CU311" s="1"/>
  <c r="T311" s="1"/>
  <c r="AH311"/>
  <c r="AI311"/>
  <c r="CW311" s="1"/>
  <c r="V311" s="1"/>
  <c r="AJ311"/>
  <c r="CR311"/>
  <c r="Q311" s="1"/>
  <c r="CT311"/>
  <c r="S311" s="1"/>
  <c r="CV311"/>
  <c r="U311" s="1"/>
  <c r="CX311"/>
  <c r="W311" s="1"/>
  <c r="FR311"/>
  <c r="GL311"/>
  <c r="GN311"/>
  <c r="GO311"/>
  <c r="GV311"/>
  <c r="HC311" s="1"/>
  <c r="GX311" s="1"/>
  <c r="C312"/>
  <c r="D312"/>
  <c r="I312"/>
  <c r="AC312"/>
  <c r="CQ312" s="1"/>
  <c r="P312" s="1"/>
  <c r="AE312"/>
  <c r="AD312" s="1"/>
  <c r="AF312"/>
  <c r="AG312"/>
  <c r="CU312" s="1"/>
  <c r="T312" s="1"/>
  <c r="AH312"/>
  <c r="AI312"/>
  <c r="CW312" s="1"/>
  <c r="V312" s="1"/>
  <c r="AJ312"/>
  <c r="CR312"/>
  <c r="Q312" s="1"/>
  <c r="CT312"/>
  <c r="S312" s="1"/>
  <c r="CV312"/>
  <c r="U312" s="1"/>
  <c r="CX312"/>
  <c r="W312" s="1"/>
  <c r="FR312"/>
  <c r="GL312"/>
  <c r="GN312"/>
  <c r="GO312"/>
  <c r="GV312"/>
  <c r="HC312" s="1"/>
  <c r="GX312" s="1"/>
  <c r="C313"/>
  <c r="D313"/>
  <c r="AC313"/>
  <c r="AD313"/>
  <c r="AE313"/>
  <c r="AF313"/>
  <c r="CT313" s="1"/>
  <c r="S313" s="1"/>
  <c r="AG313"/>
  <c r="AH313"/>
  <c r="CV313" s="1"/>
  <c r="U313" s="1"/>
  <c r="AI313"/>
  <c r="AJ313"/>
  <c r="CX313" s="1"/>
  <c r="W313" s="1"/>
  <c r="CQ313"/>
  <c r="P313" s="1"/>
  <c r="CR313"/>
  <c r="Q313" s="1"/>
  <c r="CS313"/>
  <c r="R313" s="1"/>
  <c r="GK313" s="1"/>
  <c r="CU313"/>
  <c r="T313" s="1"/>
  <c r="CW313"/>
  <c r="V313" s="1"/>
  <c r="FR313"/>
  <c r="GL313"/>
  <c r="GN313"/>
  <c r="GO313"/>
  <c r="GV313"/>
  <c r="GX313"/>
  <c r="HC313"/>
  <c r="C314"/>
  <c r="D314"/>
  <c r="AC314"/>
  <c r="AE314"/>
  <c r="CS314" s="1"/>
  <c r="R314" s="1"/>
  <c r="GK314" s="1"/>
  <c r="AF314"/>
  <c r="AG314"/>
  <c r="CU314" s="1"/>
  <c r="T314" s="1"/>
  <c r="AH314"/>
  <c r="AI314"/>
  <c r="CW314" s="1"/>
  <c r="V314" s="1"/>
  <c r="AJ314"/>
  <c r="CR314"/>
  <c r="Q314" s="1"/>
  <c r="CT314"/>
  <c r="S314" s="1"/>
  <c r="CV314"/>
  <c r="U314" s="1"/>
  <c r="CX314"/>
  <c r="W314" s="1"/>
  <c r="FR314"/>
  <c r="GL314"/>
  <c r="GN314"/>
  <c r="GO314"/>
  <c r="GV314"/>
  <c r="HC314"/>
  <c r="GX314" s="1"/>
  <c r="I315"/>
  <c r="AC315"/>
  <c r="CQ315" s="1"/>
  <c r="P315" s="1"/>
  <c r="AE315"/>
  <c r="CR315" s="1"/>
  <c r="Q315" s="1"/>
  <c r="AF315"/>
  <c r="AG315"/>
  <c r="CU315" s="1"/>
  <c r="T315" s="1"/>
  <c r="AH315"/>
  <c r="AI315"/>
  <c r="CW315" s="1"/>
  <c r="V315" s="1"/>
  <c r="AJ315"/>
  <c r="CT315"/>
  <c r="S315" s="1"/>
  <c r="CY315" s="1"/>
  <c r="X315" s="1"/>
  <c r="CV315"/>
  <c r="U315" s="1"/>
  <c r="CX315"/>
  <c r="W315" s="1"/>
  <c r="FR315"/>
  <c r="GL315"/>
  <c r="GN315"/>
  <c r="GO315"/>
  <c r="GV315"/>
  <c r="HC315"/>
  <c r="GX315" s="1"/>
  <c r="I316"/>
  <c r="S316"/>
  <c r="AC316"/>
  <c r="AE316"/>
  <c r="AD316" s="1"/>
  <c r="AF316"/>
  <c r="AG316"/>
  <c r="AH316"/>
  <c r="AI316"/>
  <c r="CW316" s="1"/>
  <c r="V316" s="1"/>
  <c r="AJ316"/>
  <c r="CQ316"/>
  <c r="P316" s="1"/>
  <c r="CP316" s="1"/>
  <c r="O316" s="1"/>
  <c r="CR316"/>
  <c r="Q316" s="1"/>
  <c r="CT316"/>
  <c r="CU316"/>
  <c r="T316" s="1"/>
  <c r="CV316"/>
  <c r="U316" s="1"/>
  <c r="CX316"/>
  <c r="W316" s="1"/>
  <c r="CY316"/>
  <c r="X316" s="1"/>
  <c r="CZ316"/>
  <c r="Y316" s="1"/>
  <c r="FR316"/>
  <c r="GL316"/>
  <c r="GN316"/>
  <c r="GO316"/>
  <c r="GV316"/>
  <c r="HC316" s="1"/>
  <c r="GX316" s="1"/>
  <c r="C317"/>
  <c r="D317"/>
  <c r="I317"/>
  <c r="AC317"/>
  <c r="AD317"/>
  <c r="AB317" s="1"/>
  <c r="AE317"/>
  <c r="CS317" s="1"/>
  <c r="R317" s="1"/>
  <c r="GK317" s="1"/>
  <c r="AF317"/>
  <c r="CT317" s="1"/>
  <c r="S317" s="1"/>
  <c r="AG317"/>
  <c r="AH317"/>
  <c r="AI317"/>
  <c r="CW317" s="1"/>
  <c r="V317" s="1"/>
  <c r="AJ317"/>
  <c r="CX317" s="1"/>
  <c r="W317" s="1"/>
  <c r="CQ317"/>
  <c r="P317" s="1"/>
  <c r="CP317" s="1"/>
  <c r="O317" s="1"/>
  <c r="CR317"/>
  <c r="Q317" s="1"/>
  <c r="CU317"/>
  <c r="T317" s="1"/>
  <c r="CV317"/>
  <c r="U317" s="1"/>
  <c r="FR317"/>
  <c r="GL317"/>
  <c r="GN317"/>
  <c r="GO317"/>
  <c r="GV317"/>
  <c r="HC317" s="1"/>
  <c r="GX317" s="1"/>
  <c r="I318"/>
  <c r="AC318"/>
  <c r="CQ318" s="1"/>
  <c r="P318" s="1"/>
  <c r="AD318"/>
  <c r="AE318"/>
  <c r="AF318"/>
  <c r="CT318" s="1"/>
  <c r="S318" s="1"/>
  <c r="AG318"/>
  <c r="CU318" s="1"/>
  <c r="T318" s="1"/>
  <c r="AH318"/>
  <c r="CV318" s="1"/>
  <c r="U318" s="1"/>
  <c r="AI318"/>
  <c r="AJ318"/>
  <c r="CX318" s="1"/>
  <c r="W318" s="1"/>
  <c r="CR318"/>
  <c r="Q318" s="1"/>
  <c r="CS318"/>
  <c r="R318" s="1"/>
  <c r="GK318" s="1"/>
  <c r="CW318"/>
  <c r="V318" s="1"/>
  <c r="FR318"/>
  <c r="GL318"/>
  <c r="GN318"/>
  <c r="GO318"/>
  <c r="GV318"/>
  <c r="GX318"/>
  <c r="HC318"/>
  <c r="I319"/>
  <c r="AC319"/>
  <c r="AD319"/>
  <c r="AB319" s="1"/>
  <c r="AE319"/>
  <c r="CS319" s="1"/>
  <c r="R319" s="1"/>
  <c r="GK319" s="1"/>
  <c r="AF319"/>
  <c r="CT319" s="1"/>
  <c r="S319" s="1"/>
  <c r="AG319"/>
  <c r="AH319"/>
  <c r="CV319" s="1"/>
  <c r="U319" s="1"/>
  <c r="AI319"/>
  <c r="CW319" s="1"/>
  <c r="V319" s="1"/>
  <c r="AJ319"/>
  <c r="CX319" s="1"/>
  <c r="W319" s="1"/>
  <c r="CQ319"/>
  <c r="P319" s="1"/>
  <c r="CR319"/>
  <c r="Q319" s="1"/>
  <c r="CU319"/>
  <c r="T319" s="1"/>
  <c r="FR319"/>
  <c r="GL319"/>
  <c r="GN319"/>
  <c r="GO319"/>
  <c r="GV319"/>
  <c r="HC319" s="1"/>
  <c r="GX319" s="1"/>
  <c r="C320"/>
  <c r="D320"/>
  <c r="I320"/>
  <c r="AC320"/>
  <c r="AD320"/>
  <c r="AB320" s="1"/>
  <c r="AE320"/>
  <c r="CS320" s="1"/>
  <c r="R320" s="1"/>
  <c r="GK320" s="1"/>
  <c r="AF320"/>
  <c r="CT320" s="1"/>
  <c r="S320" s="1"/>
  <c r="AG320"/>
  <c r="AH320"/>
  <c r="CV320" s="1"/>
  <c r="U320" s="1"/>
  <c r="AI320"/>
  <c r="CW320" s="1"/>
  <c r="V320" s="1"/>
  <c r="AJ320"/>
  <c r="CX320" s="1"/>
  <c r="W320" s="1"/>
  <c r="CQ320"/>
  <c r="P320" s="1"/>
  <c r="CP320" s="1"/>
  <c r="O320" s="1"/>
  <c r="CR320"/>
  <c r="Q320" s="1"/>
  <c r="CU320"/>
  <c r="T320" s="1"/>
  <c r="FR320"/>
  <c r="GL320"/>
  <c r="GN320"/>
  <c r="GO320"/>
  <c r="GV320"/>
  <c r="HC320" s="1"/>
  <c r="GX320" s="1"/>
  <c r="I321"/>
  <c r="AC321"/>
  <c r="CQ321" s="1"/>
  <c r="P321" s="1"/>
  <c r="AD321"/>
  <c r="AE321"/>
  <c r="AF321"/>
  <c r="CT321" s="1"/>
  <c r="S321" s="1"/>
  <c r="AG321"/>
  <c r="CU321" s="1"/>
  <c r="T321" s="1"/>
  <c r="AH321"/>
  <c r="CV321" s="1"/>
  <c r="U321" s="1"/>
  <c r="AI321"/>
  <c r="AJ321"/>
  <c r="CX321" s="1"/>
  <c r="W321" s="1"/>
  <c r="CR321"/>
  <c r="Q321" s="1"/>
  <c r="CS321"/>
  <c r="R321" s="1"/>
  <c r="GK321" s="1"/>
  <c r="CW321"/>
  <c r="V321" s="1"/>
  <c r="FR321"/>
  <c r="GL321"/>
  <c r="GN321"/>
  <c r="GO321"/>
  <c r="GV321"/>
  <c r="GX321"/>
  <c r="HC321"/>
  <c r="I322"/>
  <c r="AC322"/>
  <c r="AD322"/>
  <c r="AB322" s="1"/>
  <c r="AE322"/>
  <c r="CS322" s="1"/>
  <c r="R322" s="1"/>
  <c r="GK322" s="1"/>
  <c r="AF322"/>
  <c r="CT322" s="1"/>
  <c r="S322" s="1"/>
  <c r="AG322"/>
  <c r="AH322"/>
  <c r="CV322" s="1"/>
  <c r="U322" s="1"/>
  <c r="AI322"/>
  <c r="CW322" s="1"/>
  <c r="V322" s="1"/>
  <c r="AJ322"/>
  <c r="CX322" s="1"/>
  <c r="W322" s="1"/>
  <c r="CQ322"/>
  <c r="P322" s="1"/>
  <c r="CP322" s="1"/>
  <c r="O322" s="1"/>
  <c r="CR322"/>
  <c r="Q322" s="1"/>
  <c r="CU322"/>
  <c r="T322" s="1"/>
  <c r="FR322"/>
  <c r="GL322"/>
  <c r="GN322"/>
  <c r="GO322"/>
  <c r="GV322"/>
  <c r="HC322" s="1"/>
  <c r="GX322" s="1"/>
  <c r="C323"/>
  <c r="D323"/>
  <c r="AC323"/>
  <c r="CQ323" s="1"/>
  <c r="P323" s="1"/>
  <c r="CP323" s="1"/>
  <c r="O323" s="1"/>
  <c r="AE323"/>
  <c r="CS323" s="1"/>
  <c r="R323" s="1"/>
  <c r="GK323" s="1"/>
  <c r="AF323"/>
  <c r="CT323" s="1"/>
  <c r="S323" s="1"/>
  <c r="AG323"/>
  <c r="CU323" s="1"/>
  <c r="T323" s="1"/>
  <c r="AH323"/>
  <c r="AI323"/>
  <c r="CW323" s="1"/>
  <c r="V323" s="1"/>
  <c r="AJ323"/>
  <c r="CX323" s="1"/>
  <c r="W323" s="1"/>
  <c r="CR323"/>
  <c r="Q323" s="1"/>
  <c r="CV323"/>
  <c r="U323" s="1"/>
  <c r="FR323"/>
  <c r="GL323"/>
  <c r="GN323"/>
  <c r="GO323"/>
  <c r="GV323"/>
  <c r="HC323" s="1"/>
  <c r="GX323" s="1"/>
  <c r="C324"/>
  <c r="D324"/>
  <c r="I324"/>
  <c r="AC324"/>
  <c r="CQ324" s="1"/>
  <c r="P324" s="1"/>
  <c r="AE324"/>
  <c r="CS324" s="1"/>
  <c r="R324" s="1"/>
  <c r="GK324" s="1"/>
  <c r="AF324"/>
  <c r="CT324" s="1"/>
  <c r="S324" s="1"/>
  <c r="AG324"/>
  <c r="CU324" s="1"/>
  <c r="T324" s="1"/>
  <c r="AH324"/>
  <c r="AI324"/>
  <c r="CW324" s="1"/>
  <c r="V324" s="1"/>
  <c r="AJ324"/>
  <c r="CX324" s="1"/>
  <c r="W324" s="1"/>
  <c r="CR324"/>
  <c r="Q324" s="1"/>
  <c r="CV324"/>
  <c r="U324" s="1"/>
  <c r="FR324"/>
  <c r="GL324"/>
  <c r="GN324"/>
  <c r="GO324"/>
  <c r="GV324"/>
  <c r="HC324" s="1"/>
  <c r="GX324" s="1"/>
  <c r="C325"/>
  <c r="D325"/>
  <c r="I325"/>
  <c r="AC325"/>
  <c r="CQ325" s="1"/>
  <c r="P325" s="1"/>
  <c r="CP325" s="1"/>
  <c r="O325" s="1"/>
  <c r="AE325"/>
  <c r="CS325" s="1"/>
  <c r="R325" s="1"/>
  <c r="GK325" s="1"/>
  <c r="AF325"/>
  <c r="CT325" s="1"/>
  <c r="S325" s="1"/>
  <c r="AG325"/>
  <c r="CU325" s="1"/>
  <c r="T325" s="1"/>
  <c r="AH325"/>
  <c r="AI325"/>
  <c r="CW325" s="1"/>
  <c r="V325" s="1"/>
  <c r="AJ325"/>
  <c r="CX325" s="1"/>
  <c r="W325" s="1"/>
  <c r="CR325"/>
  <c r="Q325" s="1"/>
  <c r="CV325"/>
  <c r="U325" s="1"/>
  <c r="FR325"/>
  <c r="GL325"/>
  <c r="GN325"/>
  <c r="GO325"/>
  <c r="GV325"/>
  <c r="HC325" s="1"/>
  <c r="GX325" s="1"/>
  <c r="C326"/>
  <c r="D326"/>
  <c r="I326"/>
  <c r="AC326"/>
  <c r="CQ326" s="1"/>
  <c r="P326" s="1"/>
  <c r="AE326"/>
  <c r="AD326" s="1"/>
  <c r="AB326" s="1"/>
  <c r="AF326"/>
  <c r="CT326" s="1"/>
  <c r="S326" s="1"/>
  <c r="AG326"/>
  <c r="CU326" s="1"/>
  <c r="T326" s="1"/>
  <c r="AH326"/>
  <c r="AI326"/>
  <c r="AJ326"/>
  <c r="CX326" s="1"/>
  <c r="W326" s="1"/>
  <c r="CR326"/>
  <c r="Q326" s="1"/>
  <c r="CS326"/>
  <c r="R326" s="1"/>
  <c r="GK326" s="1"/>
  <c r="CV326"/>
  <c r="U326" s="1"/>
  <c r="CW326"/>
  <c r="V326" s="1"/>
  <c r="FR326"/>
  <c r="GL326"/>
  <c r="GN326"/>
  <c r="GO326"/>
  <c r="GV326"/>
  <c r="HC326" s="1"/>
  <c r="GX326" s="1"/>
  <c r="C327"/>
  <c r="D327"/>
  <c r="AC327"/>
  <c r="CQ327" s="1"/>
  <c r="P327" s="1"/>
  <c r="AD327"/>
  <c r="AE327"/>
  <c r="AF327"/>
  <c r="AG327"/>
  <c r="CU327" s="1"/>
  <c r="T327" s="1"/>
  <c r="AH327"/>
  <c r="AI327"/>
  <c r="AJ327"/>
  <c r="CR327"/>
  <c r="Q327" s="1"/>
  <c r="CS327"/>
  <c r="R327" s="1"/>
  <c r="GK327" s="1"/>
  <c r="CT327"/>
  <c r="S327" s="1"/>
  <c r="CV327"/>
  <c r="U327" s="1"/>
  <c r="CW327"/>
  <c r="V327" s="1"/>
  <c r="CX327"/>
  <c r="W327" s="1"/>
  <c r="FR327"/>
  <c r="GL327"/>
  <c r="GN327"/>
  <c r="GO327"/>
  <c r="GV327"/>
  <c r="GX327"/>
  <c r="HC327"/>
  <c r="B329"/>
  <c r="B302" s="1"/>
  <c r="C329"/>
  <c r="C302" s="1"/>
  <c r="D329"/>
  <c r="D302" s="1"/>
  <c r="F329"/>
  <c r="F302" s="1"/>
  <c r="G329"/>
  <c r="G302" s="1"/>
  <c r="BX329"/>
  <c r="BX302" s="1"/>
  <c r="BY329"/>
  <c r="BY302" s="1"/>
  <c r="BZ329"/>
  <c r="BZ302" s="1"/>
  <c r="CB329"/>
  <c r="CB302" s="1"/>
  <c r="CC329"/>
  <c r="CC302" s="1"/>
  <c r="CG329"/>
  <c r="CG302" s="1"/>
  <c r="CK329"/>
  <c r="CK302" s="1"/>
  <c r="CL329"/>
  <c r="CL302" s="1"/>
  <c r="B361"/>
  <c r="B22" s="1"/>
  <c r="C361"/>
  <c r="C22" s="1"/>
  <c r="D361"/>
  <c r="D22" s="1"/>
  <c r="F361"/>
  <c r="F22" s="1"/>
  <c r="G361"/>
  <c r="G22" s="1"/>
  <c r="B390"/>
  <c r="B18" s="1"/>
  <c r="C390"/>
  <c r="C18" s="1"/>
  <c r="D390"/>
  <c r="D18" s="1"/>
  <c r="F390"/>
  <c r="F18" s="1"/>
  <c r="G390"/>
  <c r="G18" s="1"/>
  <c r="E574" i="5" l="1"/>
  <c r="J156"/>
  <c r="J155"/>
  <c r="I158" s="1"/>
  <c r="E17" i="9"/>
  <c r="E30"/>
  <c r="E40"/>
  <c r="E68"/>
  <c r="E113"/>
  <c r="E56"/>
  <c r="E74"/>
  <c r="I140" i="5"/>
  <c r="I288"/>
  <c r="P288" s="1"/>
  <c r="I295"/>
  <c r="P295" s="1"/>
  <c r="J308"/>
  <c r="I427"/>
  <c r="J504"/>
  <c r="J88"/>
  <c r="I91" s="1"/>
  <c r="J505"/>
  <c r="J491"/>
  <c r="I250"/>
  <c r="P250" s="1"/>
  <c r="J260"/>
  <c r="J309"/>
  <c r="J89"/>
  <c r="I346"/>
  <c r="P346" s="1"/>
  <c r="I460"/>
  <c r="K460" s="1"/>
  <c r="I133"/>
  <c r="K133" s="1"/>
  <c r="I243"/>
  <c r="I335"/>
  <c r="K335" s="1"/>
  <c r="I381"/>
  <c r="P381" s="1"/>
  <c r="J492"/>
  <c r="J517"/>
  <c r="I191"/>
  <c r="P191" s="1"/>
  <c r="J259"/>
  <c r="I282"/>
  <c r="K282" s="1"/>
  <c r="I404"/>
  <c r="K404" s="1"/>
  <c r="J519"/>
  <c r="I527"/>
  <c r="P527" s="1"/>
  <c r="I551"/>
  <c r="K551" s="1"/>
  <c r="K191"/>
  <c r="K288"/>
  <c r="K295"/>
  <c r="I57"/>
  <c r="I119"/>
  <c r="I177"/>
  <c r="I229"/>
  <c r="I263"/>
  <c r="I373"/>
  <c r="I414"/>
  <c r="I468"/>
  <c r="I476"/>
  <c r="I483"/>
  <c r="P133"/>
  <c r="P140"/>
  <c r="K140"/>
  <c r="K250"/>
  <c r="P282"/>
  <c r="P427"/>
  <c r="K427"/>
  <c r="P551"/>
  <c r="I100"/>
  <c r="I365"/>
  <c r="I50"/>
  <c r="I64"/>
  <c r="I72"/>
  <c r="I80"/>
  <c r="I185"/>
  <c r="I198"/>
  <c r="I210"/>
  <c r="I420"/>
  <c r="I449"/>
  <c r="I543"/>
  <c r="I561"/>
  <c r="K243"/>
  <c r="P243"/>
  <c r="P460"/>
  <c r="I40"/>
  <c r="I127"/>
  <c r="I237"/>
  <c r="I327"/>
  <c r="I271"/>
  <c r="I389"/>
  <c r="I438"/>
  <c r="I535"/>
  <c r="CZ323" i="1"/>
  <c r="Y323" s="1"/>
  <c r="CY323"/>
  <c r="X323" s="1"/>
  <c r="CY321"/>
  <c r="X321" s="1"/>
  <c r="CZ321"/>
  <c r="Y321" s="1"/>
  <c r="CZ319"/>
  <c r="Y319" s="1"/>
  <c r="CY319"/>
  <c r="X319" s="1"/>
  <c r="CJ329"/>
  <c r="AD329"/>
  <c r="CY327"/>
  <c r="X327" s="1"/>
  <c r="CZ327"/>
  <c r="Y327" s="1"/>
  <c r="CZ324"/>
  <c r="Y324" s="1"/>
  <c r="CY324"/>
  <c r="X324" s="1"/>
  <c r="CY318"/>
  <c r="X318" s="1"/>
  <c r="CZ318"/>
  <c r="Y318" s="1"/>
  <c r="CP326"/>
  <c r="O326" s="1"/>
  <c r="CP321"/>
  <c r="O321" s="1"/>
  <c r="CP319"/>
  <c r="O319" s="1"/>
  <c r="AJ329"/>
  <c r="CZ325"/>
  <c r="Y325" s="1"/>
  <c r="CY325"/>
  <c r="X325" s="1"/>
  <c r="GP325" s="1"/>
  <c r="GM323"/>
  <c r="GP323"/>
  <c r="CP318"/>
  <c r="O318" s="1"/>
  <c r="AG329"/>
  <c r="AI329"/>
  <c r="CZ326"/>
  <c r="Y326" s="1"/>
  <c r="CY326"/>
  <c r="X326" s="1"/>
  <c r="CZ322"/>
  <c r="Y322" s="1"/>
  <c r="CY322"/>
  <c r="X322" s="1"/>
  <c r="GP322" s="1"/>
  <c r="CZ320"/>
  <c r="Y320" s="1"/>
  <c r="CY320"/>
  <c r="X320" s="1"/>
  <c r="GP320" s="1"/>
  <c r="AF329"/>
  <c r="CZ317"/>
  <c r="Y317" s="1"/>
  <c r="CY317"/>
  <c r="X317" s="1"/>
  <c r="GP317" s="1"/>
  <c r="CP327"/>
  <c r="O327" s="1"/>
  <c r="CP324"/>
  <c r="O324" s="1"/>
  <c r="AH329"/>
  <c r="CP315"/>
  <c r="O315" s="1"/>
  <c r="CY309"/>
  <c r="X309" s="1"/>
  <c r="CZ309"/>
  <c r="Y309" s="1"/>
  <c r="CY305"/>
  <c r="X305" s="1"/>
  <c r="CZ305"/>
  <c r="Y305" s="1"/>
  <c r="CY304"/>
  <c r="X304" s="1"/>
  <c r="CZ304"/>
  <c r="Y304" s="1"/>
  <c r="BC261"/>
  <c r="F284"/>
  <c r="F278"/>
  <c r="AQ261"/>
  <c r="CZ225"/>
  <c r="Y225" s="1"/>
  <c r="CY225"/>
  <c r="X225" s="1"/>
  <c r="CZ185"/>
  <c r="Y185" s="1"/>
  <c r="CY185"/>
  <c r="X185" s="1"/>
  <c r="BZ167"/>
  <c r="AQ187"/>
  <c r="CI187"/>
  <c r="CZ184"/>
  <c r="Y184" s="1"/>
  <c r="CY184"/>
  <c r="X184" s="1"/>
  <c r="CP177"/>
  <c r="O177" s="1"/>
  <c r="AC187"/>
  <c r="GK176"/>
  <c r="AE187"/>
  <c r="CI329"/>
  <c r="BC329"/>
  <c r="AQ329"/>
  <c r="AD325"/>
  <c r="AB325" s="1"/>
  <c r="AD324"/>
  <c r="AB324" s="1"/>
  <c r="AD323"/>
  <c r="AB323" s="1"/>
  <c r="CP309"/>
  <c r="O309" s="1"/>
  <c r="CP305"/>
  <c r="O305" s="1"/>
  <c r="CP304"/>
  <c r="O304" s="1"/>
  <c r="AG268"/>
  <c r="AD227"/>
  <c r="CZ314"/>
  <c r="Y314" s="1"/>
  <c r="CY314"/>
  <c r="X314" s="1"/>
  <c r="CY312"/>
  <c r="X312" s="1"/>
  <c r="CZ312"/>
  <c r="Y312" s="1"/>
  <c r="CY308"/>
  <c r="X308" s="1"/>
  <c r="CZ308"/>
  <c r="Y308" s="1"/>
  <c r="CZ266"/>
  <c r="Y266" s="1"/>
  <c r="CY266"/>
  <c r="X266" s="1"/>
  <c r="AC268"/>
  <c r="CP263"/>
  <c r="O263" s="1"/>
  <c r="F238"/>
  <c r="AZ221"/>
  <c r="GM225"/>
  <c r="GP225"/>
  <c r="CZ224"/>
  <c r="Y224" s="1"/>
  <c r="CY224"/>
  <c r="X224" s="1"/>
  <c r="GK223"/>
  <c r="AE227"/>
  <c r="AB327"/>
  <c r="AB321"/>
  <c r="AB318"/>
  <c r="AB316"/>
  <c r="CZ315"/>
  <c r="Y315" s="1"/>
  <c r="CP312"/>
  <c r="O312" s="1"/>
  <c r="CP308"/>
  <c r="O308" s="1"/>
  <c r="AJ268"/>
  <c r="AG227"/>
  <c r="AI227"/>
  <c r="AG187"/>
  <c r="CX199" i="3"/>
  <c r="CX197"/>
  <c r="CX198"/>
  <c r="CX191"/>
  <c r="CX195"/>
  <c r="CX192"/>
  <c r="CX196"/>
  <c r="CX193"/>
  <c r="CX194"/>
  <c r="CX189"/>
  <c r="CX190"/>
  <c r="AD315" i="1"/>
  <c r="CS315"/>
  <c r="R315" s="1"/>
  <c r="GK315" s="1"/>
  <c r="CZ313"/>
  <c r="Y313" s="1"/>
  <c r="CY313"/>
  <c r="X313" s="1"/>
  <c r="CY311"/>
  <c r="X311" s="1"/>
  <c r="CZ311"/>
  <c r="Y311" s="1"/>
  <c r="CY307"/>
  <c r="X307" s="1"/>
  <c r="CZ307"/>
  <c r="Y307" s="1"/>
  <c r="CZ265"/>
  <c r="Y265" s="1"/>
  <c r="CY265"/>
  <c r="X265" s="1"/>
  <c r="CZ264"/>
  <c r="Y264" s="1"/>
  <c r="CY264"/>
  <c r="X264" s="1"/>
  <c r="CZ223"/>
  <c r="Y223" s="1"/>
  <c r="AL227" s="1"/>
  <c r="CY223"/>
  <c r="X223" s="1"/>
  <c r="AK227" s="1"/>
  <c r="AF227"/>
  <c r="GM184"/>
  <c r="GP184"/>
  <c r="GM179"/>
  <c r="GP179"/>
  <c r="AS329"/>
  <c r="AO329"/>
  <c r="CP311"/>
  <c r="O311" s="1"/>
  <c r="CP307"/>
  <c r="O307" s="1"/>
  <c r="CP266"/>
  <c r="O266" s="1"/>
  <c r="AD268"/>
  <c r="AH268"/>
  <c r="CP224"/>
  <c r="O224" s="1"/>
  <c r="AH227"/>
  <c r="AJ227"/>
  <c r="CP185"/>
  <c r="O185" s="1"/>
  <c r="AD187"/>
  <c r="AI187"/>
  <c r="CX183" i="3"/>
  <c r="CX187"/>
  <c r="CX184"/>
  <c r="CX185"/>
  <c r="CX182"/>
  <c r="CX186"/>
  <c r="CX179"/>
  <c r="CX176"/>
  <c r="CX180"/>
  <c r="CX177"/>
  <c r="CX181"/>
  <c r="CX178"/>
  <c r="CY310" i="1"/>
  <c r="X310" s="1"/>
  <c r="CZ310"/>
  <c r="Y310" s="1"/>
  <c r="CY306"/>
  <c r="X306" s="1"/>
  <c r="CZ306"/>
  <c r="Y306" s="1"/>
  <c r="CI261"/>
  <c r="AZ268"/>
  <c r="CZ263"/>
  <c r="Y263" s="1"/>
  <c r="AL268" s="1"/>
  <c r="CY263"/>
  <c r="X263" s="1"/>
  <c r="AK268" s="1"/>
  <c r="AF268"/>
  <c r="GK263"/>
  <c r="AE268"/>
  <c r="AC227"/>
  <c r="CP223"/>
  <c r="O223" s="1"/>
  <c r="CZ183"/>
  <c r="Y183" s="1"/>
  <c r="CY183"/>
  <c r="X183" s="1"/>
  <c r="GP183" s="1"/>
  <c r="CZ182"/>
  <c r="Y182" s="1"/>
  <c r="CY182"/>
  <c r="X182" s="1"/>
  <c r="GP182" s="1"/>
  <c r="CZ181"/>
  <c r="Y181" s="1"/>
  <c r="CY181"/>
  <c r="X181" s="1"/>
  <c r="GP181" s="1"/>
  <c r="BB329"/>
  <c r="AX329"/>
  <c r="AT329"/>
  <c r="AP329"/>
  <c r="CS316"/>
  <c r="R316" s="1"/>
  <c r="GK316" s="1"/>
  <c r="GP316" s="1"/>
  <c r="CP313"/>
  <c r="O313" s="1"/>
  <c r="CP310"/>
  <c r="O310" s="1"/>
  <c r="CP306"/>
  <c r="O306" s="1"/>
  <c r="CP265"/>
  <c r="O265" s="1"/>
  <c r="CP264"/>
  <c r="O264" s="1"/>
  <c r="CJ268"/>
  <c r="AI268"/>
  <c r="CJ227"/>
  <c r="AH187"/>
  <c r="CJ187"/>
  <c r="CX120" i="3"/>
  <c r="CX121"/>
  <c r="CX122"/>
  <c r="CX119"/>
  <c r="CX118"/>
  <c r="CX116"/>
  <c r="CX117"/>
  <c r="CX115"/>
  <c r="CX112"/>
  <c r="CX113"/>
  <c r="CX114"/>
  <c r="CZ170" i="1"/>
  <c r="Y170" s="1"/>
  <c r="CY170"/>
  <c r="X170" s="1"/>
  <c r="CZ86"/>
  <c r="Y86" s="1"/>
  <c r="CY86"/>
  <c r="X86" s="1"/>
  <c r="CZ79"/>
  <c r="Y79" s="1"/>
  <c r="CY79"/>
  <c r="X79" s="1"/>
  <c r="AB313"/>
  <c r="BY261"/>
  <c r="F243"/>
  <c r="CG227"/>
  <c r="AS227"/>
  <c r="AO227"/>
  <c r="BB187"/>
  <c r="AT187"/>
  <c r="AP187"/>
  <c r="CP173"/>
  <c r="O173" s="1"/>
  <c r="CP169"/>
  <c r="O169" s="1"/>
  <c r="AD133"/>
  <c r="AG133"/>
  <c r="CP85"/>
  <c r="O85" s="1"/>
  <c r="CX163" i="3"/>
  <c r="CX167"/>
  <c r="CX164"/>
  <c r="CX165"/>
  <c r="CX162"/>
  <c r="CX166"/>
  <c r="CX159"/>
  <c r="CX160"/>
  <c r="CX157"/>
  <c r="CX161"/>
  <c r="CX158"/>
  <c r="CX147"/>
  <c r="CX151"/>
  <c r="CX155"/>
  <c r="CX148"/>
  <c r="CX152"/>
  <c r="CX156"/>
  <c r="CX149"/>
  <c r="CX153"/>
  <c r="CX146"/>
  <c r="CX150"/>
  <c r="CX154"/>
  <c r="CX139"/>
  <c r="CX143"/>
  <c r="CX140"/>
  <c r="CX144"/>
  <c r="CX137"/>
  <c r="CX141"/>
  <c r="CX145"/>
  <c r="CX138"/>
  <c r="CX142"/>
  <c r="CX131"/>
  <c r="CX135"/>
  <c r="CX132"/>
  <c r="CX136"/>
  <c r="CX129"/>
  <c r="CX133"/>
  <c r="CX130"/>
  <c r="CX134"/>
  <c r="CX124"/>
  <c r="CX125"/>
  <c r="CX126"/>
  <c r="CX76"/>
  <c r="CX77"/>
  <c r="CX78"/>
  <c r="CZ171" i="1"/>
  <c r="Y171" s="1"/>
  <c r="CY171"/>
  <c r="X171" s="1"/>
  <c r="CZ130"/>
  <c r="Y130" s="1"/>
  <c r="CY130"/>
  <c r="X130" s="1"/>
  <c r="CZ129"/>
  <c r="Y129" s="1"/>
  <c r="CY129"/>
  <c r="X129" s="1"/>
  <c r="CZ128"/>
  <c r="Y128" s="1"/>
  <c r="CY128"/>
  <c r="X128" s="1"/>
  <c r="CZ127"/>
  <c r="Y127" s="1"/>
  <c r="CY127"/>
  <c r="X127" s="1"/>
  <c r="AF133"/>
  <c r="CZ126"/>
  <c r="Y126" s="1"/>
  <c r="CY126"/>
  <c r="X126" s="1"/>
  <c r="CZ87"/>
  <c r="Y87" s="1"/>
  <c r="CY87"/>
  <c r="X87" s="1"/>
  <c r="GM86"/>
  <c r="GP86"/>
  <c r="CZ78"/>
  <c r="Y78" s="1"/>
  <c r="CY78"/>
  <c r="X78" s="1"/>
  <c r="AB315"/>
  <c r="CQ314"/>
  <c r="P314" s="1"/>
  <c r="AD314"/>
  <c r="AB314" s="1"/>
  <c r="CS312"/>
  <c r="R312" s="1"/>
  <c r="GK312" s="1"/>
  <c r="AB312"/>
  <c r="CS311"/>
  <c r="R311" s="1"/>
  <c r="GK311" s="1"/>
  <c r="AB311"/>
  <c r="CS310"/>
  <c r="R310" s="1"/>
  <c r="GK310" s="1"/>
  <c r="AB310"/>
  <c r="CS309"/>
  <c r="R309" s="1"/>
  <c r="GK309" s="1"/>
  <c r="AB309"/>
  <c r="CS308"/>
  <c r="R308" s="1"/>
  <c r="GK308" s="1"/>
  <c r="AB308"/>
  <c r="CS307"/>
  <c r="R307" s="1"/>
  <c r="GK307" s="1"/>
  <c r="AB307"/>
  <c r="CS306"/>
  <c r="R306" s="1"/>
  <c r="GK306" s="1"/>
  <c r="AB306"/>
  <c r="CS305"/>
  <c r="R305" s="1"/>
  <c r="GK305" s="1"/>
  <c r="AB305"/>
  <c r="CS304"/>
  <c r="R304" s="1"/>
  <c r="AB304"/>
  <c r="CG268"/>
  <c r="AS268"/>
  <c r="AO268"/>
  <c r="CL261"/>
  <c r="BZ261"/>
  <c r="AT261"/>
  <c r="AD225"/>
  <c r="AB225" s="1"/>
  <c r="AD224"/>
  <c r="AB224" s="1"/>
  <c r="AD223"/>
  <c r="AB223" s="1"/>
  <c r="CI221"/>
  <c r="AB177"/>
  <c r="AB175"/>
  <c r="CP170"/>
  <c r="O170" s="1"/>
  <c r="CJ133"/>
  <c r="CX87" i="3"/>
  <c r="CX91"/>
  <c r="CX95"/>
  <c r="CX88"/>
  <c r="CX92"/>
  <c r="CX96"/>
  <c r="CX89"/>
  <c r="CX93"/>
  <c r="CX86"/>
  <c r="CX90"/>
  <c r="CX94"/>
  <c r="CZ174" i="1"/>
  <c r="Y174" s="1"/>
  <c r="CY174"/>
  <c r="X174" s="1"/>
  <c r="CZ172"/>
  <c r="Y172" s="1"/>
  <c r="CY172"/>
  <c r="X172" s="1"/>
  <c r="GM171"/>
  <c r="GP171"/>
  <c r="CY131"/>
  <c r="X131" s="1"/>
  <c r="CZ131"/>
  <c r="Y131" s="1"/>
  <c r="GK126"/>
  <c r="CZ88"/>
  <c r="Y88" s="1"/>
  <c r="CY88"/>
  <c r="X88" s="1"/>
  <c r="CZ84"/>
  <c r="Y84" s="1"/>
  <c r="CY84"/>
  <c r="X84" s="1"/>
  <c r="CZ83"/>
  <c r="Y83" s="1"/>
  <c r="CY83"/>
  <c r="X83" s="1"/>
  <c r="CZ81"/>
  <c r="Y81" s="1"/>
  <c r="CY81"/>
  <c r="X81" s="1"/>
  <c r="CY180"/>
  <c r="X180" s="1"/>
  <c r="GP180" s="1"/>
  <c r="CP131"/>
  <c r="O131" s="1"/>
  <c r="AH133"/>
  <c r="AI133"/>
  <c r="CP87"/>
  <c r="O87" s="1"/>
  <c r="CP79"/>
  <c r="O79" s="1"/>
  <c r="CX103" i="3"/>
  <c r="CX107"/>
  <c r="CX111"/>
  <c r="CX104"/>
  <c r="CX108"/>
  <c r="CX101"/>
  <c r="CX105"/>
  <c r="CX109"/>
  <c r="CX102"/>
  <c r="CX106"/>
  <c r="CX110"/>
  <c r="CX99"/>
  <c r="CX100"/>
  <c r="CX97"/>
  <c r="CX98"/>
  <c r="CX79"/>
  <c r="CX83"/>
  <c r="CX80"/>
  <c r="CX81"/>
  <c r="CX82"/>
  <c r="CZ173" i="1"/>
  <c r="Y173" s="1"/>
  <c r="CY173"/>
  <c r="X173" s="1"/>
  <c r="CZ169"/>
  <c r="Y169" s="1"/>
  <c r="CY169"/>
  <c r="X169" s="1"/>
  <c r="CZ85"/>
  <c r="Y85" s="1"/>
  <c r="CY85"/>
  <c r="X85" s="1"/>
  <c r="CZ80"/>
  <c r="Y80" s="1"/>
  <c r="CY80"/>
  <c r="X80" s="1"/>
  <c r="GP80" s="1"/>
  <c r="CG187"/>
  <c r="AS187"/>
  <c r="AO187"/>
  <c r="W178"/>
  <c r="S178"/>
  <c r="CP178" s="1"/>
  <c r="O178" s="1"/>
  <c r="CY177"/>
  <c r="X177" s="1"/>
  <c r="W176"/>
  <c r="AJ187" s="1"/>
  <c r="S176"/>
  <c r="CY175"/>
  <c r="X175" s="1"/>
  <c r="GP175" s="1"/>
  <c r="CP174"/>
  <c r="O174" s="1"/>
  <c r="CP172"/>
  <c r="O172" s="1"/>
  <c r="AJ133"/>
  <c r="CP88"/>
  <c r="O88" s="1"/>
  <c r="CP84"/>
  <c r="O84" s="1"/>
  <c r="CP83"/>
  <c r="O83" s="1"/>
  <c r="CP81"/>
  <c r="O81" s="1"/>
  <c r="CP78"/>
  <c r="O78" s="1"/>
  <c r="CX35" i="3"/>
  <c r="CX39"/>
  <c r="CX36"/>
  <c r="CX40"/>
  <c r="CX33"/>
  <c r="CX37"/>
  <c r="CX41"/>
  <c r="CX34"/>
  <c r="CX38"/>
  <c r="CX42"/>
  <c r="CX28"/>
  <c r="CX29"/>
  <c r="CX30"/>
  <c r="CS77" i="1"/>
  <c r="R77" s="1"/>
  <c r="AD77"/>
  <c r="CZ38"/>
  <c r="Y38" s="1"/>
  <c r="CY38"/>
  <c r="X38" s="1"/>
  <c r="CZ34"/>
  <c r="Y34" s="1"/>
  <c r="GP34" s="1"/>
  <c r="CY34"/>
  <c r="X34" s="1"/>
  <c r="CZ30"/>
  <c r="Y30" s="1"/>
  <c r="GP30" s="1"/>
  <c r="CY30"/>
  <c r="X30" s="1"/>
  <c r="CI133"/>
  <c r="AB87"/>
  <c r="AB85"/>
  <c r="CP37"/>
  <c r="O37" s="1"/>
  <c r="CP31"/>
  <c r="O31" s="1"/>
  <c r="AS26"/>
  <c r="F58"/>
  <c r="CZ36"/>
  <c r="Y36" s="1"/>
  <c r="CY36"/>
  <c r="X36" s="1"/>
  <c r="CZ35"/>
  <c r="Y35" s="1"/>
  <c r="CY35"/>
  <c r="X35" s="1"/>
  <c r="GM34"/>
  <c r="CZ33"/>
  <c r="Y33" s="1"/>
  <c r="CY33"/>
  <c r="X33" s="1"/>
  <c r="GM30"/>
  <c r="CZ29"/>
  <c r="Y29" s="1"/>
  <c r="CY29"/>
  <c r="X29" s="1"/>
  <c r="GK28"/>
  <c r="CS131"/>
  <c r="R131" s="1"/>
  <c r="GK131" s="1"/>
  <c r="AB131"/>
  <c r="CQ130"/>
  <c r="P130" s="1"/>
  <c r="CP130" s="1"/>
  <c r="O130" s="1"/>
  <c r="AD130"/>
  <c r="AB130" s="1"/>
  <c r="CQ129"/>
  <c r="P129" s="1"/>
  <c r="CP129" s="1"/>
  <c r="O129" s="1"/>
  <c r="AD129"/>
  <c r="AB129" s="1"/>
  <c r="CQ128"/>
  <c r="P128" s="1"/>
  <c r="CP128" s="1"/>
  <c r="O128" s="1"/>
  <c r="AD128"/>
  <c r="AB128" s="1"/>
  <c r="CQ127"/>
  <c r="P127" s="1"/>
  <c r="CP127" s="1"/>
  <c r="O127" s="1"/>
  <c r="AD127"/>
  <c r="AB127" s="1"/>
  <c r="CQ126"/>
  <c r="P126" s="1"/>
  <c r="AD126"/>
  <c r="AB126" s="1"/>
  <c r="F108"/>
  <c r="CI90"/>
  <c r="BC90"/>
  <c r="AQ90"/>
  <c r="CX71" i="3"/>
  <c r="CX75"/>
  <c r="CX68"/>
  <c r="CX72"/>
  <c r="CX69"/>
  <c r="CX73"/>
  <c r="CX70"/>
  <c r="CX74"/>
  <c r="CX63"/>
  <c r="CX64"/>
  <c r="CX65"/>
  <c r="CX59"/>
  <c r="CX60"/>
  <c r="CX61"/>
  <c r="CX62"/>
  <c r="F45" i="1"/>
  <c r="AO26"/>
  <c r="CZ37"/>
  <c r="Y37" s="1"/>
  <c r="CY37"/>
  <c r="X37" s="1"/>
  <c r="CZ32"/>
  <c r="Y32" s="1"/>
  <c r="CY32"/>
  <c r="X32" s="1"/>
  <c r="CZ28"/>
  <c r="Y28" s="1"/>
  <c r="CY28"/>
  <c r="X28" s="1"/>
  <c r="AB173"/>
  <c r="AB172"/>
  <c r="AB171"/>
  <c r="AB170"/>
  <c r="AB169"/>
  <c r="I82"/>
  <c r="S82" s="1"/>
  <c r="CP38"/>
  <c r="O38" s="1"/>
  <c r="CP36"/>
  <c r="O36" s="1"/>
  <c r="CP33"/>
  <c r="O33" s="1"/>
  <c r="CP29"/>
  <c r="O29" s="1"/>
  <c r="CX55" i="3"/>
  <c r="CX52"/>
  <c r="CX56"/>
  <c r="CX53"/>
  <c r="CX57"/>
  <c r="CX54"/>
  <c r="CX58"/>
  <c r="CX47"/>
  <c r="CX48"/>
  <c r="CX49"/>
  <c r="CX43"/>
  <c r="CX44"/>
  <c r="CX45"/>
  <c r="CX46"/>
  <c r="GM32" i="1"/>
  <c r="GP32"/>
  <c r="CZ31"/>
  <c r="Y31" s="1"/>
  <c r="CY31"/>
  <c r="X31" s="1"/>
  <c r="CP28"/>
  <c r="O28" s="1"/>
  <c r="F150"/>
  <c r="BB133"/>
  <c r="AX133"/>
  <c r="AT133"/>
  <c r="AP133"/>
  <c r="CG90"/>
  <c r="AS90"/>
  <c r="AO90"/>
  <c r="AB77"/>
  <c r="CP35"/>
  <c r="O35" s="1"/>
  <c r="BB41"/>
  <c r="AX41"/>
  <c r="AT41"/>
  <c r="AP41"/>
  <c r="AD39"/>
  <c r="AB39" s="1"/>
  <c r="AB38"/>
  <c r="AB37"/>
  <c r="AD36"/>
  <c r="AB36" s="1"/>
  <c r="AB35"/>
  <c r="AD34"/>
  <c r="AB34" s="1"/>
  <c r="AD33"/>
  <c r="AB33" s="1"/>
  <c r="AD32"/>
  <c r="AB32" s="1"/>
  <c r="AD31"/>
  <c r="AB31" s="1"/>
  <c r="AD30"/>
  <c r="AB30" s="1"/>
  <c r="AD29"/>
  <c r="AB29" s="1"/>
  <c r="AD28"/>
  <c r="AB28" s="1"/>
  <c r="CX26" i="3"/>
  <c r="CX22"/>
  <c r="CX18"/>
  <c r="CX14"/>
  <c r="CX10"/>
  <c r="CX2"/>
  <c r="CQ77" i="1"/>
  <c r="P77" s="1"/>
  <c r="CI41"/>
  <c r="BC41"/>
  <c r="AQ41"/>
  <c r="CB26"/>
  <c r="BX26"/>
  <c r="CX25" i="3"/>
  <c r="CX21"/>
  <c r="CX17"/>
  <c r="CX13"/>
  <c r="I39" i="1"/>
  <c r="P39" s="1"/>
  <c r="CX24" i="3"/>
  <c r="CX20"/>
  <c r="CX16"/>
  <c r="CX12"/>
  <c r="CX8"/>
  <c r="CX4"/>
  <c r="CX27"/>
  <c r="CX15"/>
  <c r="K381" i="5" l="1"/>
  <c r="K527"/>
  <c r="I508"/>
  <c r="I311"/>
  <c r="I521"/>
  <c r="P521" s="1"/>
  <c r="P508"/>
  <c r="K508"/>
  <c r="I495"/>
  <c r="K346"/>
  <c r="P404"/>
  <c r="P335"/>
  <c r="P237"/>
  <c r="K237"/>
  <c r="P420"/>
  <c r="K420"/>
  <c r="K50"/>
  <c r="P50"/>
  <c r="K91"/>
  <c r="P91"/>
  <c r="P327"/>
  <c r="K327"/>
  <c r="K449"/>
  <c r="P449"/>
  <c r="P198"/>
  <c r="K198"/>
  <c r="K64"/>
  <c r="P64"/>
  <c r="P476"/>
  <c r="K476"/>
  <c r="P263"/>
  <c r="K263"/>
  <c r="P119"/>
  <c r="K119"/>
  <c r="P535"/>
  <c r="K535"/>
  <c r="P210"/>
  <c r="K210"/>
  <c r="K100"/>
  <c r="P100"/>
  <c r="K158"/>
  <c r="P158"/>
  <c r="K271"/>
  <c r="P271"/>
  <c r="K40"/>
  <c r="P40"/>
  <c r="K543"/>
  <c r="P543"/>
  <c r="P72"/>
  <c r="K72"/>
  <c r="P483"/>
  <c r="K483"/>
  <c r="P373"/>
  <c r="K373"/>
  <c r="P389"/>
  <c r="K389"/>
  <c r="P127"/>
  <c r="K127"/>
  <c r="P561"/>
  <c r="K561"/>
  <c r="K311"/>
  <c r="P311"/>
  <c r="P80"/>
  <c r="K80"/>
  <c r="P365"/>
  <c r="K365"/>
  <c r="P495"/>
  <c r="K495"/>
  <c r="P414"/>
  <c r="K414"/>
  <c r="P177"/>
  <c r="K177"/>
  <c r="K57"/>
  <c r="P57"/>
  <c r="P438"/>
  <c r="K438"/>
  <c r="P185"/>
  <c r="K185"/>
  <c r="P468"/>
  <c r="K468"/>
  <c r="K229"/>
  <c r="P229"/>
  <c r="AC41" i="1"/>
  <c r="CZ82"/>
  <c r="Y82" s="1"/>
  <c r="CY82"/>
  <c r="X82" s="1"/>
  <c r="AF90"/>
  <c r="F51"/>
  <c r="AQ26"/>
  <c r="AQ361"/>
  <c r="AX26"/>
  <c r="F48"/>
  <c r="AO75"/>
  <c r="F94"/>
  <c r="AO361"/>
  <c r="AT124"/>
  <c r="F151"/>
  <c r="GM36"/>
  <c r="GP36"/>
  <c r="CI75"/>
  <c r="AZ90"/>
  <c r="GM37"/>
  <c r="GP37"/>
  <c r="GM78"/>
  <c r="GP78"/>
  <c r="AJ124"/>
  <c r="W133"/>
  <c r="CZ176"/>
  <c r="Y176" s="1"/>
  <c r="CY176"/>
  <c r="X176" s="1"/>
  <c r="AF187"/>
  <c r="U133"/>
  <c r="AH124"/>
  <c r="GM170"/>
  <c r="GP170"/>
  <c r="AX268"/>
  <c r="CG261"/>
  <c r="CP314"/>
  <c r="O314" s="1"/>
  <c r="AC329"/>
  <c r="GM85"/>
  <c r="GP85"/>
  <c r="GM173"/>
  <c r="GP173"/>
  <c r="AO221"/>
  <c r="F231"/>
  <c r="AH167"/>
  <c r="U187"/>
  <c r="GM264"/>
  <c r="GP264"/>
  <c r="GM313"/>
  <c r="GP313"/>
  <c r="AX302"/>
  <c r="F336"/>
  <c r="GM223"/>
  <c r="GP223"/>
  <c r="AB227"/>
  <c r="AF261"/>
  <c r="S268"/>
  <c r="GM185"/>
  <c r="GP185"/>
  <c r="AH261"/>
  <c r="U268"/>
  <c r="GP311"/>
  <c r="GM311"/>
  <c r="AK221"/>
  <c r="X227"/>
  <c r="AJ261"/>
  <c r="W268"/>
  <c r="AG261"/>
  <c r="T268"/>
  <c r="BC302"/>
  <c r="F345"/>
  <c r="AC167"/>
  <c r="P187"/>
  <c r="CF187"/>
  <c r="CE187"/>
  <c r="CH187"/>
  <c r="CI167"/>
  <c r="AZ187"/>
  <c r="GP327"/>
  <c r="GM327"/>
  <c r="GP318"/>
  <c r="GM318"/>
  <c r="GM326"/>
  <c r="GP326"/>
  <c r="CJ302"/>
  <c r="BA329"/>
  <c r="S39"/>
  <c r="T39"/>
  <c r="AG41" s="1"/>
  <c r="V82"/>
  <c r="AI90" s="1"/>
  <c r="T82"/>
  <c r="AG90" s="1"/>
  <c r="AL90"/>
  <c r="AL133"/>
  <c r="GM181"/>
  <c r="GM183"/>
  <c r="AK329"/>
  <c r="GM317"/>
  <c r="GM320"/>
  <c r="GM322"/>
  <c r="GM325"/>
  <c r="AT26"/>
  <c r="F59"/>
  <c r="AT361"/>
  <c r="F142"/>
  <c r="AP124"/>
  <c r="GM33"/>
  <c r="GP33"/>
  <c r="BC75"/>
  <c r="F106"/>
  <c r="CP126"/>
  <c r="O126" s="1"/>
  <c r="AC133"/>
  <c r="GM128"/>
  <c r="GP128"/>
  <c r="GM130"/>
  <c r="GP130"/>
  <c r="GM31"/>
  <c r="GP31"/>
  <c r="GM88"/>
  <c r="GP88"/>
  <c r="CZ178"/>
  <c r="Y178" s="1"/>
  <c r="CY178"/>
  <c r="X178" s="1"/>
  <c r="AK187" s="1"/>
  <c r="CG167"/>
  <c r="AX187"/>
  <c r="V133"/>
  <c r="AI124"/>
  <c r="CJ124"/>
  <c r="BA133"/>
  <c r="F285"/>
  <c r="AS261"/>
  <c r="GM169"/>
  <c r="GP169"/>
  <c r="AB187"/>
  <c r="BB167"/>
  <c r="F200"/>
  <c r="CJ167"/>
  <c r="BA187"/>
  <c r="CJ261"/>
  <c r="BA268"/>
  <c r="GP310"/>
  <c r="GM310"/>
  <c r="AT302"/>
  <c r="F347"/>
  <c r="AZ261"/>
  <c r="F279"/>
  <c r="AD167"/>
  <c r="Q187"/>
  <c r="GM224"/>
  <c r="GP224"/>
  <c r="GP307"/>
  <c r="GM307"/>
  <c r="AF221"/>
  <c r="S227"/>
  <c r="AG221"/>
  <c r="T227"/>
  <c r="AD221"/>
  <c r="Q227"/>
  <c r="GP309"/>
  <c r="GM309"/>
  <c r="AQ302"/>
  <c r="F339"/>
  <c r="GM324"/>
  <c r="GP324"/>
  <c r="AF302"/>
  <c r="S329"/>
  <c r="AG302"/>
  <c r="T329"/>
  <c r="GP321"/>
  <c r="GM321"/>
  <c r="AD302"/>
  <c r="Q329"/>
  <c r="V39"/>
  <c r="AI41" s="1"/>
  <c r="Q82"/>
  <c r="AD90" s="1"/>
  <c r="P82"/>
  <c r="CP176"/>
  <c r="O176" s="1"/>
  <c r="AE133"/>
  <c r="AK90"/>
  <c r="AK133"/>
  <c r="W82"/>
  <c r="AJ90" s="1"/>
  <c r="AL329"/>
  <c r="CP77"/>
  <c r="O77" s="1"/>
  <c r="AC90"/>
  <c r="GM35"/>
  <c r="GP35"/>
  <c r="AZ41"/>
  <c r="CI26"/>
  <c r="AP26"/>
  <c r="F50"/>
  <c r="AP361"/>
  <c r="CG75"/>
  <c r="AX90"/>
  <c r="AX361" s="1"/>
  <c r="F146"/>
  <c r="BB124"/>
  <c r="GM29"/>
  <c r="GP29"/>
  <c r="AQ75"/>
  <c r="F100"/>
  <c r="GM84"/>
  <c r="GP84"/>
  <c r="GM174"/>
  <c r="GP174"/>
  <c r="AS167"/>
  <c r="F204"/>
  <c r="GM79"/>
  <c r="GP79"/>
  <c r="GM87"/>
  <c r="GP87"/>
  <c r="F272"/>
  <c r="AO261"/>
  <c r="GK304"/>
  <c r="AE329"/>
  <c r="Q133"/>
  <c r="AD124"/>
  <c r="AT167"/>
  <c r="F205"/>
  <c r="CG221"/>
  <c r="AX227"/>
  <c r="AI261"/>
  <c r="V268"/>
  <c r="GP306"/>
  <c r="GM306"/>
  <c r="AP302"/>
  <c r="F338"/>
  <c r="AE261"/>
  <c r="R268"/>
  <c r="AL261"/>
  <c r="Y268"/>
  <c r="AI167"/>
  <c r="V187"/>
  <c r="AH221"/>
  <c r="U227"/>
  <c r="GM266"/>
  <c r="GP266"/>
  <c r="AS302"/>
  <c r="F346"/>
  <c r="AI221"/>
  <c r="V227"/>
  <c r="GP312"/>
  <c r="GM312"/>
  <c r="CE268"/>
  <c r="CH268"/>
  <c r="AC261"/>
  <c r="P268"/>
  <c r="CF268"/>
  <c r="GP305"/>
  <c r="GM305"/>
  <c r="AE167"/>
  <c r="R187"/>
  <c r="AH302"/>
  <c r="U329"/>
  <c r="AI302"/>
  <c r="V329"/>
  <c r="GM319"/>
  <c r="GP319"/>
  <c r="U39"/>
  <c r="AH41" s="1"/>
  <c r="R39"/>
  <c r="GX39"/>
  <c r="CJ41" s="1"/>
  <c r="U82"/>
  <c r="AH90" s="1"/>
  <c r="GM175"/>
  <c r="GM80"/>
  <c r="R82"/>
  <c r="GK82" s="1"/>
  <c r="GM180"/>
  <c r="GM182"/>
  <c r="GM316"/>
  <c r="F57"/>
  <c r="BC26"/>
  <c r="BC361"/>
  <c r="BB26"/>
  <c r="F54"/>
  <c r="BB361"/>
  <c r="AS75"/>
  <c r="F107"/>
  <c r="AS361"/>
  <c r="F140"/>
  <c r="AX124"/>
  <c r="GM28"/>
  <c r="GP28"/>
  <c r="GM38"/>
  <c r="GP38"/>
  <c r="GM127"/>
  <c r="GP127"/>
  <c r="GM129"/>
  <c r="GP129"/>
  <c r="CI124"/>
  <c r="AZ133"/>
  <c r="GK77"/>
  <c r="GM81"/>
  <c r="GP81"/>
  <c r="GM83"/>
  <c r="GP83"/>
  <c r="GM172"/>
  <c r="GP172"/>
  <c r="AJ167"/>
  <c r="W187"/>
  <c r="AO167"/>
  <c r="F191"/>
  <c r="GP131"/>
  <c r="GM131"/>
  <c r="AF124"/>
  <c r="S133"/>
  <c r="AG124"/>
  <c r="T133"/>
  <c r="AP167"/>
  <c r="F196"/>
  <c r="AS221"/>
  <c r="F244"/>
  <c r="CJ221"/>
  <c r="BA227"/>
  <c r="GM265"/>
  <c r="GP265"/>
  <c r="BB302"/>
  <c r="F342"/>
  <c r="AC221"/>
  <c r="P227"/>
  <c r="CF227"/>
  <c r="CE227"/>
  <c r="CH227"/>
  <c r="AK261"/>
  <c r="X268"/>
  <c r="AJ221"/>
  <c r="W227"/>
  <c r="AD261"/>
  <c r="Q268"/>
  <c r="AO302"/>
  <c r="F333"/>
  <c r="AL221"/>
  <c r="Y227"/>
  <c r="AG167"/>
  <c r="T187"/>
  <c r="GP308"/>
  <c r="GM308"/>
  <c r="AE221"/>
  <c r="R227"/>
  <c r="GM263"/>
  <c r="CA268" s="1"/>
  <c r="GP263"/>
  <c r="CD268" s="1"/>
  <c r="AB268"/>
  <c r="GP304"/>
  <c r="GM304"/>
  <c r="AB329"/>
  <c r="CI302"/>
  <c r="AZ329"/>
  <c r="GM177"/>
  <c r="GP177"/>
  <c r="AQ167"/>
  <c r="F197"/>
  <c r="GP315"/>
  <c r="GM315"/>
  <c r="AJ302"/>
  <c r="W329"/>
  <c r="W39"/>
  <c r="AJ41" s="1"/>
  <c r="Q39"/>
  <c r="AD41" s="1"/>
  <c r="AL187"/>
  <c r="GX82"/>
  <c r="CJ90" s="1"/>
  <c r="K521" i="5" l="1"/>
  <c r="I313"/>
  <c r="I391"/>
  <c r="I348"/>
  <c r="I563"/>
  <c r="I212"/>
  <c r="I160"/>
  <c r="I102"/>
  <c r="I570"/>
  <c r="AK167" i="1"/>
  <c r="X187"/>
  <c r="AX22"/>
  <c r="F368"/>
  <c r="AX390"/>
  <c r="AJ26"/>
  <c r="W41"/>
  <c r="CA261"/>
  <c r="AR268"/>
  <c r="F230"/>
  <c r="P221"/>
  <c r="F154"/>
  <c r="T124"/>
  <c r="W167"/>
  <c r="F211"/>
  <c r="GK39"/>
  <c r="AE41"/>
  <c r="V302"/>
  <c r="F352"/>
  <c r="R167"/>
  <c r="F201"/>
  <c r="CF261"/>
  <c r="AW268"/>
  <c r="CE261"/>
  <c r="AV268"/>
  <c r="Q124"/>
  <c r="F145"/>
  <c r="AL302"/>
  <c r="Y329"/>
  <c r="R133"/>
  <c r="AE124"/>
  <c r="AI26"/>
  <c r="V41"/>
  <c r="BA124"/>
  <c r="F153"/>
  <c r="AX167"/>
  <c r="F194"/>
  <c r="AC124"/>
  <c r="CH133"/>
  <c r="P133"/>
  <c r="CF133"/>
  <c r="CE133"/>
  <c r="AT22"/>
  <c r="AT390"/>
  <c r="F379"/>
  <c r="F16" i="2" s="1"/>
  <c r="F18" s="1"/>
  <c r="AG75" i="1"/>
  <c r="T90"/>
  <c r="AG26"/>
  <c r="T41"/>
  <c r="CH167"/>
  <c r="AY187"/>
  <c r="AF75"/>
  <c r="S90"/>
  <c r="CP39"/>
  <c r="O39" s="1"/>
  <c r="CJ75"/>
  <c r="BA90"/>
  <c r="AU268"/>
  <c r="CD261"/>
  <c r="X261"/>
  <c r="F293"/>
  <c r="AS22"/>
  <c r="F378"/>
  <c r="E16" i="2" s="1"/>
  <c r="AS390" i="1"/>
  <c r="BA41"/>
  <c r="CJ26"/>
  <c r="AY268"/>
  <c r="CH261"/>
  <c r="F250"/>
  <c r="V221"/>
  <c r="V167"/>
  <c r="F210"/>
  <c r="F282"/>
  <c r="R261"/>
  <c r="F234"/>
  <c r="AX221"/>
  <c r="AP22"/>
  <c r="F370"/>
  <c r="G16" i="2" s="1"/>
  <c r="G18" s="1"/>
  <c r="AP390" i="1"/>
  <c r="F52"/>
  <c r="AZ26"/>
  <c r="AZ361"/>
  <c r="GM77"/>
  <c r="GP77"/>
  <c r="AK75"/>
  <c r="X90"/>
  <c r="AD75"/>
  <c r="Q90"/>
  <c r="S302"/>
  <c r="F344"/>
  <c r="Q221"/>
  <c r="F239"/>
  <c r="F242"/>
  <c r="S221"/>
  <c r="BA167"/>
  <c r="F207"/>
  <c r="AB167"/>
  <c r="O187"/>
  <c r="F156"/>
  <c r="V124"/>
  <c r="AK302"/>
  <c r="X329"/>
  <c r="AL75"/>
  <c r="Y90"/>
  <c r="P167"/>
  <c r="F190"/>
  <c r="T261"/>
  <c r="F289"/>
  <c r="X221"/>
  <c r="F252"/>
  <c r="F290"/>
  <c r="U261"/>
  <c r="S261"/>
  <c r="F283"/>
  <c r="GM314"/>
  <c r="CA329" s="1"/>
  <c r="GP314"/>
  <c r="AZ75"/>
  <c r="F101"/>
  <c r="AQ22"/>
  <c r="F371"/>
  <c r="AQ390"/>
  <c r="AC26"/>
  <c r="P41"/>
  <c r="CF41"/>
  <c r="CE41"/>
  <c r="CH41"/>
  <c r="CA227"/>
  <c r="GM178"/>
  <c r="F280"/>
  <c r="Q261"/>
  <c r="CF221"/>
  <c r="AW227"/>
  <c r="AD26"/>
  <c r="Q41"/>
  <c r="AB261"/>
  <c r="O268"/>
  <c r="AV227"/>
  <c r="CE221"/>
  <c r="BA221"/>
  <c r="F247"/>
  <c r="S124"/>
  <c r="F148"/>
  <c r="AZ124"/>
  <c r="F144"/>
  <c r="BB22"/>
  <c r="F374"/>
  <c r="BB390"/>
  <c r="AH75"/>
  <c r="U90"/>
  <c r="U302"/>
  <c r="F351"/>
  <c r="AC75"/>
  <c r="P90"/>
  <c r="CF90"/>
  <c r="CE90"/>
  <c r="CH90"/>
  <c r="AK124"/>
  <c r="X133"/>
  <c r="Y133"/>
  <c r="AL124"/>
  <c r="AI75"/>
  <c r="V90"/>
  <c r="BA302"/>
  <c r="F349"/>
  <c r="AZ167"/>
  <c r="F198"/>
  <c r="CF167"/>
  <c r="AW187"/>
  <c r="U167"/>
  <c r="F209"/>
  <c r="AC302"/>
  <c r="CH329"/>
  <c r="P329"/>
  <c r="CF329"/>
  <c r="CE329"/>
  <c r="AF167"/>
  <c r="S187"/>
  <c r="CP82"/>
  <c r="O82" s="1"/>
  <c r="CD227"/>
  <c r="GP178"/>
  <c r="AB302"/>
  <c r="O329"/>
  <c r="Y221"/>
  <c r="F253"/>
  <c r="AL167"/>
  <c r="Y187"/>
  <c r="W302"/>
  <c r="F353"/>
  <c r="AZ302"/>
  <c r="F340"/>
  <c r="F241"/>
  <c r="R221"/>
  <c r="T167"/>
  <c r="F208"/>
  <c r="W221"/>
  <c r="F251"/>
  <c r="AY227"/>
  <c r="CH221"/>
  <c r="BC22"/>
  <c r="F377"/>
  <c r="BC390"/>
  <c r="AH26"/>
  <c r="U41"/>
  <c r="P261"/>
  <c r="F271"/>
  <c r="U221"/>
  <c r="F249"/>
  <c r="F294"/>
  <c r="Y261"/>
  <c r="V261"/>
  <c r="F291"/>
  <c r="AE302"/>
  <c r="R329"/>
  <c r="AX75"/>
  <c r="F97"/>
  <c r="AJ75"/>
  <c r="W90"/>
  <c r="GM176"/>
  <c r="GP176"/>
  <c r="CD187" s="1"/>
  <c r="Q302"/>
  <c r="F341"/>
  <c r="T302"/>
  <c r="F350"/>
  <c r="T221"/>
  <c r="F248"/>
  <c r="Q167"/>
  <c r="F199"/>
  <c r="F288"/>
  <c r="BA261"/>
  <c r="AB133"/>
  <c r="GM126"/>
  <c r="CA133" s="1"/>
  <c r="GP126"/>
  <c r="CD133" s="1"/>
  <c r="CZ39"/>
  <c r="Y39" s="1"/>
  <c r="AL41" s="1"/>
  <c r="CY39"/>
  <c r="X39" s="1"/>
  <c r="AK41" s="1"/>
  <c r="AF41"/>
  <c r="CE167"/>
  <c r="AV187"/>
  <c r="W261"/>
  <c r="F292"/>
  <c r="AB221"/>
  <c r="O227"/>
  <c r="AX261"/>
  <c r="F275"/>
  <c r="U124"/>
  <c r="F155"/>
  <c r="F157"/>
  <c r="W124"/>
  <c r="AO22"/>
  <c r="F365"/>
  <c r="AO390"/>
  <c r="CD329"/>
  <c r="AE90"/>
  <c r="CA187"/>
  <c r="CA302" l="1"/>
  <c r="AR329"/>
  <c r="CD167"/>
  <c r="AU187"/>
  <c r="AL26"/>
  <c r="Y41"/>
  <c r="W75"/>
  <c r="F114"/>
  <c r="R302"/>
  <c r="F343"/>
  <c r="BC18"/>
  <c r="F406"/>
  <c r="AY221"/>
  <c r="F235"/>
  <c r="S167"/>
  <c r="F202"/>
  <c r="P302"/>
  <c r="F332"/>
  <c r="P75"/>
  <c r="F93"/>
  <c r="U75"/>
  <c r="F112"/>
  <c r="AV221"/>
  <c r="F232"/>
  <c r="CH26"/>
  <c r="AY41"/>
  <c r="X302"/>
  <c r="F354"/>
  <c r="O167"/>
  <c r="F189"/>
  <c r="X75"/>
  <c r="F115"/>
  <c r="AP18"/>
  <c r="F399"/>
  <c r="AY261"/>
  <c r="F276"/>
  <c r="E18" i="2"/>
  <c r="GM39" i="1"/>
  <c r="CA41" s="1"/>
  <c r="GP39"/>
  <c r="CD41" s="1"/>
  <c r="AB41"/>
  <c r="S75"/>
  <c r="F105"/>
  <c r="T26"/>
  <c r="F62"/>
  <c r="T361"/>
  <c r="CF124"/>
  <c r="AW133"/>
  <c r="V26"/>
  <c r="F64"/>
  <c r="V361"/>
  <c r="Y302"/>
  <c r="F355"/>
  <c r="AV261"/>
  <c r="F273"/>
  <c r="AE26"/>
  <c r="R41"/>
  <c r="AR261"/>
  <c r="F295"/>
  <c r="F296" s="1"/>
  <c r="AX18"/>
  <c r="F397"/>
  <c r="CA90"/>
  <c r="CA167"/>
  <c r="AR187"/>
  <c r="AK26"/>
  <c r="X41"/>
  <c r="AB124"/>
  <c r="O133"/>
  <c r="Y167"/>
  <c r="F213"/>
  <c r="O302"/>
  <c r="F331"/>
  <c r="GM82"/>
  <c r="GP82"/>
  <c r="CD90" s="1"/>
  <c r="CF302"/>
  <c r="AW329"/>
  <c r="V75"/>
  <c r="F113"/>
  <c r="F158"/>
  <c r="X124"/>
  <c r="CF75"/>
  <c r="AW90"/>
  <c r="F53"/>
  <c r="Q26"/>
  <c r="Q361"/>
  <c r="F44"/>
  <c r="P26"/>
  <c r="P361"/>
  <c r="AS18"/>
  <c r="F407"/>
  <c r="CE124"/>
  <c r="AV133"/>
  <c r="R124"/>
  <c r="F147"/>
  <c r="X167"/>
  <c r="F212"/>
  <c r="F229"/>
  <c r="O221"/>
  <c r="AV167"/>
  <c r="F192"/>
  <c r="AO18"/>
  <c r="F394"/>
  <c r="CA124"/>
  <c r="AR133"/>
  <c r="U26"/>
  <c r="F63"/>
  <c r="U361"/>
  <c r="AU227"/>
  <c r="CD221"/>
  <c r="CE302"/>
  <c r="AV329"/>
  <c r="Y124"/>
  <c r="F159"/>
  <c r="CE75"/>
  <c r="AV90"/>
  <c r="BB18"/>
  <c r="F403"/>
  <c r="AR227"/>
  <c r="CA221"/>
  <c r="AW41"/>
  <c r="CF26"/>
  <c r="Y75"/>
  <c r="F116"/>
  <c r="Q75"/>
  <c r="F102"/>
  <c r="F61"/>
  <c r="BA26"/>
  <c r="BA361"/>
  <c r="BA75"/>
  <c r="F110"/>
  <c r="AY167"/>
  <c r="F195"/>
  <c r="T75"/>
  <c r="F111"/>
  <c r="CH124"/>
  <c r="AY133"/>
  <c r="F274"/>
  <c r="AW261"/>
  <c r="F65"/>
  <c r="W26"/>
  <c r="W361"/>
  <c r="AB90"/>
  <c r="CD302"/>
  <c r="AU329"/>
  <c r="AF26"/>
  <c r="S41"/>
  <c r="AE75"/>
  <c r="R90"/>
  <c r="CD124"/>
  <c r="AU133"/>
  <c r="CH302"/>
  <c r="AY329"/>
  <c r="AW167"/>
  <c r="F193"/>
  <c r="CH75"/>
  <c r="AY90"/>
  <c r="F270"/>
  <c r="O261"/>
  <c r="AW221"/>
  <c r="F233"/>
  <c r="AV41"/>
  <c r="CE26"/>
  <c r="AQ18"/>
  <c r="F400"/>
  <c r="AZ22"/>
  <c r="AZ390"/>
  <c r="F372"/>
  <c r="AU261"/>
  <c r="F287"/>
  <c r="AT18"/>
  <c r="F408"/>
  <c r="P124"/>
  <c r="F136"/>
  <c r="CD75" l="1"/>
  <c r="AU90"/>
  <c r="AY75"/>
  <c r="F98"/>
  <c r="AY302"/>
  <c r="F337"/>
  <c r="R75"/>
  <c r="F104"/>
  <c r="AU302"/>
  <c r="F348"/>
  <c r="F141"/>
  <c r="AY124"/>
  <c r="BA22"/>
  <c r="F381"/>
  <c r="BA390"/>
  <c r="AW26"/>
  <c r="F47"/>
  <c r="AW361"/>
  <c r="F246"/>
  <c r="AU221"/>
  <c r="AR124"/>
  <c r="F160"/>
  <c r="F161" s="1"/>
  <c r="Q22"/>
  <c r="F373"/>
  <c r="Q390"/>
  <c r="R26"/>
  <c r="F55"/>
  <c r="R361"/>
  <c r="AB26"/>
  <c r="O41"/>
  <c r="AW75"/>
  <c r="F96"/>
  <c r="X26"/>
  <c r="F66"/>
  <c r="X361"/>
  <c r="CA75"/>
  <c r="AR90"/>
  <c r="T22"/>
  <c r="T390"/>
  <c r="F382"/>
  <c r="F49"/>
  <c r="AY26"/>
  <c r="AY361"/>
  <c r="Y26"/>
  <c r="F67"/>
  <c r="Y361"/>
  <c r="AR302"/>
  <c r="F356"/>
  <c r="F357" s="1"/>
  <c r="AV26"/>
  <c r="F46"/>
  <c r="AV361"/>
  <c r="W22"/>
  <c r="W390"/>
  <c r="F385"/>
  <c r="AZ18"/>
  <c r="F401"/>
  <c r="AU124"/>
  <c r="F152"/>
  <c r="F56"/>
  <c r="S26"/>
  <c r="S361"/>
  <c r="AB75"/>
  <c r="O90"/>
  <c r="F254"/>
  <c r="F255" s="1"/>
  <c r="AR221"/>
  <c r="F298"/>
  <c r="F297"/>
  <c r="V22"/>
  <c r="F384"/>
  <c r="V390"/>
  <c r="AR41"/>
  <c r="CA26"/>
  <c r="AV75"/>
  <c r="F95"/>
  <c r="AV302"/>
  <c r="F334"/>
  <c r="U22"/>
  <c r="U390"/>
  <c r="F383"/>
  <c r="F138"/>
  <c r="AV124"/>
  <c r="P22"/>
  <c r="P390"/>
  <c r="F364"/>
  <c r="AW302"/>
  <c r="F335"/>
  <c r="O124"/>
  <c r="F135"/>
  <c r="AR167"/>
  <c r="F214"/>
  <c r="F215" s="1"/>
  <c r="AW124"/>
  <c r="F139"/>
  <c r="CD26"/>
  <c r="AU41"/>
  <c r="AU167"/>
  <c r="F206"/>
  <c r="U18" l="1"/>
  <c r="F412"/>
  <c r="S22"/>
  <c r="F376"/>
  <c r="J16" i="2" s="1"/>
  <c r="J18" s="1"/>
  <c r="S390" i="1"/>
  <c r="W18"/>
  <c r="F414"/>
  <c r="AR75"/>
  <c r="F117"/>
  <c r="F118" s="1"/>
  <c r="Q18"/>
  <c r="F402"/>
  <c r="F60"/>
  <c r="AU26"/>
  <c r="AU361"/>
  <c r="Y22"/>
  <c r="F387"/>
  <c r="Y390"/>
  <c r="F43"/>
  <c r="O26"/>
  <c r="O361"/>
  <c r="F162"/>
  <c r="F163" s="1"/>
  <c r="AW22"/>
  <c r="AW390"/>
  <c r="F367"/>
  <c r="AU75"/>
  <c r="F109"/>
  <c r="F216"/>
  <c r="F217" s="1"/>
  <c r="V18"/>
  <c r="F413"/>
  <c r="P18"/>
  <c r="F393"/>
  <c r="F68"/>
  <c r="F69" s="1"/>
  <c r="AR26"/>
  <c r="AR361"/>
  <c r="O75"/>
  <c r="F92"/>
  <c r="AV22"/>
  <c r="F366"/>
  <c r="AV390"/>
  <c r="AY22"/>
  <c r="F369"/>
  <c r="AY390"/>
  <c r="T18"/>
  <c r="F411"/>
  <c r="X22"/>
  <c r="X390"/>
  <c r="F386"/>
  <c r="BA18"/>
  <c r="F410"/>
  <c r="F256"/>
  <c r="F257" s="1"/>
  <c r="F358"/>
  <c r="F359" s="1"/>
  <c r="R22"/>
  <c r="R390"/>
  <c r="F375"/>
  <c r="Y18" l="1"/>
  <c r="F416"/>
  <c r="F120"/>
  <c r="F119"/>
  <c r="S18"/>
  <c r="F405"/>
  <c r="F71"/>
  <c r="F70"/>
  <c r="AU22"/>
  <c r="F380"/>
  <c r="H16" i="2" s="1"/>
  <c r="AU390" i="1"/>
  <c r="R18"/>
  <c r="F404"/>
  <c r="AV18"/>
  <c r="F395"/>
  <c r="X18"/>
  <c r="F415"/>
  <c r="AY18"/>
  <c r="F398"/>
  <c r="AR22"/>
  <c r="AR390"/>
  <c r="F388"/>
  <c r="AW18"/>
  <c r="F396"/>
  <c r="O22"/>
  <c r="F363"/>
  <c r="O390"/>
  <c r="AR18" l="1"/>
  <c r="F417"/>
  <c r="F418" s="1"/>
  <c r="H18" i="2"/>
  <c r="I16"/>
  <c r="I18" s="1"/>
  <c r="O18" i="1"/>
  <c r="F392"/>
  <c r="AU18"/>
  <c r="F409"/>
  <c r="F420" l="1"/>
  <c r="F419"/>
</calcChain>
</file>

<file path=xl/sharedStrings.xml><?xml version="1.0" encoding="utf-8"?>
<sst xmlns="http://schemas.openxmlformats.org/spreadsheetml/2006/main" count="7705" uniqueCount="679">
  <si>
    <t>Smeta.RU  (495) 974-1589</t>
  </si>
  <si>
    <t>_PS_</t>
  </si>
  <si>
    <t>Smeta.RU</t>
  </si>
  <si>
    <t/>
  </si>
  <si>
    <t>1</t>
  </si>
  <si>
    <t>Цветник № 10 Кр Маяка 1-1_2_лот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</si>
  <si>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</si>
  <si>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</si>
  <si>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</si>
  <si>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</si>
  <si>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</si>
  <si>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</si>
  <si>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</si>
  <si>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t>
  </si>
  <si>
    <t>Новый раздел</t>
  </si>
  <si>
    <t>Устройство цветника - 75м2</t>
  </si>
  <si>
    <t>5.4-3203-7-1/1</t>
  </si>
  <si>
    <t>Устройство корыта под цветники глубиной 40 см механизированным способом</t>
  </si>
  <si>
    <t>100 м2</t>
  </si>
  <si>
    <t>СН-2012-2021.5. База. Сб.4-3203-7-1/1</t>
  </si>
  <si>
    <t>СН-2012</t>
  </si>
  <si>
    <t>Подрядные работы, гл. 1-5,7</t>
  </si>
  <si>
    <t>работа</t>
  </si>
  <si>
    <t>2</t>
  </si>
  <si>
    <t>5.4-3203-7-3/1</t>
  </si>
  <si>
    <t>Добавлять или исключать на каждые 10 см изменения глубины корыта под цветники механизированным способом к поз. 4-3203-7-1</t>
  </si>
  <si>
    <t>СН-2012-2021.5. База. Сб.4-3203-7-3/1</t>
  </si>
  <si>
    <t>3</t>
  </si>
  <si>
    <t>5.4-3203-7-2/1</t>
  </si>
  <si>
    <t>Устройство корыта под цветники глубиной 40 см вручную</t>
  </si>
  <si>
    <t>СН-2012-2021.5. База. Сб.4-3203-7-2/1</t>
  </si>
  <si>
    <t>4</t>
  </si>
  <si>
    <t>5.4-3203-7-4/1</t>
  </si>
  <si>
    <t>Добавлять или исключать на каждые 10 см изменения глубины корыта под цветники вручную к поз. 4-3203-7-2</t>
  </si>
  <si>
    <t>СН-2012-2021.5. База. Сб.4-3203-7-4/1</t>
  </si>
  <si>
    <t>5</t>
  </si>
  <si>
    <t>5.4-3203-6-1/1</t>
  </si>
  <si>
    <t>Подготовка почвы под цветники толщиной слоя насыпки 20 см</t>
  </si>
  <si>
    <t>СН-2012-2021.5. База. Сб.4-3203-6-1/1</t>
  </si>
  <si>
    <t>6</t>
  </si>
  <si>
    <t>5.4-3203-6-2/1</t>
  </si>
  <si>
    <t>Добавлять или исключать на каждые 5 см изменения толщины слоя почвы под цветники к поз. 4-3203-6-1</t>
  </si>
  <si>
    <t>СН-2012-2021.5. База. Сб.4-3203-6-2/1</t>
  </si>
  <si>
    <t>*2</t>
  </si>
  <si>
    <t>7</t>
  </si>
  <si>
    <t>5.4-3203-8-1/1</t>
  </si>
  <si>
    <t>Посадка многолетних цветников при густоте посадки 1,6 тыс.шт. цветов</t>
  </si>
  <si>
    <t>СН-2012-2021.5. Доп.1. Сб.4-3203-8-1/1</t>
  </si>
  <si>
    <t>7,1</t>
  </si>
  <si>
    <t>9763130000</t>
  </si>
  <si>
    <t>Посадочный материал цветочных культур</t>
  </si>
  <si>
    <t>шт.</t>
  </si>
  <si>
    <t>7,2</t>
  </si>
  <si>
    <t>21.4-3-218</t>
  </si>
  <si>
    <t>Посадочный материал многолетних культур: котовник фассена, С3</t>
  </si>
  <si>
    <t>СН-2012-2021.21. Доп.1. Р.4, о.3, поз.218</t>
  </si>
  <si>
    <t>7,3</t>
  </si>
  <si>
    <t>коммерческое предложение</t>
  </si>
  <si>
    <t>Посадочный материал многолетних культур: гейхера в ассортименте</t>
  </si>
  <si>
    <t>8</t>
  </si>
  <si>
    <t>5.4-3203-8-2/1</t>
  </si>
  <si>
    <t>Добавлять или исключать на каждые 1000 шт. высаживаемых цветов к поз. 4-3203-8-1</t>
  </si>
  <si>
    <t>СН-2012-2021.5. Доп.1. Сб.4-3203-8-2/1</t>
  </si>
  <si>
    <t>*0,59047619</t>
  </si>
  <si>
    <t>8,1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</si>
  <si>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</si>
  <si>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</si>
  <si>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</si>
  <si>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</si>
  <si>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</si>
  <si>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</si>
  <si>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</si>
  <si>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</si>
  <si>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</si>
  <si>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</si>
  <si>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</si>
  <si>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</si>
  <si>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</si>
  <si>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</si>
  <si>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</si>
  <si>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</si>
  <si>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</si>
  <si>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</si>
  <si>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</si>
  <si>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</si>
  <si>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</si>
  <si>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</si>
  <si>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</si>
  <si>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</si>
  <si>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</si>
  <si>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</si>
  <si>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</si>
  <si>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</si>
  <si>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</si>
  <si>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</si>
  <si>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</si>
  <si>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</si>
  <si>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</si>
  <si>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</si>
  <si>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</si>
  <si>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</si>
  <si>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</si>
  <si>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</si>
  <si>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</si>
  <si>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</si>
  <si>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</si>
  <si>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</si>
  <si>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</si>
  <si>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</si>
  <si>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</si>
  <si>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</si>
  <si>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</si>
  <si>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</si>
  <si>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</si>
  <si>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</si>
  <si>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</si>
  <si>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</si>
  <si>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Итого</t>
  </si>
  <si>
    <t>НДС 20%</t>
  </si>
  <si>
    <t>Всего с НДС</t>
  </si>
  <si>
    <t>Посадка кустарников - 229шт.</t>
  </si>
  <si>
    <t>9</t>
  </si>
  <si>
    <t>5.4-3103-1-10/1</t>
  </si>
  <si>
    <t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100%</t>
  </si>
  <si>
    <t>10 ям</t>
  </si>
  <si>
    <t>СН-2012-2021.5. Доп.1. Сб.4-3103-1-10/1</t>
  </si>
  <si>
    <t>10</t>
  </si>
  <si>
    <t>5.4-3103-3-10/1</t>
  </si>
  <si>
    <t>Подготовка стандартных посадочных мест вручную, с круглым комом земли размером 0,3х0,3 м с добавлением растительной земли до 100%</t>
  </si>
  <si>
    <t>СН-2012-2021.5. Доп.1. Сб.4-3103-3-10/1</t>
  </si>
  <si>
    <t>11</t>
  </si>
  <si>
    <t>5.4-3503-1-1/1</t>
  </si>
  <si>
    <t>СН-2012-2021.5. База. Сб.4-3503-1-1/1</t>
  </si>
  <si>
    <t>12</t>
  </si>
  <si>
    <t>5.4-3503-1-2/1</t>
  </si>
  <si>
    <t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64,12м3/0,2м х 0,25)</t>
  </si>
  <si>
    <t>СН-2012-2021.5. База. Сб.4-3503-1-2/1</t>
  </si>
  <si>
    <t>13</t>
  </si>
  <si>
    <t>5.4-3103-6-2/1</t>
  </si>
  <si>
    <t>Посадка деревьев и кустарников с комом земли, диаметром 0,3 м и высотой 0,3 м (без стоимости деревьев и кустарников)</t>
  </si>
  <si>
    <t>10 шт.</t>
  </si>
  <si>
    <t>СН-2012-2021.5. Доп.1. Сб.4-3103-6-2/1</t>
  </si>
  <si>
    <t>13,1</t>
  </si>
  <si>
    <t>21.4-2-22</t>
  </si>
  <si>
    <t>Кустарники декоративные с закрытой корневой системой: гортензия древовидная, С10 ( ком земли 0,3м * 0,3м)</t>
  </si>
  <si>
    <t>СН-2012-2021.21. Доп.1. Р.4, о.2, поз.22</t>
  </si>
  <si>
    <t>13,2</t>
  </si>
  <si>
    <t>Кустарники декоративные с комом земли: Бересклет крылатый, высота 0,3 м, диаметр 0,3 м</t>
  </si>
  <si>
    <t>13,3</t>
  </si>
  <si>
    <t>Кустарники декоративные с комом земли: Пузыреплодник, высота 0,3 м, диаметр 0,3 м</t>
  </si>
  <si>
    <t>13,4</t>
  </si>
  <si>
    <t>Кустарники декоративные с комом земли: Барбарис, высота 0,3 м, диаметр 0,3 м</t>
  </si>
  <si>
    <t>13,5</t>
  </si>
  <si>
    <t>Кустарники декоративные с комом земли: Можжевельник Олд Голд, высота 0,3 м, диаметр 0,3 м</t>
  </si>
  <si>
    <t>13,6</t>
  </si>
  <si>
    <t>Кустарники декоративные с комом земли: Можжевельник Блю Эрроу, высота 0,3 м, диаметр 0,3 м</t>
  </si>
  <si>
    <t>13,7</t>
  </si>
  <si>
    <t>Кустарники декоративные с комом земли: Можжевельник Грей Овал, высота 0,3 м, диаметр 0,3 м</t>
  </si>
  <si>
    <t>Посадка деревьев лиственных - 4шт.</t>
  </si>
  <si>
    <t>14</t>
  </si>
  <si>
    <t>5.4-3103-1-20/1</t>
  </si>
  <si>
    <t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t>
  </si>
  <si>
    <t>СН-2012-2021.5. Доп.1. Сб.4-3103-1-20/1</t>
  </si>
  <si>
    <t>15</t>
  </si>
  <si>
    <t>5.4-3103-3-20/1</t>
  </si>
  <si>
    <t>Подготовка стандартных посадочных мест вручную, с круглым комом земли размером 0,8х0,6 м с добавлением растительной земли до 100%</t>
  </si>
  <si>
    <t>СН-2012-2021.5. Доп.1. Сб.4-3103-3-20/1</t>
  </si>
  <si>
    <t>16</t>
  </si>
  <si>
    <t>17</t>
  </si>
  <si>
    <t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4,52м3/0,2м х 0,25)</t>
  </si>
  <si>
    <t>18</t>
  </si>
  <si>
    <t>5.4-3103-6-4/1</t>
  </si>
  <si>
    <t>Посадка деревьев и кустарников с комом земли, диаметром 0,8 м и высотой 0,6 м (без стоимости деревьев и кустарников)</t>
  </si>
  <si>
    <t>СН-2012-2021.5. Доп.1. Сб.4-3103-6-4/1</t>
  </si>
  <si>
    <t>18,1</t>
  </si>
  <si>
    <t>Деревья декоративные лиственных пород с комом земли, порода: Яблоня декоративная (шар), высота - 1,2 -1,4м, размер кома: диаметр-0,8 м, высота-0,6 м</t>
  </si>
  <si>
    <t>Посадка деревьев хвойных - 21шт.</t>
  </si>
  <si>
    <t>19</t>
  </si>
  <si>
    <t>20</t>
  </si>
  <si>
    <t>21</t>
  </si>
  <si>
    <t>22</t>
  </si>
  <si>
    <t>23</t>
  </si>
  <si>
    <t>23,1</t>
  </si>
  <si>
    <t>комерческое предложение</t>
  </si>
  <si>
    <t>Деревья хвойные садовых форм с комом земли, порода: Ель Глаука Глобоза высота - 1,8-2,2 м, размер кома 1,3х1,3х0,6 м</t>
  </si>
  <si>
    <t>23,2</t>
  </si>
  <si>
    <t>Деревья хвойные садовых форм с комом земли, порода:  Сосна Нигра, высота - 1,8-2,2 м, размер кома 1,3х1,3х0,6 м</t>
  </si>
  <si>
    <t>24</t>
  </si>
  <si>
    <t>5.4-3103-3-15/1</t>
  </si>
  <si>
    <t>Подготовка стандартных посадочных мест вручную, с круглым комом земли размером 0,5х0,4 м с добавлением растительной земли до 100%</t>
  </si>
  <si>
    <t>СН-2012-2021.5. Доп.1. Сб.4-3103-3-15/1</t>
  </si>
  <si>
    <t>25</t>
  </si>
  <si>
    <t>5.4-3103-1-15/1</t>
  </si>
  <si>
    <t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100%</t>
  </si>
  <si>
    <t>СН-2012-2021.5. Доп.1. Сб.4-3103-1-15/1</t>
  </si>
  <si>
    <t>26</t>
  </si>
  <si>
    <t>27</t>
  </si>
  <si>
    <t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8,67м3/0,2м х 0,25)</t>
  </si>
  <si>
    <t>28</t>
  </si>
  <si>
    <t>5.4-3103-6-3/1</t>
  </si>
  <si>
    <t>Посадка деревьев и кустарников с комом земли, диаметром 0,5 м и высотой 0,4 м (без стоимости деревьев и кустарников)</t>
  </si>
  <si>
    <t>СН-2012-2021.5. Доп.1. Сб.4-3103-6-3/1</t>
  </si>
  <si>
    <t>28,1</t>
  </si>
  <si>
    <t>Деревья хвойные садовых форм с комом земли, порода:  Туя Брабант, высота - 1,2-1,4 м, размер кома 0,5м*0,4м</t>
  </si>
  <si>
    <t>28,2</t>
  </si>
  <si>
    <t>Деревья хвойные садовых форм с комом земли, порода:  Туя Смарагд (шар) , высота - 0,6-0,8м, размер кома 0,5м*0,4м</t>
  </si>
  <si>
    <t>28,3</t>
  </si>
  <si>
    <t>Деревья хвойные садовых форм с комом земли, порода:  Туя Вудварди, высота - 1,2-1,4 м, размер кома 0,5м*0,4м</t>
  </si>
  <si>
    <t>28,4</t>
  </si>
  <si>
    <t>Деревья хвойные садовых форм с комом земли, порода:  Туя Глобоза (шар), высота - 1,2 м, размер кома 0,5м*0,4м</t>
  </si>
  <si>
    <t>28,5</t>
  </si>
  <si>
    <t>Деревья хвойные садовых форм с комом земли, порода:  Туя Глаука Глобоза, высота - 1,2-1,4 м, размер кома 0,5м*0,4м</t>
  </si>
  <si>
    <t>Декоративное украшение территори озеленения</t>
  </si>
  <si>
    <t>29</t>
  </si>
  <si>
    <t>5.4-1201-2-1/1</t>
  </si>
  <si>
    <t>Укрытие цветников и газонов мульчирующими материалами вручную, толщина слоя 2 см</t>
  </si>
  <si>
    <t>СН-2012-2021.5. Доп.1. Сб.4-1201-2-1/1</t>
  </si>
  <si>
    <t>30</t>
  </si>
  <si>
    <t>5.4-1201-2-3/1</t>
  </si>
  <si>
    <t>Укрытие цветников и газонов мульчирующими материалами вручную, добавлять на каждый 1 см толщины слоя сверх 2 см</t>
  </si>
  <si>
    <t>СН-2012-2021.5. Доп.1. Сб.4-1201-2-3/1</t>
  </si>
  <si>
    <t>*3</t>
  </si>
  <si>
    <t>31</t>
  </si>
  <si>
    <t>5.3-3103-9-3/1</t>
  </si>
  <si>
    <t>Устройство бордюра из мелкоштучных камней, установленных на ребро, для клумб</t>
  </si>
  <si>
    <t>100 м</t>
  </si>
  <si>
    <t>СН-2012-2021.5. Доп.1. Сб.3-3103-9-3/1</t>
  </si>
  <si>
    <t>Ремонт газона (посевной) - 550м2 ( вокруг цветника с кустами и деревьями)</t>
  </si>
  <si>
    <t>32</t>
  </si>
  <si>
    <t>5.4-3203-3-3/1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</si>
  <si>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</si>
  <si>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СН-2012-2021.5. Доп.1. Сб.4-3203-3-3/1</t>
  </si>
  <si>
    <t>33</t>
  </si>
  <si>
    <t>5.4-3203-3-4/1</t>
  </si>
  <si>
    <t>Подготовка почвы для устройства партерного и обыкновенного газонов с внесением растительной земли слоем 15 см вручную</t>
  </si>
  <si>
    <t>СН-2012-2021.5. Доп.1. Сб.4-3203-3-4/1</t>
  </si>
  <si>
    <t>34</t>
  </si>
  <si>
    <t>5.4-3203-3-5/1</t>
  </si>
  <si>
    <t>Подготовка почвы для устройства партерного и обыкновенного газонов на каждые 5 см изменения толщины слоя добавлять или исключать</t>
  </si>
  <si>
    <t>СН-2012-2021.5. Доп.1. Сб.4-3203-3-5/1</t>
  </si>
  <si>
    <t>35</t>
  </si>
  <si>
    <t>5.4-3203-3-6/1</t>
  </si>
  <si>
    <t>Посев газонов партерных, мавританских, и обыкновенных вручную</t>
  </si>
  <si>
    <t>СН-2012-2021.5. Доп.1. Сб.4-3203-3-6/1</t>
  </si>
  <si>
    <t>Стелла " Чертаново Центральное"</t>
  </si>
  <si>
    <t>36</t>
  </si>
  <si>
    <t>2.49-3201-14-1/1</t>
  </si>
  <si>
    <t>Разработка грунта вручную в траншеях глубиной до 2 м без креплений с откосами, группа грунтов 1-3  ( 2,6м2*0,3м*0,1 (10%) ) с последующей планировкой прилегающей территории</t>
  </si>
  <si>
    <t>100 м3</t>
  </si>
  <si>
    <t>СН-2012-2021.2. База. Сб.49-3201-14-1/1</t>
  </si>
  <si>
    <t>37</t>
  </si>
  <si>
    <t>2.49-3101-3-3/1</t>
  </si>
  <si>
    <t>Разработка грунта с погрузкой на автомобили-самосвалы экскаваторами с ковшом вместимостью 0,5 м3, группа грунтов 1-3 ( 2,6м2*0,3м*0,9(90%))</t>
  </si>
  <si>
    <t>СН-2012-2021.2. База. Сб.49-3101-3-3/1</t>
  </si>
  <si>
    <t>38</t>
  </si>
  <si>
    <t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(при слое 20 см покрываемая площадь 0,7м3/0,2м х 0,75)</t>
  </si>
  <si>
    <t>39</t>
  </si>
  <si>
    <t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0,7м3/0,2м х 0,25)</t>
  </si>
  <si>
    <t>40</t>
  </si>
  <si>
    <t>2.1-3303-1-1/1</t>
  </si>
  <si>
    <t>Устройство подстилающих и выравнивающих слоев оснований из песка</t>
  </si>
  <si>
    <t>СН-2012-2021.2. База. Сб.1-3303-1-1/1</t>
  </si>
  <si>
    <t>41</t>
  </si>
  <si>
    <t>2.1-3303-1-2/1</t>
  </si>
  <si>
    <t>Устройство подстилающих и выравнивающих слоев оснований из щебня</t>
  </si>
  <si>
    <t>СН-2012-2021.2. База. Сб.1-3303-1-2/1</t>
  </si>
  <si>
    <t>42</t>
  </si>
  <si>
    <t>1.2-3103-2-14/1</t>
  </si>
  <si>
    <t>Устройство фундаментных плит бетонных плоских</t>
  </si>
  <si>
    <t>СН-2012-2021.1. Доп.1. Сб.2-3103-2-14/1</t>
  </si>
  <si>
    <t>43</t>
  </si>
  <si>
    <t>1.2-3103-30-7/1</t>
  </si>
  <si>
    <t>Гидроизоляция стен, фундаментов боковая обмазочная битумная в 2 слоя по выровненной поверхности бутовой кладки, кирпичу, бетону</t>
  </si>
  <si>
    <t>СН-2012-2021.1. Доп.1. Сб.2-3103-30-7/1</t>
  </si>
  <si>
    <t>44</t>
  </si>
  <si>
    <t>1.14-3203-12-1/1</t>
  </si>
  <si>
    <t>Окраска фасадов с лесов акриловой краской с подготовкой поверхности</t>
  </si>
  <si>
    <t>СН-2012-2021.1. Доп.1. Сб.14-3203-12-1/1</t>
  </si>
  <si>
    <t>45</t>
  </si>
  <si>
    <t>1.50-3203-3-7/1</t>
  </si>
  <si>
    <t>Установка закладных деталей весом до 4 кг</t>
  </si>
  <si>
    <t>т</t>
  </si>
  <si>
    <t>СН-2012-2021.1. Доп.1. Сб.50-3203-3-7/1</t>
  </si>
  <si>
    <t>46</t>
  </si>
  <si>
    <t>1.50-3203-10-4/1</t>
  </si>
  <si>
    <t>Установка монтажных изделий массой свыше 20 кг</t>
  </si>
  <si>
    <t>СН-2012-2021.1. Доп.1. Сб.50-3203-10-4/1</t>
  </si>
  <si>
    <t>46,1</t>
  </si>
  <si>
    <t>21.1-10-111</t>
  </si>
  <si>
    <t>Профили стальные электросварные прямоугольного сечения трубчатые, размер 40х60 мм, толщина стенки 3,0 мм</t>
  </si>
  <si>
    <t>СН-2012-2021.21. Доп.1. Р.1, о.10, поз.111</t>
  </si>
  <si>
    <t>46,2</t>
  </si>
  <si>
    <t>21.1-10-172</t>
  </si>
  <si>
    <t>Сталь полосовая, марка Ст1сп - Ст6сп, спокойная</t>
  </si>
  <si>
    <t>СН-2012-2021.21. Доп.1. Р.1, о.10, поз.172</t>
  </si>
  <si>
    <t>47</t>
  </si>
  <si>
    <t>1.11-3303-6-1/1</t>
  </si>
  <si>
    <t>Облицовка ворот стальным профилированным листом /  оцинкованный толщиной 0,55 мм с полимерным покрытием / Облицовка фоновой панелью</t>
  </si>
  <si>
    <t>СН-2012-2021.1. Доп.1. Сб.11-3303-6-1/1</t>
  </si>
  <si>
    <t>47,1</t>
  </si>
  <si>
    <t>21.1-10-232</t>
  </si>
  <si>
    <t>Листы профилированные стальные оцинкованные, толщина 0,55 мм, размер 1250х2000 мм, с полимерным покрытием (металлопласт)</t>
  </si>
  <si>
    <t>м2</t>
  </si>
  <si>
    <t>СН-2012-2021.21. Доп.1. Р.1, о.10, поз.232</t>
  </si>
  <si>
    <t>47,2</t>
  </si>
  <si>
    <t>21.1-10-163</t>
  </si>
  <si>
    <t>Сталь листовая горячекатаная нержавеющая, толщина до 4 мм</t>
  </si>
  <si>
    <t>СН-2012-2021.21. Доп.1. Р.1, о.10, поз.163</t>
  </si>
  <si>
    <t>48</t>
  </si>
  <si>
    <t>48,1</t>
  </si>
  <si>
    <t>48,2</t>
  </si>
  <si>
    <t>21.1-10-164</t>
  </si>
  <si>
    <t>Сталь листовая горячекатаная нержавеющая, толщина более 4 мм</t>
  </si>
  <si>
    <t>СН-2012-2021.21. Доп.1. Р.1, о.10, поз.164</t>
  </si>
  <si>
    <t>49</t>
  </si>
  <si>
    <t>1.13-3204-1-1/1</t>
  </si>
  <si>
    <t>Расчистка поверхностей щетками</t>
  </si>
  <si>
    <t>СН-2012-2021.1. Доп.1. Сб.13-3204-1-1/1</t>
  </si>
  <si>
    <t>50</t>
  </si>
  <si>
    <t>1.24-3105-3-1/1</t>
  </si>
  <si>
    <t>Обезжиривание металлической поверхности оборудования и труб диаметром до 500 мм уайт-спиритом</t>
  </si>
  <si>
    <t>СН-2012-2021.1. Доп.1. Сб.24-3105-3-1/1</t>
  </si>
  <si>
    <t>51</t>
  </si>
  <si>
    <t>1.13-5302-11-5/1</t>
  </si>
  <si>
    <t>Огрунтовка новых или ранее расчищенных металлических поверхностей алкидными грунтовками, за один раз</t>
  </si>
  <si>
    <t>10 м2</t>
  </si>
  <si>
    <t>СН-2012-2021.1. Доп.1. Сб.13-5302-11-5/1</t>
  </si>
  <si>
    <t>52</t>
  </si>
  <si>
    <t>1.13-3203-23-10/1</t>
  </si>
  <si>
    <t>Окраска по металлу за один раз металлическим порошком решеток / за два раза</t>
  </si>
  <si>
    <t>СН-2012-2021.1. Доп.1. Сб.13-3203-23-10/1</t>
  </si>
  <si>
    <t>53</t>
  </si>
  <si>
    <t>2.1-3203-24-3/1</t>
  </si>
  <si>
    <t>Нанесение текстовой информации и символики. прим.</t>
  </si>
  <si>
    <t>СН-2012-2021.2. Доп.1. Сб.1-3203-24-3/1</t>
  </si>
  <si>
    <t>Автомобильные дороги, раздел 32</t>
  </si>
  <si>
    <t>Итого с коэффициентом оптимизации</t>
  </si>
  <si>
    <t>Уровень цен на 01.10.2020 г</t>
  </si>
  <si>
    <t>_OBSM_</t>
  </si>
  <si>
    <t>9999990008</t>
  </si>
  <si>
    <t>Трудозатраты рабочих</t>
  </si>
  <si>
    <t>чел.-ч.</t>
  </si>
  <si>
    <t>22.1-1-24</t>
  </si>
  <si>
    <t>СН-2012-2021.22. База. п.1-1-24 (010501)</t>
  </si>
  <si>
    <t>Экскаваторы на пневмоколесном тракторе гидравлические, объем ковша до 0,25 м3</t>
  </si>
  <si>
    <t>маш.-ч</t>
  </si>
  <si>
    <t>21.4-6-5</t>
  </si>
  <si>
    <t>СН-2012-2021.21. База. Р.4, о.6, поз.5</t>
  </si>
  <si>
    <t>Земля растительная</t>
  </si>
  <si>
    <t>м3</t>
  </si>
  <si>
    <t>21.1-20-54</t>
  </si>
  <si>
    <t>СН-2012-2021.21. Доп.1. Р.1, о.20, поз.54</t>
  </si>
  <si>
    <t>Шпагат пеньковый</t>
  </si>
  <si>
    <t>кг</t>
  </si>
  <si>
    <t>21.1-25-13</t>
  </si>
  <si>
    <t>СН-2012-2021.21. Доп.1. Р.1, о.25, поз.13</t>
  </si>
  <si>
    <t>Вода</t>
  </si>
  <si>
    <t>21.1-9-57</t>
  </si>
  <si>
    <t>СН-2012-2021.21. Доп.1. Р.1, о.9, поз.57</t>
  </si>
  <si>
    <t>Доски хвойных пород, обрезные, длина 2-6,5 м, сорт III, толщина 40-60 мм</t>
  </si>
  <si>
    <t>21.4-6-8</t>
  </si>
  <si>
    <t>СН-2012-2021.21. Доп.1. Р.4, о.6, поз.8</t>
  </si>
  <si>
    <t>Перегной</t>
  </si>
  <si>
    <t>22.1-17-52</t>
  </si>
  <si>
    <t>СН-2012-2021.22. Доп.1. п.1-17-52 (177001)</t>
  </si>
  <si>
    <t>Ямокопатели</t>
  </si>
  <si>
    <t>22.1-2-7</t>
  </si>
  <si>
    <t>СН-2012-2021.22. Доп.1. п.1-2-7 (021003)</t>
  </si>
  <si>
    <t>Тракторы на пневмоколесном ходу, мощность до 60 (81) кВт (л.с.)</t>
  </si>
  <si>
    <t>21.4-6-15</t>
  </si>
  <si>
    <t>СН-2012-2021.21. Доп.1. Р.4, о.6, поз.15</t>
  </si>
  <si>
    <t>Торф</t>
  </si>
  <si>
    <t>СН-2012-2021.21. Доп.1. Р.4, о.6, поз.5</t>
  </si>
  <si>
    <t>22.1-1-43</t>
  </si>
  <si>
    <t>СН-2012-2021.22. База. п.1-1-43 (012102)</t>
  </si>
  <si>
    <t>Бульдозеры гусеничные, мощность до 59 кВт (80 л.с.)</t>
  </si>
  <si>
    <t>22.1-5-18</t>
  </si>
  <si>
    <t>СН-2012-2021.22. Доп.1. п.1-5-18 (050902)</t>
  </si>
  <si>
    <t>Поливомоечные машины, емкость цистерны более 5000 л</t>
  </si>
  <si>
    <t>СН-2012-2021.22. Доп.1. п.1-1-24 (010501)</t>
  </si>
  <si>
    <t>21.1-20-17</t>
  </si>
  <si>
    <t>СН-2012-2021.21. Доп.1. Р.1, о.20, поз.17</t>
  </si>
  <si>
    <t>Мешковина</t>
  </si>
  <si>
    <t>21.4-6-7</t>
  </si>
  <si>
    <t>СН-2012-2021.21. Доп.1. Р.4, о.6, поз.7</t>
  </si>
  <si>
    <t>Колья деревянные для подвязки деревьев до 2,5м</t>
  </si>
  <si>
    <t>21.4-6-17</t>
  </si>
  <si>
    <t>СН-2012-2021.21. Доп.1. Р.4, о.6, поз.17</t>
  </si>
  <si>
    <t>Добавки мульчирующие - декоративная щепа (различная цветовая гамма)</t>
  </si>
  <si>
    <t>22.1-18-24</t>
  </si>
  <si>
    <t>СН-2012-2021.22. Доп.1. п.1-18-24 (183102)</t>
  </si>
  <si>
    <t>Автомобили полупассажирские типа ГАЗ, грузоподъемность до 2 т</t>
  </si>
  <si>
    <t>22.1-30-21</t>
  </si>
  <si>
    <t>СН-2012-2021.22. Доп.1. п.1-30-21 (305401)</t>
  </si>
  <si>
    <t>Машины для шлифовки камня электрические</t>
  </si>
  <si>
    <t>21.1-10-167</t>
  </si>
  <si>
    <t>СН-2012-2021.21. Доп.1. Р.1, о.10, поз.167</t>
  </si>
  <si>
    <t>Сталь листовая, оцинкованная, толщина 0,7-0,8 мм</t>
  </si>
  <si>
    <t>21.1-12-11</t>
  </si>
  <si>
    <t>СН-2012-2021.21. Доп.1. Р.1, о.12, поз.11</t>
  </si>
  <si>
    <t>Песок для строительных работ, рядовой</t>
  </si>
  <si>
    <t>21.1-12-29</t>
  </si>
  <si>
    <t>СН-2012-2021.21. Доп.1. Р.1, о.12, поз.29</t>
  </si>
  <si>
    <t>Щебень из естественного камня для строительных работ, марка 600-400, фракция 5-10 мм</t>
  </si>
  <si>
    <t>21.1-12-61</t>
  </si>
  <si>
    <t>СН-2012-2021.21. Доп.1. Р.1, о.12, поз.61</t>
  </si>
  <si>
    <t>Камень природный окатанный (галька речная), размер 50-350 мм</t>
  </si>
  <si>
    <t>21.1-12-62</t>
  </si>
  <si>
    <t>СН-2012-2021.21. Доп.1. Р.1, о.12, поз.62</t>
  </si>
  <si>
    <t>Брусчатка из гранита серого цвета, пилено-колотая из пиленого полуфабриката, размер 100х100х100 мм</t>
  </si>
  <si>
    <t>21.1-2-13</t>
  </si>
  <si>
    <t>СН-2012-2021.21. Доп.1. Р.1, о.2, поз.13</t>
  </si>
  <si>
    <t>Цемент общестроительный, портландцемент общего назначения, марка 400</t>
  </si>
  <si>
    <t>21.3-4-17</t>
  </si>
  <si>
    <t>СН-2012-2021.21. Доп.1. Р.3, о.4, поз.17</t>
  </si>
  <si>
    <t>Арматурные заготовки (стержни, хомуты и т.п.), не собранные в каркасы или сетки, арматурная сталь периодического профиля, класс А-III, диаметр 12-14 мм</t>
  </si>
  <si>
    <t>22.1-17-39</t>
  </si>
  <si>
    <t>СН-2012-2021.22. Доп.1. п.1-17-39 (176001)</t>
  </si>
  <si>
    <t>Плуги выкопочные (без трактора)</t>
  </si>
  <si>
    <t>21.4-6-11</t>
  </si>
  <si>
    <t>СН-2012-2021.21. Доп.1. Р.4, о.6, поз.11</t>
  </si>
  <si>
    <t>Семена (смесь универсальная) газонных трав</t>
  </si>
  <si>
    <t>22.1-1-4</t>
  </si>
  <si>
    <t>СН-2012-2021.22. База. п.1-1-4 (010105)</t>
  </si>
  <si>
    <t>Экскаваторы на гусеничном ходу гидравлические, объем ковша до 0,5 м3</t>
  </si>
  <si>
    <t>22.1-1-44</t>
  </si>
  <si>
    <t>СН-2012-2021.22. База. п.1-1-44 (012103)</t>
  </si>
  <si>
    <t>Бульдозеры гусеничные, мощность до 79 кВт (108 л.с.)</t>
  </si>
  <si>
    <t>22.1-2-1</t>
  </si>
  <si>
    <t>СН-2012-2021.22. База. п.1-2-1 (020101)</t>
  </si>
  <si>
    <t>Тракторы на гусеничном ходу, мощность до 60 (81) кВт (л.с.)</t>
  </si>
  <si>
    <t>22.1-5-15</t>
  </si>
  <si>
    <t>СН-2012-2021.22. База. п.1-5-15 (050703)</t>
  </si>
  <si>
    <t>Катки прицепные пневмоколесные, масса до 50 т</t>
  </si>
  <si>
    <t>СН-2012-2021.22. База. п.1-5-18 (050902)</t>
  </si>
  <si>
    <t>22.1-5-48</t>
  </si>
  <si>
    <t>СН-2012-2021.22. База. п.1-5-48 (056003)</t>
  </si>
  <si>
    <t>Автогрейдеры, мощность 99-147 кВт (130-200 л.с.)</t>
  </si>
  <si>
    <t>22.1-5-7</t>
  </si>
  <si>
    <t>СН-2012-2021.22. База. п.1-5-7 (050301)</t>
  </si>
  <si>
    <t>Катки дорожные самоходные на пневмоколесном ходу, масса до 16 т</t>
  </si>
  <si>
    <t>21.1-12-10</t>
  </si>
  <si>
    <t>СН-2012-2021.21. База. Р.1, о.12, поз.10</t>
  </si>
  <si>
    <t>Песок для дорожных работ, рядовой</t>
  </si>
  <si>
    <t>СН-2012-2021.21. База. Р.1, о.25, поз.13</t>
  </si>
  <si>
    <t>22.1-5-2</t>
  </si>
  <si>
    <t>СН-2012-2021.22. База. п.1-5-2 (050102)</t>
  </si>
  <si>
    <t>Катки самоходные вибрационные, масса до 8 т</t>
  </si>
  <si>
    <t>22.1-5-3</t>
  </si>
  <si>
    <t>СН-2012-2021.22. База. п.1-5-3 (050103)</t>
  </si>
  <si>
    <t>Катки самоходные вибрационные, масса более 8 т</t>
  </si>
  <si>
    <t>21.1-12-36</t>
  </si>
  <si>
    <t>СН-2012-2021.21. База. Р.1, о.12, поз.36</t>
  </si>
  <si>
    <t>Щебень из естественного камня для строительных работ, марка 1200-800, фракция 20-40 мм</t>
  </si>
  <si>
    <t>22.1-30-26</t>
  </si>
  <si>
    <t>СН-2012-2021.22. Доп.1. п.1-30-26 (306001)</t>
  </si>
  <si>
    <t>Пилы ручные электрические</t>
  </si>
  <si>
    <t>22.1-4-12</t>
  </si>
  <si>
    <t>СН-2012-2021.22. Доп.1. п.1-4-12 (040205)</t>
  </si>
  <si>
    <t>Погрузчики на автомобильном ходу, грузоподъемность до 5 т</t>
  </si>
  <si>
    <t>22.1-6-52</t>
  </si>
  <si>
    <t>СН-2012-2021.22. Доп.1. п.1-6-52 (069402)</t>
  </si>
  <si>
    <t>Вибраторы глубинные</t>
  </si>
  <si>
    <t>21.1-11-46</t>
  </si>
  <si>
    <t>СН-2012-2021.21. Доп.1. Р.1, о.11, поз.46</t>
  </si>
  <si>
    <t>Гвозди строительные</t>
  </si>
  <si>
    <t>21.1-2-4</t>
  </si>
  <si>
    <t>СН-2012-2021.21. Доп.1. Р.1, о.2, поз.4</t>
  </si>
  <si>
    <t>Известь негашеная комовая</t>
  </si>
  <si>
    <t>21.3-1-64</t>
  </si>
  <si>
    <t>СН-2012-2021.21. Доп.1. Р.3, о.1, поз.64</t>
  </si>
  <si>
    <t>Смеси бетонные, БСГ, тяжелого бетона на гранитном щебне, класс прочности: В7,5 (М100); П3, фракция 5-20</t>
  </si>
  <si>
    <t>21.9-11-3</t>
  </si>
  <si>
    <t>СН-2012-2021.21. Доп.1. Р.9, о.11, поз.3</t>
  </si>
  <si>
    <t>Щиты деревянные для фундаментов, колонн, балок, перекрытий, стен, перегородок и других конструкций из досок, толщина 40мм</t>
  </si>
  <si>
    <t>21.1-1-5</t>
  </si>
  <si>
    <t>СН-2012-2021.21. Доп.1. Р.1, о.1, поз.5</t>
  </si>
  <si>
    <t>Битумы нефтяные, строительные марка БН, БНСК</t>
  </si>
  <si>
    <t>21.1-1-75</t>
  </si>
  <si>
    <t>СН-2012-2021.21. Доп.1. Р.1, о.1, поз.75</t>
  </si>
  <si>
    <t>Мастика клеящая морозостойкая, марка МБ-50, битумно-масляная</t>
  </si>
  <si>
    <t>21.1-20-7</t>
  </si>
  <si>
    <t>СН-2012-2021.21. Доп.1. Р.1, о.20, поз.7</t>
  </si>
  <si>
    <t>Ветошь</t>
  </si>
  <si>
    <t>21.1-4-9</t>
  </si>
  <si>
    <t>СН-2012-2021.21. Доп.1. Р.1, о.4, поз.9</t>
  </si>
  <si>
    <t>Керосин</t>
  </si>
  <si>
    <t>21.1-25-407</t>
  </si>
  <si>
    <t>СН-2012-2021.21. Доп.1. Р.1, о.25, поз.407</t>
  </si>
  <si>
    <t>Шпатлевка масляно-клеевая универсальная</t>
  </si>
  <si>
    <t>21.1-6-21</t>
  </si>
  <si>
    <t>СН-2012-2021.21. Доп.1. Р.1, о.6, поз.21</t>
  </si>
  <si>
    <t>Дисперсия поливинилацетатная, гомополимерная, грубодисперсная, пластифицированная, (эмульсия поливинилацетатная), марка ДБ</t>
  </si>
  <si>
    <t>21.1-6-60</t>
  </si>
  <si>
    <t>СН-2012-2021.21. Доп.1. Р.1, о.6, поз.60</t>
  </si>
  <si>
    <t>Краски фасадные, марка "Акриал"</t>
  </si>
  <si>
    <t>21.1-6-8</t>
  </si>
  <si>
    <t>СН-2012-2021.21. Доп.1. Р.1, о.6, поз.8</t>
  </si>
  <si>
    <t>Грунтовка "Акриал"</t>
  </si>
  <si>
    <t>21.3-2-99</t>
  </si>
  <si>
    <t>СН-2012-2021.21. Доп.1. Р.3, о.2, поз.99</t>
  </si>
  <si>
    <t>Смеси сухие штукатурные цементно-песчаные для внутренних и наружных работ, бездобавочные: В12,5 (М150), F50, крупность заполнителя не более 0,5 мм</t>
  </si>
  <si>
    <t>21.3-4-24</t>
  </si>
  <si>
    <t>СН-2012-2021.21. Доп.1. Р.3, о.4, поз.24</t>
  </si>
  <si>
    <t>Арматурные заготовки (стержни, хомуты и т.п.), не собранные в каркасы или сетки, закладные и накладные детали, со сваркой</t>
  </si>
  <si>
    <t>22.1-13-10</t>
  </si>
  <si>
    <t>СН-2012-2021.22. Доп.1. п.1-13-10 (135201)</t>
  </si>
  <si>
    <t>Агрегаты сварочные однопостовые для ручной электродуговой сварки</t>
  </si>
  <si>
    <t>21.1-23-9</t>
  </si>
  <si>
    <t>СН-2012-2021.21. Доп.1. Р.1, о.23, поз.9</t>
  </si>
  <si>
    <t>Электроды, тип Э-42, 46, 50, диаметр 4 - 6 мм</t>
  </si>
  <si>
    <t>22.1-30-102</t>
  </si>
  <si>
    <t>СН-2012-2021.22. Доп.1. п.1-30-102 (303704)</t>
  </si>
  <si>
    <t>Дрели электрические, двухскоростные, мощностью 600 Вт</t>
  </si>
  <si>
    <t>21.1-11-32</t>
  </si>
  <si>
    <t>Винты самонарезающие оцинкованные, длина 25 мм</t>
  </si>
  <si>
    <t>21.1-11-74</t>
  </si>
  <si>
    <t>Заклепки комбинированные для соединения профилированного стального настила и разнообразных деталей</t>
  </si>
  <si>
    <t>21.1-6-114</t>
  </si>
  <si>
    <t>Растворитель "Уайт-спирит"</t>
  </si>
  <si>
    <t>21.1-25-388</t>
  </si>
  <si>
    <t>СН-2012-2021.21. Доп.1. Р.1, о.25, поз.388</t>
  </si>
  <si>
    <t>Шкурка шлифовальная на бумажной основе</t>
  </si>
  <si>
    <t>21.1-25-979</t>
  </si>
  <si>
    <t>СН-2012-2021.21. Доп.1. Р.1, о.25, поз.979</t>
  </si>
  <si>
    <t>Обезжириватель (очиститель) на основе метилэтилкетона</t>
  </si>
  <si>
    <t>21.1-6-112</t>
  </si>
  <si>
    <t>СН-2012-2021.21. Доп.1. Р.1, о.6, поз.112</t>
  </si>
  <si>
    <t>Растворители, марка Р-4</t>
  </si>
  <si>
    <t>21.1-6-213</t>
  </si>
  <si>
    <t>СН-2012-2021.21. Доп.1. Р.1, о.6, поз.213</t>
  </si>
  <si>
    <t>Грунтовка алкидная однокомпонентная универсальная быстросохнущая антикоррозийная, типа "Риса ХС Штальшуцгрунд"</t>
  </si>
  <si>
    <t>21.1-15-63</t>
  </si>
  <si>
    <t>Пудра пигментная алюминиевая, марка ПП-2</t>
  </si>
  <si>
    <t>21.1-6-68</t>
  </si>
  <si>
    <t>СН-2012-2021.21. Доп.1. Р.1, о.6, поз.68</t>
  </si>
  <si>
    <t>Лак битумный, марка БТ-577</t>
  </si>
  <si>
    <t>22.1-4-19</t>
  </si>
  <si>
    <t>СН-2012-2021.22. Доп.1. п.1-4-19 (042002)</t>
  </si>
  <si>
    <t>Вышки телескопические на автомобиле, высота до 18 м, грузоподъемность до 300 кг</t>
  </si>
  <si>
    <t>22.1-5-76</t>
  </si>
  <si>
    <t>СН-2012-2021.22. Доп.1. п.1-5-76 (057212)</t>
  </si>
  <si>
    <t>Машины разметочные ручные "Zebra-5"</t>
  </si>
  <si>
    <t>21.1-6-200</t>
  </si>
  <si>
    <t>СН-2012-2021.21. Доп.1. Р.1, о.6, поз.200</t>
  </si>
  <si>
    <t>Краска дорожная (эмаль) белая, марка "АК-505"</t>
  </si>
  <si>
    <t>9797010000</t>
  </si>
  <si>
    <t>Деревья и кустарники с комом</t>
  </si>
  <si>
    <t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табл.1 - 0,28м3 * 229кустов =64,12м3 - при слое 20 см покрываемая площадь 64,12м3/0,2м х 0,75)</t>
  </si>
  <si>
    <t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4дерева =4,52м3 - при слое 20 см покрываемая площадь 4,52м3/0,2м х 0,75)</t>
  </si>
  <si>
    <t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табл.1 - 0,51м3 * 17кустов =8,67м3 - при слое 20 см покрываемая площадь 8,67м3/0,2м х 0,75)</t>
  </si>
  <si>
    <t>"СОГЛАСОВАНО"</t>
  </si>
  <si>
    <t>"УТВЕРЖДАЮ"</t>
  </si>
  <si>
    <t>Форма № 1а (глава 1-5)</t>
  </si>
  <si>
    <t>"_____"________________ 2021 г.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</si>
  <si>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</si>
  <si>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</si>
  <si>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</si>
  <si>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</si>
  <si>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</si>
  <si>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</si>
  <si>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</si>
  <si>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</si>
  <si>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</si>
  <si>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</si>
  <si>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</si>
  <si>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</si>
  <si>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</si>
  <si>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</si>
  <si>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</si>
  <si>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</si>
  <si>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</si>
  <si>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</si>
  <si>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</si>
  <si>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</si>
  <si>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</si>
  <si>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</si>
  <si>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</si>
  <si>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</si>
  <si>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</si>
  <si>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НР от ЗП</t>
  </si>
  <si>
    <t>%</t>
  </si>
  <si>
    <t>СП от ЗП</t>
  </si>
  <si>
    <t>НР и СП от ЗПМ</t>
  </si>
  <si>
    <t>ЗТР</t>
  </si>
  <si>
    <t>чел-ч</t>
  </si>
  <si>
    <t>МР</t>
  </si>
  <si>
    <t>к нр *0,59047619</t>
  </si>
  <si>
    <t xml:space="preserve">Составил   </t>
  </si>
  <si>
    <t>[должность,подпись(инициалы,фамилия)]</t>
  </si>
  <si>
    <t xml:space="preserve">Проверил   </t>
  </si>
  <si>
    <t>Унифицированная форма № КС-2</t>
  </si>
  <si>
    <t>Утверждена постановлением Госкомстата России</t>
  </si>
  <si>
    <t>от 11.11.99. № 100</t>
  </si>
  <si>
    <t>Код</t>
  </si>
  <si>
    <t>Форма по ОКУД</t>
  </si>
  <si>
    <t>0322005</t>
  </si>
  <si>
    <t>Инвестор</t>
  </si>
  <si>
    <t>по ОКПО</t>
  </si>
  <si>
    <t>организация, адрес, телефон, факс</t>
  </si>
  <si>
    <t>Заказчик</t>
  </si>
  <si>
    <t>Подрядчик</t>
  </si>
  <si>
    <t>Стройка</t>
  </si>
  <si>
    <t>наименование, адрес</t>
  </si>
  <si>
    <t>Объект</t>
  </si>
  <si>
    <t>наименование</t>
  </si>
  <si>
    <t xml:space="preserve">Вид деятельности по ОКДП  </t>
  </si>
  <si>
    <t xml:space="preserve">Договор подряда  </t>
  </si>
  <si>
    <t>номер</t>
  </si>
  <si>
    <t>дата</t>
  </si>
  <si>
    <t xml:space="preserve">Вид операции  </t>
  </si>
  <si>
    <t>Номер документа</t>
  </si>
  <si>
    <t>Дата составления</t>
  </si>
  <si>
    <t>Отчетный период</t>
  </si>
  <si>
    <t>с</t>
  </si>
  <si>
    <t>по</t>
  </si>
  <si>
    <t>AKT</t>
  </si>
  <si>
    <t>О ПРИЕМКЕ ВЫПОЛНЕННЫХ РАБОТ</t>
  </si>
  <si>
    <t>Сметная (договорная) стоимость в соответствии с договором подряда (субподряда)</t>
  </si>
  <si>
    <t xml:space="preserve"> тыс.руб</t>
  </si>
  <si>
    <t>Номер</t>
  </si>
  <si>
    <t>п/п</t>
  </si>
  <si>
    <t>поз. по смете</t>
  </si>
  <si>
    <t xml:space="preserve">Сдал   </t>
  </si>
  <si>
    <t xml:space="preserve">Принял   </t>
  </si>
  <si>
    <t>___________________________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</si>
  <si>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</si>
  <si>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</si>
  <si>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</si>
  <si>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</si>
  <si>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</si>
  <si>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</si>
  <si>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</si>
  <si>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Заказчик _________________</t>
  </si>
  <si>
    <t>Подрядчик _________________</t>
  </si>
  <si>
    <t>TYPE</t>
  </si>
  <si>
    <t>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</si>
  <si>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</si>
  <si>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</si>
  <si>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</si>
  <si>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</si>
  <si>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</si>
  <si>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</si>
  <si>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</si>
  <si>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</si>
  <si>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</si>
  <si>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</si>
  <si>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</si>
  <si>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</si>
  <si>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</si>
  <si>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</si>
  <si>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</si>
  <si>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</si>
  <si>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</si>
  <si>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</si>
  <si>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</si>
  <si>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</si>
  <si>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</si>
  <si>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</si>
  <si>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</si>
  <si>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</si>
  <si>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</si>
  <si>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</si>
  <si>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</si>
  <si>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</si>
  <si>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</si>
  <si>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</si>
  <si>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</si>
  <si>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Ресурсная ведомость на</t>
  </si>
  <si>
    <t>Обоснование</t>
  </si>
  <si>
    <t>Наименование</t>
  </si>
  <si>
    <t>Объем</t>
  </si>
  <si>
    <t>Текущая</t>
  </si>
  <si>
    <t>цена</t>
  </si>
  <si>
    <t>стоимость</t>
  </si>
  <si>
    <t xml:space="preserve">Материальные ресурсы </t>
  </si>
  <si>
    <t xml:space="preserve">Итого материальные ресурсы </t>
  </si>
  <si>
    <t>Раздел: Ремонт газона (посевной) - 550м2 ( вокруг цветника с кустами и деревьями)</t>
  </si>
  <si>
    <t>К=</t>
  </si>
</sst>
</file>

<file path=xl/styles.xml><?xml version="1.0" encoding="utf-8"?>
<styleSheet xmlns="http://schemas.openxmlformats.org/spreadsheetml/2006/main">
  <numFmts count="4">
    <numFmt numFmtId="164" formatCode="mmmm"/>
    <numFmt numFmtId="165" formatCode="#,##0.00####;[Red]\-\ #,##0.00####"/>
    <numFmt numFmtId="166" formatCode="#,##0.00;[Red]\-\ #,##0.00"/>
    <numFmt numFmtId="167" formatCode="0.00000000000"/>
  </numFmts>
  <fonts count="17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horizontal="right"/>
    </xf>
    <xf numFmtId="1" fontId="10" fillId="0" borderId="0" xfId="0" applyNumberFormat="1" applyFont="1"/>
    <xf numFmtId="0" fontId="1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3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166" fontId="13" fillId="0" borderId="0" xfId="0" applyNumberFormat="1" applyFont="1" applyAlignment="1">
      <alignment horizontal="right"/>
    </xf>
    <xf numFmtId="166" fontId="0" fillId="0" borderId="0" xfId="0" applyNumberFormat="1"/>
    <xf numFmtId="166" fontId="10" fillId="0" borderId="0" xfId="0" applyNumberFormat="1" applyFont="1" applyAlignment="1">
      <alignment horizontal="right"/>
    </xf>
    <xf numFmtId="0" fontId="0" fillId="0" borderId="6" xfId="0" applyBorder="1"/>
    <xf numFmtId="166" fontId="14" fillId="0" borderId="6" xfId="0" applyNumberFormat="1" applyFont="1" applyBorder="1" applyAlignment="1">
      <alignment horizontal="right"/>
    </xf>
    <xf numFmtId="0" fontId="10" fillId="0" borderId="0" xfId="0" quotePrefix="1" applyFont="1" applyAlignment="1">
      <alignment horizontal="right" wrapText="1"/>
    </xf>
    <xf numFmtId="0" fontId="14" fillId="0" borderId="0" xfId="0" applyFont="1"/>
    <xf numFmtId="0" fontId="14" fillId="0" borderId="0" xfId="0" applyFont="1" applyAlignment="1">
      <alignment horizontal="left" wrapText="1"/>
    </xf>
    <xf numFmtId="0" fontId="10" fillId="0" borderId="1" xfId="0" applyFont="1" applyBorder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right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/>
    </xf>
    <xf numFmtId="0" fontId="14" fillId="0" borderId="0" xfId="0" applyFont="1" applyAlignment="1"/>
    <xf numFmtId="0" fontId="10" fillId="0" borderId="0" xfId="0" applyFont="1" applyAlignment="1">
      <alignment wrapText="1"/>
    </xf>
    <xf numFmtId="0" fontId="10" fillId="0" borderId="6" xfId="0" applyFont="1" applyBorder="1"/>
    <xf numFmtId="166" fontId="10" fillId="0" borderId="0" xfId="0" applyNumberFormat="1" applyFont="1"/>
    <xf numFmtId="164" fontId="10" fillId="0" borderId="0" xfId="0" applyNumberFormat="1" applyFont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0" fontId="8" fillId="0" borderId="0" xfId="0" applyFont="1"/>
    <xf numFmtId="0" fontId="16" fillId="0" borderId="0" xfId="0" applyFont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 wrapText="1"/>
    </xf>
    <xf numFmtId="0" fontId="8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left" wrapText="1"/>
    </xf>
    <xf numFmtId="0" fontId="16" fillId="0" borderId="0" xfId="0" applyFont="1"/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16" fillId="0" borderId="3" xfId="0" quotePrefix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top" wrapText="1"/>
    </xf>
    <xf numFmtId="166" fontId="8" fillId="0" borderId="3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right"/>
    </xf>
    <xf numFmtId="0" fontId="14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6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/>
    <xf numFmtId="0" fontId="10" fillId="0" borderId="0" xfId="0" applyFont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right"/>
    </xf>
    <xf numFmtId="166" fontId="10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 wrapText="1"/>
    </xf>
    <xf numFmtId="0" fontId="10" fillId="0" borderId="0" xfId="0" applyFont="1" applyAlignment="1">
      <alignment horizontal="right" vertical="center"/>
    </xf>
    <xf numFmtId="0" fontId="15" fillId="0" borderId="5" xfId="0" applyFont="1" applyBorder="1" applyAlignment="1">
      <alignment horizontal="center"/>
    </xf>
    <xf numFmtId="167" fontId="14" fillId="0" borderId="0" xfId="0" applyNumberFormat="1" applyFont="1" applyAlignment="1">
      <alignment horizontal="left" wrapText="1"/>
    </xf>
    <xf numFmtId="0" fontId="8" fillId="0" borderId="0" xfId="0" applyFont="1" applyAlignment="1">
      <alignment horizontal="right"/>
    </xf>
    <xf numFmtId="0" fontId="10" fillId="0" borderId="3" xfId="0" applyFont="1" applyBorder="1" applyAlignment="1">
      <alignment horizontal="center"/>
    </xf>
    <xf numFmtId="0" fontId="10" fillId="0" borderId="3" xfId="0" quotePrefix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14" fontId="10" fillId="0" borderId="3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right"/>
    </xf>
    <xf numFmtId="0" fontId="10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right"/>
    </xf>
    <xf numFmtId="166" fontId="16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81"/>
  <sheetViews>
    <sheetView tabSelected="1" zoomScaleNormal="100" workbookViewId="0">
      <selection activeCell="AM576" sqref="AM576"/>
    </sheetView>
  </sheetViews>
  <sheetFormatPr defaultRowHeight="14.25"/>
  <cols>
    <col min="1" max="1" width="5.7109375" style="10" customWidth="1"/>
    <col min="2" max="2" width="16" style="10" customWidth="1"/>
    <col min="3" max="3" width="51.5703125" style="10" customWidth="1"/>
    <col min="4" max="4" width="11.7109375" style="45" customWidth="1"/>
    <col min="5" max="6" width="11.7109375" style="10" customWidth="1"/>
    <col min="7" max="7" width="13.85546875" style="10" customWidth="1"/>
    <col min="8" max="8" width="9.140625" style="10"/>
    <col min="9" max="9" width="11.85546875" style="10" customWidth="1"/>
    <col min="10" max="11" width="12.7109375" style="10" customWidth="1"/>
    <col min="12" max="14" width="9.140625" style="10"/>
    <col min="15" max="30" width="0" style="10" hidden="1" customWidth="1"/>
    <col min="31" max="31" width="149.140625" style="10" hidden="1" customWidth="1"/>
    <col min="32" max="32" width="113.140625" style="10" hidden="1" customWidth="1"/>
    <col min="33" max="36" width="0" style="10" hidden="1" customWidth="1"/>
    <col min="37" max="16384" width="9.140625" style="10"/>
  </cols>
  <sheetData>
    <row r="1" spans="1:11">
      <c r="A1" s="10" t="str">
        <f>CONCATENATE(Source!B1, "     СН-2012 (© ОАО МЦЦС 'Мосстройцены', ", "2021", ")")</f>
        <v>Smeta.RU  (495) 974-1589     СН-2012 (© ОАО МЦЦС 'Мосстройцены', 2021)</v>
      </c>
      <c r="J1" s="77" t="s">
        <v>553</v>
      </c>
      <c r="K1" s="77"/>
    </row>
    <row r="2" spans="1:11">
      <c r="A2" s="15"/>
      <c r="B2" s="15"/>
      <c r="C2" s="15"/>
      <c r="E2" s="15"/>
      <c r="F2" s="15"/>
      <c r="G2" s="15"/>
      <c r="H2" s="15"/>
      <c r="I2" s="15"/>
    </row>
    <row r="3" spans="1:11" ht="15">
      <c r="A3" s="48"/>
      <c r="B3" s="81" t="s">
        <v>551</v>
      </c>
      <c r="C3" s="81"/>
      <c r="D3" s="81"/>
      <c r="E3" s="81"/>
      <c r="G3" s="81" t="s">
        <v>552</v>
      </c>
      <c r="H3" s="81"/>
      <c r="I3" s="81"/>
      <c r="J3" s="81"/>
      <c r="K3" s="81"/>
    </row>
    <row r="4" spans="1:11">
      <c r="B4" s="82"/>
      <c r="C4" s="82"/>
      <c r="D4" s="82"/>
      <c r="E4" s="82"/>
      <c r="G4" s="82"/>
      <c r="H4" s="82"/>
      <c r="I4" s="82"/>
      <c r="J4" s="82"/>
      <c r="K4" s="82"/>
    </row>
    <row r="5" spans="1:11">
      <c r="A5" s="11"/>
      <c r="B5" s="11"/>
      <c r="C5" s="12"/>
      <c r="D5" s="47"/>
      <c r="E5" s="12"/>
      <c r="G5" s="13"/>
      <c r="H5" s="12"/>
      <c r="I5" s="12"/>
      <c r="J5" s="12"/>
      <c r="K5" s="13"/>
    </row>
    <row r="6" spans="1:11">
      <c r="A6" s="13"/>
      <c r="B6" s="82" t="str">
        <f>CONCATENATE("______________________ ", IF(Source!AL12&lt;&gt;"", Source!AL12, ""))</f>
        <v xml:space="preserve">______________________ </v>
      </c>
      <c r="C6" s="82"/>
      <c r="D6" s="82"/>
      <c r="E6" s="82"/>
      <c r="G6" s="82" t="str">
        <f>CONCATENATE("______________________ ", IF(Source!AH12&lt;&gt;"", Source!AH12, ""))</f>
        <v xml:space="preserve">______________________ </v>
      </c>
      <c r="H6" s="82"/>
      <c r="I6" s="82"/>
      <c r="J6" s="82"/>
      <c r="K6" s="82"/>
    </row>
    <row r="7" spans="1:11">
      <c r="A7" s="14"/>
      <c r="B7" s="76" t="s">
        <v>554</v>
      </c>
      <c r="C7" s="76"/>
      <c r="D7" s="76"/>
      <c r="E7" s="76"/>
      <c r="G7" s="76" t="s">
        <v>554</v>
      </c>
      <c r="H7" s="76"/>
      <c r="I7" s="76"/>
      <c r="J7" s="76"/>
      <c r="K7" s="76"/>
    </row>
    <row r="10" spans="1:11" ht="15">
      <c r="A10" s="78" t="str">
        <f>CONCATENATE( "ЛОКАЛЬНАЯ СМЕТА № ",IF(Source!F12&lt;&gt;"Новый объект", Source!F12, ""))</f>
        <v xml:space="preserve">ЛОКАЛЬНАЯ СМЕТА № 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</row>
    <row r="12" spans="1:11" ht="15" hidden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</row>
    <row r="13" spans="1:11" hidden="1"/>
    <row r="14" spans="1:11" ht="35.25" customHeight="1">
      <c r="A14" s="85" t="str">
        <f>Source!G20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</row>
    <row r="15" spans="1:11">
      <c r="A15" s="86" t="s">
        <v>555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</row>
    <row r="17" spans="1:22">
      <c r="A17" s="88" t="str">
        <f>CONCATENATE( "Основание: чертежи № ", Source!J12)</f>
        <v xml:space="preserve">Основание: чертежи № 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9" spans="1:22">
      <c r="F19" s="77" t="s">
        <v>556</v>
      </c>
      <c r="G19" s="77"/>
      <c r="H19" s="77"/>
      <c r="I19" s="83">
        <f>(Source!F417/1000)</f>
        <v>1991.08833</v>
      </c>
      <c r="J19" s="84"/>
      <c r="K19" s="10" t="s">
        <v>557</v>
      </c>
    </row>
    <row r="20" spans="1:22" hidden="1">
      <c r="F20" s="77" t="s">
        <v>558</v>
      </c>
      <c r="G20" s="77"/>
      <c r="H20" s="77"/>
      <c r="I20" s="83">
        <f>(Source!F407)/1000</f>
        <v>0</v>
      </c>
      <c r="J20" s="84"/>
      <c r="K20" s="10" t="s">
        <v>557</v>
      </c>
    </row>
    <row r="21" spans="1:22" hidden="1">
      <c r="F21" s="77" t="s">
        <v>559</v>
      </c>
      <c r="G21" s="77"/>
      <c r="H21" s="77"/>
      <c r="I21" s="83">
        <f>(Source!F408)/1000</f>
        <v>0</v>
      </c>
      <c r="J21" s="84"/>
      <c r="K21" s="10" t="s">
        <v>557</v>
      </c>
    </row>
    <row r="22" spans="1:22" hidden="1">
      <c r="F22" s="77" t="s">
        <v>560</v>
      </c>
      <c r="G22" s="77"/>
      <c r="H22" s="77"/>
      <c r="I22" s="83">
        <f>(Source!F399)/1000</f>
        <v>0</v>
      </c>
      <c r="J22" s="84"/>
      <c r="K22" s="10" t="s">
        <v>557</v>
      </c>
    </row>
    <row r="23" spans="1:22" hidden="1">
      <c r="F23" s="77" t="s">
        <v>561</v>
      </c>
      <c r="G23" s="77"/>
      <c r="H23" s="77"/>
      <c r="I23" s="83">
        <f>(Source!F409+Source!F410)/1000</f>
        <v>1991.08833</v>
      </c>
      <c r="J23" s="84"/>
      <c r="K23" s="10" t="s">
        <v>557</v>
      </c>
    </row>
    <row r="24" spans="1:22">
      <c r="F24" s="77" t="s">
        <v>562</v>
      </c>
      <c r="G24" s="77"/>
      <c r="H24" s="77"/>
      <c r="I24" s="83">
        <f>(Source!F405+ Source!F404)/1000</f>
        <v>487.46159999999998</v>
      </c>
      <c r="J24" s="84"/>
      <c r="K24" s="10" t="s">
        <v>557</v>
      </c>
    </row>
    <row r="25" spans="1:22">
      <c r="A25" s="10" t="s">
        <v>576</v>
      </c>
      <c r="D25" s="52"/>
      <c r="E25" s="16"/>
    </row>
    <row r="26" spans="1:22">
      <c r="A26" s="89" t="s">
        <v>563</v>
      </c>
      <c r="B26" s="89" t="s">
        <v>564</v>
      </c>
      <c r="C26" s="89" t="s">
        <v>565</v>
      </c>
      <c r="D26" s="89" t="s">
        <v>566</v>
      </c>
      <c r="E26" s="89" t="s">
        <v>567</v>
      </c>
      <c r="F26" s="89" t="s">
        <v>568</v>
      </c>
      <c r="G26" s="89" t="s">
        <v>569</v>
      </c>
      <c r="H26" s="89" t="s">
        <v>570</v>
      </c>
      <c r="I26" s="89" t="s">
        <v>571</v>
      </c>
      <c r="J26" s="89" t="s">
        <v>572</v>
      </c>
      <c r="K26" s="17" t="s">
        <v>573</v>
      </c>
    </row>
    <row r="27" spans="1:22" ht="28.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43" t="s">
        <v>574</v>
      </c>
    </row>
    <row r="28" spans="1:22" ht="28.5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43" t="s">
        <v>575</v>
      </c>
    </row>
    <row r="29" spans="1:22">
      <c r="A29" s="43">
        <v>1</v>
      </c>
      <c r="B29" s="43">
        <v>2</v>
      </c>
      <c r="C29" s="43">
        <v>3</v>
      </c>
      <c r="D29" s="46">
        <v>4</v>
      </c>
      <c r="E29" s="43">
        <v>5</v>
      </c>
      <c r="F29" s="43">
        <v>6</v>
      </c>
      <c r="G29" s="43">
        <v>7</v>
      </c>
      <c r="H29" s="43">
        <v>8</v>
      </c>
      <c r="I29" s="43">
        <v>9</v>
      </c>
      <c r="J29" s="43">
        <v>10</v>
      </c>
      <c r="K29" s="43">
        <v>11</v>
      </c>
    </row>
    <row r="31" spans="1:22" ht="28.5">
      <c r="A31" s="20" t="str">
        <f>Source!E28</f>
        <v>1</v>
      </c>
      <c r="B31" s="21" t="str">
        <f>Source!F28</f>
        <v>5.4-3203-7-1/1</v>
      </c>
      <c r="C31" s="21" t="str">
        <f>Source!G28</f>
        <v>Устройство корыта под цветники глубиной 40 см механизированным способом</v>
      </c>
      <c r="D31" s="22" t="str">
        <f>Source!H28</f>
        <v>100 м2</v>
      </c>
      <c r="E31" s="15">
        <f>Source!I28</f>
        <v>0.5625</v>
      </c>
      <c r="F31" s="24"/>
      <c r="G31" s="23"/>
      <c r="H31" s="15"/>
      <c r="I31" s="15"/>
      <c r="J31" s="29"/>
      <c r="K31" s="29"/>
      <c r="Q31" s="10">
        <f>ROUND((Source!BZ28/100)*ROUND((Source!AF28*Source!AV28)*Source!I28, 2), 2)</f>
        <v>2184.9499999999998</v>
      </c>
      <c r="R31" s="10">
        <f>Source!X28</f>
        <v>2184.9499999999998</v>
      </c>
      <c r="S31" s="10">
        <f>ROUND((Source!CA28/100)*ROUND((Source!AF28*Source!AV28)*Source!I28, 2), 2)</f>
        <v>312.14</v>
      </c>
      <c r="T31" s="10">
        <f>Source!Y28</f>
        <v>312.14</v>
      </c>
      <c r="U31" s="10">
        <f>ROUND((175/100)*ROUND((Source!AE28*Source!AV28)*Source!I28, 2), 2)</f>
        <v>812.32</v>
      </c>
      <c r="V31" s="10">
        <f>ROUND((108/100)*ROUND(Source!CS28*Source!I28, 2), 2)</f>
        <v>501.31</v>
      </c>
    </row>
    <row r="32" spans="1:22">
      <c r="C32" s="49" t="str">
        <f>"Объем: "&amp;Source!I28&amp;"=75*"&amp;"0,75/"&amp;"100"</f>
        <v>Объем: 0,5625=75*0,75/100</v>
      </c>
    </row>
    <row r="33" spans="1:22">
      <c r="A33" s="20"/>
      <c r="B33" s="21"/>
      <c r="C33" s="21" t="s">
        <v>577</v>
      </c>
      <c r="D33" s="22"/>
      <c r="E33" s="15"/>
      <c r="F33" s="24">
        <f>Source!AO28</f>
        <v>5549.06</v>
      </c>
      <c r="G33" s="23" t="str">
        <f>Source!DG28</f>
        <v/>
      </c>
      <c r="H33" s="15">
        <f>Source!AV28</f>
        <v>1</v>
      </c>
      <c r="I33" s="15">
        <f>IF(Source!BA28&lt;&gt; 0, Source!BA28, 1)</f>
        <v>1</v>
      </c>
      <c r="J33" s="29">
        <f>Source!S28</f>
        <v>3121.35</v>
      </c>
      <c r="K33" s="29"/>
    </row>
    <row r="34" spans="1:22">
      <c r="A34" s="20"/>
      <c r="B34" s="21"/>
      <c r="C34" s="21" t="s">
        <v>578</v>
      </c>
      <c r="D34" s="22"/>
      <c r="E34" s="15"/>
      <c r="F34" s="24">
        <f>Source!AM28</f>
        <v>1494.37</v>
      </c>
      <c r="G34" s="23" t="str">
        <f>Source!DE28</f>
        <v/>
      </c>
      <c r="H34" s="15">
        <f>Source!AV28</f>
        <v>1</v>
      </c>
      <c r="I34" s="15">
        <f>IF(Source!BB28&lt;&gt; 0, Source!BB28, 1)</f>
        <v>1</v>
      </c>
      <c r="J34" s="29">
        <f>Source!Q28</f>
        <v>840.58</v>
      </c>
      <c r="K34" s="29"/>
    </row>
    <row r="35" spans="1:22">
      <c r="A35" s="20"/>
      <c r="B35" s="21"/>
      <c r="C35" s="21" t="s">
        <v>579</v>
      </c>
      <c r="D35" s="22"/>
      <c r="E35" s="15"/>
      <c r="F35" s="24">
        <f>Source!AN28</f>
        <v>825.2</v>
      </c>
      <c r="G35" s="23" t="str">
        <f>Source!DF28</f>
        <v/>
      </c>
      <c r="H35" s="15">
        <f>Source!AV28</f>
        <v>1</v>
      </c>
      <c r="I35" s="15">
        <f>IF(Source!BS28&lt;&gt; 0, Source!BS28, 1)</f>
        <v>1</v>
      </c>
      <c r="J35" s="27">
        <f>Source!R28</f>
        <v>464.18</v>
      </c>
      <c r="K35" s="29"/>
    </row>
    <row r="36" spans="1:22">
      <c r="A36" s="20"/>
      <c r="B36" s="21"/>
      <c r="C36" s="21" t="s">
        <v>580</v>
      </c>
      <c r="D36" s="22" t="s">
        <v>581</v>
      </c>
      <c r="E36" s="15">
        <f>Source!AT28</f>
        <v>70</v>
      </c>
      <c r="F36" s="24"/>
      <c r="G36" s="23"/>
      <c r="H36" s="15"/>
      <c r="I36" s="15"/>
      <c r="J36" s="29">
        <f>SUM(R31:R35)</f>
        <v>2184.9499999999998</v>
      </c>
      <c r="K36" s="29"/>
    </row>
    <row r="37" spans="1:22">
      <c r="A37" s="20"/>
      <c r="B37" s="21"/>
      <c r="C37" s="21" t="s">
        <v>582</v>
      </c>
      <c r="D37" s="22" t="s">
        <v>581</v>
      </c>
      <c r="E37" s="15">
        <f>Source!AU28</f>
        <v>10</v>
      </c>
      <c r="F37" s="24"/>
      <c r="G37" s="23"/>
      <c r="H37" s="15"/>
      <c r="I37" s="15"/>
      <c r="J37" s="29">
        <f>SUM(T31:T36)</f>
        <v>312.14</v>
      </c>
      <c r="K37" s="29"/>
    </row>
    <row r="38" spans="1:22">
      <c r="A38" s="20"/>
      <c r="B38" s="21"/>
      <c r="C38" s="21" t="s">
        <v>583</v>
      </c>
      <c r="D38" s="22" t="s">
        <v>581</v>
      </c>
      <c r="E38" s="15">
        <f>108</f>
        <v>108</v>
      </c>
      <c r="F38" s="24"/>
      <c r="G38" s="23"/>
      <c r="H38" s="15"/>
      <c r="I38" s="15"/>
      <c r="J38" s="29">
        <f>SUM(V31:V37)</f>
        <v>501.31</v>
      </c>
      <c r="K38" s="29"/>
    </row>
    <row r="39" spans="1:22">
      <c r="A39" s="20"/>
      <c r="B39" s="21"/>
      <c r="C39" s="21" t="s">
        <v>584</v>
      </c>
      <c r="D39" s="22" t="s">
        <v>585</v>
      </c>
      <c r="E39" s="15">
        <f>Source!AQ28</f>
        <v>41.38</v>
      </c>
      <c r="F39" s="24"/>
      <c r="G39" s="23" t="str">
        <f>Source!DI28</f>
        <v/>
      </c>
      <c r="H39" s="15">
        <f>Source!AV28</f>
        <v>1</v>
      </c>
      <c r="I39" s="15"/>
      <c r="J39" s="29"/>
      <c r="K39" s="29">
        <f>Source!U28</f>
        <v>23.276250000000001</v>
      </c>
    </row>
    <row r="40" spans="1:22" ht="15">
      <c r="A40" s="50"/>
      <c r="B40" s="50"/>
      <c r="C40" s="50"/>
      <c r="D40" s="53"/>
      <c r="E40" s="50"/>
      <c r="F40" s="50"/>
      <c r="G40" s="50"/>
      <c r="H40" s="50"/>
      <c r="I40" s="91">
        <f>J33+J34+J36+J37+J38</f>
        <v>6960.33</v>
      </c>
      <c r="J40" s="91"/>
      <c r="K40" s="31">
        <f>IF(Source!I28&lt;&gt;0, ROUND(I40/Source!I28, 2), 0)</f>
        <v>12373.92</v>
      </c>
      <c r="P40" s="51">
        <f>I40</f>
        <v>6960.33</v>
      </c>
    </row>
    <row r="41" spans="1:22" ht="42.75">
      <c r="A41" s="20" t="str">
        <f>Source!E29</f>
        <v>2</v>
      </c>
      <c r="B41" s="21" t="str">
        <f>Source!F29</f>
        <v>5.4-3203-7-3/1</v>
      </c>
      <c r="C41" s="21" t="str">
        <f>Source!G29</f>
        <v>Добавлять или исключать на каждые 10 см изменения глубины корыта под цветники механизированным способом к поз. 4-3203-7-1</v>
      </c>
      <c r="D41" s="22" t="str">
        <f>Source!H29</f>
        <v>100 м2</v>
      </c>
      <c r="E41" s="15">
        <f>Source!I29</f>
        <v>-0.5625</v>
      </c>
      <c r="F41" s="24"/>
      <c r="G41" s="23"/>
      <c r="H41" s="15"/>
      <c r="I41" s="15"/>
      <c r="J41" s="29"/>
      <c r="K41" s="29"/>
      <c r="Q41" s="10">
        <f>ROUND((Source!BZ29/100)*ROUND((Source!AF29*Source!AV29)*Source!I29, 2), 2)</f>
        <v>-436.67</v>
      </c>
      <c r="R41" s="10">
        <f>Source!X29</f>
        <v>-436.67</v>
      </c>
      <c r="S41" s="10">
        <f>ROUND((Source!CA29/100)*ROUND((Source!AF29*Source!AV29)*Source!I29, 2), 2)</f>
        <v>-62.38</v>
      </c>
      <c r="T41" s="10">
        <f>Source!Y29</f>
        <v>-62.38</v>
      </c>
      <c r="U41" s="10">
        <f>ROUND((175/100)*ROUND((Source!AE29*Source!AV29)*Source!I29, 2), 2)</f>
        <v>-203.07</v>
      </c>
      <c r="V41" s="10">
        <f>ROUND((108/100)*ROUND(Source!CS29*Source!I29, 2), 2)</f>
        <v>-125.32</v>
      </c>
    </row>
    <row r="42" spans="1:22">
      <c r="C42" s="49" t="str">
        <f>"Объем: "&amp;Source!I29&amp;"=-"&amp;"75*"&amp;"0,75/"&amp;"100"</f>
        <v>Объем: -0,5625=-75*0,75/100</v>
      </c>
    </row>
    <row r="43" spans="1:22">
      <c r="A43" s="20"/>
      <c r="B43" s="21"/>
      <c r="C43" s="21" t="s">
        <v>577</v>
      </c>
      <c r="D43" s="22"/>
      <c r="E43" s="15"/>
      <c r="F43" s="24">
        <f>Source!AO29</f>
        <v>1109.01</v>
      </c>
      <c r="G43" s="23" t="str">
        <f>Source!DG29</f>
        <v/>
      </c>
      <c r="H43" s="15">
        <f>Source!AV29</f>
        <v>1</v>
      </c>
      <c r="I43" s="15">
        <f>IF(Source!BA29&lt;&gt; 0, Source!BA29, 1)</f>
        <v>1</v>
      </c>
      <c r="J43" s="29">
        <f>Source!S29</f>
        <v>-623.82000000000005</v>
      </c>
      <c r="K43" s="29"/>
    </row>
    <row r="44" spans="1:22">
      <c r="A44" s="20"/>
      <c r="B44" s="21"/>
      <c r="C44" s="21" t="s">
        <v>578</v>
      </c>
      <c r="D44" s="22"/>
      <c r="E44" s="15"/>
      <c r="F44" s="24">
        <f>Source!AM29</f>
        <v>373.59</v>
      </c>
      <c r="G44" s="23" t="str">
        <f>Source!DE29</f>
        <v/>
      </c>
      <c r="H44" s="15">
        <f>Source!AV29</f>
        <v>1</v>
      </c>
      <c r="I44" s="15">
        <f>IF(Source!BB29&lt;&gt; 0, Source!BB29, 1)</f>
        <v>1</v>
      </c>
      <c r="J44" s="29">
        <f>Source!Q29</f>
        <v>-210.14</v>
      </c>
      <c r="K44" s="29"/>
    </row>
    <row r="45" spans="1:22">
      <c r="A45" s="20"/>
      <c r="B45" s="21"/>
      <c r="C45" s="21" t="s">
        <v>579</v>
      </c>
      <c r="D45" s="22"/>
      <c r="E45" s="15"/>
      <c r="F45" s="24">
        <f>Source!AN29</f>
        <v>206.3</v>
      </c>
      <c r="G45" s="23" t="str">
        <f>Source!DF29</f>
        <v/>
      </c>
      <c r="H45" s="15">
        <f>Source!AV29</f>
        <v>1</v>
      </c>
      <c r="I45" s="15">
        <f>IF(Source!BS29&lt;&gt; 0, Source!BS29, 1)</f>
        <v>1</v>
      </c>
      <c r="J45" s="27">
        <f>Source!R29</f>
        <v>-116.04</v>
      </c>
      <c r="K45" s="29"/>
    </row>
    <row r="46" spans="1:22">
      <c r="A46" s="20"/>
      <c r="B46" s="21"/>
      <c r="C46" s="21" t="s">
        <v>580</v>
      </c>
      <c r="D46" s="22" t="s">
        <v>581</v>
      </c>
      <c r="E46" s="15">
        <f>Source!AT29</f>
        <v>70</v>
      </c>
      <c r="F46" s="24"/>
      <c r="G46" s="23"/>
      <c r="H46" s="15"/>
      <c r="I46" s="15"/>
      <c r="J46" s="29">
        <f>SUM(R41:R45)</f>
        <v>-436.67</v>
      </c>
      <c r="K46" s="29"/>
    </row>
    <row r="47" spans="1:22">
      <c r="A47" s="20"/>
      <c r="B47" s="21"/>
      <c r="C47" s="21" t="s">
        <v>582</v>
      </c>
      <c r="D47" s="22" t="s">
        <v>581</v>
      </c>
      <c r="E47" s="15">
        <f>Source!AU29</f>
        <v>10</v>
      </c>
      <c r="F47" s="24"/>
      <c r="G47" s="23"/>
      <c r="H47" s="15"/>
      <c r="I47" s="15"/>
      <c r="J47" s="29">
        <f>SUM(T41:T46)</f>
        <v>-62.38</v>
      </c>
      <c r="K47" s="29"/>
    </row>
    <row r="48" spans="1:22">
      <c r="A48" s="20"/>
      <c r="B48" s="21"/>
      <c r="C48" s="21" t="s">
        <v>583</v>
      </c>
      <c r="D48" s="22" t="s">
        <v>581</v>
      </c>
      <c r="E48" s="15">
        <f>108</f>
        <v>108</v>
      </c>
      <c r="F48" s="24"/>
      <c r="G48" s="23"/>
      <c r="H48" s="15"/>
      <c r="I48" s="15"/>
      <c r="J48" s="29">
        <f>SUM(V41:V47)</f>
        <v>-125.32</v>
      </c>
      <c r="K48" s="29"/>
    </row>
    <row r="49" spans="1:22">
      <c r="A49" s="20"/>
      <c r="B49" s="21"/>
      <c r="C49" s="21" t="s">
        <v>584</v>
      </c>
      <c r="D49" s="22" t="s">
        <v>585</v>
      </c>
      <c r="E49" s="15">
        <f>Source!AQ29</f>
        <v>8.27</v>
      </c>
      <c r="F49" s="24"/>
      <c r="G49" s="23" t="str">
        <f>Source!DI29</f>
        <v/>
      </c>
      <c r="H49" s="15">
        <f>Source!AV29</f>
        <v>1</v>
      </c>
      <c r="I49" s="15"/>
      <c r="J49" s="29"/>
      <c r="K49" s="29">
        <f>Source!U29</f>
        <v>-4.6518749999999995</v>
      </c>
    </row>
    <row r="50" spans="1:22" ht="15">
      <c r="A50" s="50"/>
      <c r="B50" s="50"/>
      <c r="C50" s="50"/>
      <c r="D50" s="53"/>
      <c r="E50" s="50"/>
      <c r="F50" s="50"/>
      <c r="G50" s="50"/>
      <c r="H50" s="50"/>
      <c r="I50" s="91">
        <f>J43+J44+J46+J47+J48</f>
        <v>-1458.3300000000002</v>
      </c>
      <c r="J50" s="91"/>
      <c r="K50" s="31">
        <f>IF(Source!I29&lt;&gt;0, ROUND(I50/Source!I29, 2), 0)</f>
        <v>2592.59</v>
      </c>
      <c r="P50" s="51">
        <f>I50</f>
        <v>-1458.3300000000002</v>
      </c>
    </row>
    <row r="51" spans="1:22" ht="28.5">
      <c r="A51" s="20" t="str">
        <f>Source!E30</f>
        <v>3</v>
      </c>
      <c r="B51" s="21" t="str">
        <f>Source!F30</f>
        <v>5.4-3203-7-2/1</v>
      </c>
      <c r="C51" s="21" t="str">
        <f>Source!G30</f>
        <v>Устройство корыта под цветники глубиной 40 см вручную</v>
      </c>
      <c r="D51" s="22" t="str">
        <f>Source!H30</f>
        <v>100 м2</v>
      </c>
      <c r="E51" s="15">
        <f>Source!I30</f>
        <v>0.1875</v>
      </c>
      <c r="F51" s="24"/>
      <c r="G51" s="23"/>
      <c r="H51" s="15"/>
      <c r="I51" s="15"/>
      <c r="J51" s="29"/>
      <c r="K51" s="29"/>
      <c r="Q51" s="10">
        <f>ROUND((Source!BZ30/100)*ROUND((Source!AF30*Source!AV30)*Source!I30, 2), 2)</f>
        <v>1775.42</v>
      </c>
      <c r="R51" s="10">
        <f>Source!X30</f>
        <v>1775.42</v>
      </c>
      <c r="S51" s="10">
        <f>ROUND((Source!CA30/100)*ROUND((Source!AF30*Source!AV30)*Source!I30, 2), 2)</f>
        <v>253.63</v>
      </c>
      <c r="T51" s="10">
        <f>Source!Y30</f>
        <v>253.63</v>
      </c>
      <c r="U51" s="10">
        <f>ROUND((175/100)*ROUND((Source!AE30*Source!AV30)*Source!I30, 2), 2)</f>
        <v>0</v>
      </c>
      <c r="V51" s="10">
        <f>ROUND((108/100)*ROUND(Source!CS30*Source!I30, 2), 2)</f>
        <v>0</v>
      </c>
    </row>
    <row r="52" spans="1:22">
      <c r="C52" s="49" t="str">
        <f>"Объем: "&amp;Source!I30&amp;"=75*"&amp;"0,25/"&amp;"100"</f>
        <v>Объем: 0,1875=75*0,25/100</v>
      </c>
    </row>
    <row r="53" spans="1:22">
      <c r="A53" s="20"/>
      <c r="B53" s="21"/>
      <c r="C53" s="21" t="s">
        <v>577</v>
      </c>
      <c r="D53" s="22"/>
      <c r="E53" s="15"/>
      <c r="F53" s="24">
        <f>Source!AO30</f>
        <v>13526.96</v>
      </c>
      <c r="G53" s="23" t="str">
        <f>Source!DG30</f>
        <v/>
      </c>
      <c r="H53" s="15">
        <f>Source!AV30</f>
        <v>1</v>
      </c>
      <c r="I53" s="15">
        <f>IF(Source!BA30&lt;&gt; 0, Source!BA30, 1)</f>
        <v>1</v>
      </c>
      <c r="J53" s="29">
        <f>Source!S30</f>
        <v>2536.31</v>
      </c>
      <c r="K53" s="29"/>
    </row>
    <row r="54" spans="1:22">
      <c r="A54" s="20"/>
      <c r="B54" s="21"/>
      <c r="C54" s="21" t="s">
        <v>580</v>
      </c>
      <c r="D54" s="22" t="s">
        <v>581</v>
      </c>
      <c r="E54" s="15">
        <f>Source!AT30</f>
        <v>70</v>
      </c>
      <c r="F54" s="24"/>
      <c r="G54" s="23"/>
      <c r="H54" s="15"/>
      <c r="I54" s="15"/>
      <c r="J54" s="29">
        <f>SUM(R51:R53)</f>
        <v>1775.42</v>
      </c>
      <c r="K54" s="29"/>
    </row>
    <row r="55" spans="1:22">
      <c r="A55" s="20"/>
      <c r="B55" s="21"/>
      <c r="C55" s="21" t="s">
        <v>582</v>
      </c>
      <c r="D55" s="22" t="s">
        <v>581</v>
      </c>
      <c r="E55" s="15">
        <f>Source!AU30</f>
        <v>10</v>
      </c>
      <c r="F55" s="24"/>
      <c r="G55" s="23"/>
      <c r="H55" s="15"/>
      <c r="I55" s="15"/>
      <c r="J55" s="29">
        <f>SUM(T51:T54)</f>
        <v>253.63</v>
      </c>
      <c r="K55" s="29"/>
    </row>
    <row r="56" spans="1:22">
      <c r="A56" s="20"/>
      <c r="B56" s="21"/>
      <c r="C56" s="21" t="s">
        <v>584</v>
      </c>
      <c r="D56" s="22" t="s">
        <v>585</v>
      </c>
      <c r="E56" s="15">
        <f>Source!AQ30</f>
        <v>85.94</v>
      </c>
      <c r="F56" s="24"/>
      <c r="G56" s="23" t="str">
        <f>Source!DI30</f>
        <v/>
      </c>
      <c r="H56" s="15">
        <f>Source!AV30</f>
        <v>1</v>
      </c>
      <c r="I56" s="15"/>
      <c r="J56" s="29"/>
      <c r="K56" s="29">
        <f>Source!U30</f>
        <v>16.11375</v>
      </c>
    </row>
    <row r="57" spans="1:22" ht="15">
      <c r="A57" s="50"/>
      <c r="B57" s="50"/>
      <c r="C57" s="50"/>
      <c r="D57" s="53"/>
      <c r="E57" s="50"/>
      <c r="F57" s="50"/>
      <c r="G57" s="50"/>
      <c r="H57" s="50"/>
      <c r="I57" s="91">
        <f>J53+J54+J55</f>
        <v>4565.3599999999997</v>
      </c>
      <c r="J57" s="91"/>
      <c r="K57" s="31">
        <f>IF(Source!I30&lt;&gt;0, ROUND(I57/Source!I30, 2), 0)</f>
        <v>24348.59</v>
      </c>
      <c r="P57" s="51">
        <f>I57</f>
        <v>4565.3599999999997</v>
      </c>
    </row>
    <row r="58" spans="1:22" ht="42.75">
      <c r="A58" s="20" t="str">
        <f>Source!E31</f>
        <v>4</v>
      </c>
      <c r="B58" s="21" t="str">
        <f>Source!F31</f>
        <v>5.4-3203-7-4/1</v>
      </c>
      <c r="C58" s="21" t="str">
        <f>Source!G31</f>
        <v>Добавлять или исключать на каждые 10 см изменения глубины корыта под цветники вручную к поз. 4-3203-7-2</v>
      </c>
      <c r="D58" s="22" t="str">
        <f>Source!H31</f>
        <v>100 м2</v>
      </c>
      <c r="E58" s="15">
        <f>Source!I31</f>
        <v>-0.1875</v>
      </c>
      <c r="F58" s="24"/>
      <c r="G58" s="23"/>
      <c r="H58" s="15"/>
      <c r="I58" s="15"/>
      <c r="J58" s="29"/>
      <c r="K58" s="29"/>
      <c r="Q58" s="10">
        <f>ROUND((Source!BZ31/100)*ROUND((Source!AF31*Source!AV31)*Source!I31, 2), 2)</f>
        <v>-443.75</v>
      </c>
      <c r="R58" s="10">
        <f>Source!X31</f>
        <v>-443.75</v>
      </c>
      <c r="S58" s="10">
        <f>ROUND((Source!CA31/100)*ROUND((Source!AF31*Source!AV31)*Source!I31, 2), 2)</f>
        <v>-63.39</v>
      </c>
      <c r="T58" s="10">
        <f>Source!Y31</f>
        <v>-63.39</v>
      </c>
      <c r="U58" s="10">
        <f>ROUND((175/100)*ROUND((Source!AE31*Source!AV31)*Source!I31, 2), 2)</f>
        <v>0</v>
      </c>
      <c r="V58" s="10">
        <f>ROUND((108/100)*ROUND(Source!CS31*Source!I31, 2), 2)</f>
        <v>0</v>
      </c>
    </row>
    <row r="59" spans="1:22">
      <c r="C59" s="49" t="str">
        <f>"Объем: "&amp;Source!I31&amp;"=-"&amp;"75*"&amp;"0,25/"&amp;"100"</f>
        <v>Объем: -0,1875=-75*0,25/100</v>
      </c>
    </row>
    <row r="60" spans="1:22">
      <c r="A60" s="20"/>
      <c r="B60" s="21"/>
      <c r="C60" s="21" t="s">
        <v>577</v>
      </c>
      <c r="D60" s="22"/>
      <c r="E60" s="15"/>
      <c r="F60" s="24">
        <f>Source!AO31</f>
        <v>3380.95</v>
      </c>
      <c r="G60" s="23" t="str">
        <f>Source!DG31</f>
        <v/>
      </c>
      <c r="H60" s="15">
        <f>Source!AV31</f>
        <v>1</v>
      </c>
      <c r="I60" s="15">
        <f>IF(Source!BA31&lt;&gt; 0, Source!BA31, 1)</f>
        <v>1</v>
      </c>
      <c r="J60" s="29">
        <f>Source!S31</f>
        <v>-633.92999999999995</v>
      </c>
      <c r="K60" s="29"/>
    </row>
    <row r="61" spans="1:22">
      <c r="A61" s="20"/>
      <c r="B61" s="21"/>
      <c r="C61" s="21" t="s">
        <v>580</v>
      </c>
      <c r="D61" s="22" t="s">
        <v>581</v>
      </c>
      <c r="E61" s="15">
        <f>Source!AT31</f>
        <v>70</v>
      </c>
      <c r="F61" s="24"/>
      <c r="G61" s="23"/>
      <c r="H61" s="15"/>
      <c r="I61" s="15"/>
      <c r="J61" s="29">
        <f>SUM(R58:R60)</f>
        <v>-443.75</v>
      </c>
      <c r="K61" s="29"/>
    </row>
    <row r="62" spans="1:22">
      <c r="A62" s="20"/>
      <c r="B62" s="21"/>
      <c r="C62" s="21" t="s">
        <v>582</v>
      </c>
      <c r="D62" s="22" t="s">
        <v>581</v>
      </c>
      <c r="E62" s="15">
        <f>Source!AU31</f>
        <v>10</v>
      </c>
      <c r="F62" s="24"/>
      <c r="G62" s="23"/>
      <c r="H62" s="15"/>
      <c r="I62" s="15"/>
      <c r="J62" s="29">
        <f>SUM(T58:T61)</f>
        <v>-63.39</v>
      </c>
      <c r="K62" s="29"/>
    </row>
    <row r="63" spans="1:22">
      <c r="A63" s="20"/>
      <c r="B63" s="21"/>
      <c r="C63" s="21" t="s">
        <v>584</v>
      </c>
      <c r="D63" s="22" t="s">
        <v>585</v>
      </c>
      <c r="E63" s="15">
        <f>Source!AQ31</f>
        <v>21.48</v>
      </c>
      <c r="F63" s="24"/>
      <c r="G63" s="23" t="str">
        <f>Source!DI31</f>
        <v/>
      </c>
      <c r="H63" s="15">
        <f>Source!AV31</f>
        <v>1</v>
      </c>
      <c r="I63" s="15"/>
      <c r="J63" s="29"/>
      <c r="K63" s="29">
        <f>Source!U31</f>
        <v>-4.0274999999999999</v>
      </c>
    </row>
    <row r="64" spans="1:22" ht="15">
      <c r="A64" s="50"/>
      <c r="B64" s="50"/>
      <c r="C64" s="50"/>
      <c r="D64" s="53"/>
      <c r="E64" s="50"/>
      <c r="F64" s="50"/>
      <c r="G64" s="50"/>
      <c r="H64" s="50"/>
      <c r="I64" s="91">
        <f>J60+J61+J62</f>
        <v>-1141.07</v>
      </c>
      <c r="J64" s="91"/>
      <c r="K64" s="31">
        <f>IF(Source!I31&lt;&gt;0, ROUND(I64/Source!I31, 2), 0)</f>
        <v>6085.71</v>
      </c>
      <c r="P64" s="51">
        <f>I64</f>
        <v>-1141.07</v>
      </c>
    </row>
    <row r="65" spans="1:22" ht="28.5">
      <c r="A65" s="20" t="str">
        <f>Source!E32</f>
        <v>5</v>
      </c>
      <c r="B65" s="21" t="str">
        <f>Source!F32</f>
        <v>5.4-3203-6-1/1</v>
      </c>
      <c r="C65" s="21" t="str">
        <f>Source!G32</f>
        <v>Подготовка почвы под цветники толщиной слоя насыпки 20 см</v>
      </c>
      <c r="D65" s="22" t="str">
        <f>Source!H32</f>
        <v>100 м2</v>
      </c>
      <c r="E65" s="15">
        <f>Source!I32</f>
        <v>0.75</v>
      </c>
      <c r="F65" s="24"/>
      <c r="G65" s="23"/>
      <c r="H65" s="15"/>
      <c r="I65" s="15"/>
      <c r="J65" s="29"/>
      <c r="K65" s="29"/>
      <c r="Q65" s="10">
        <f>ROUND((Source!BZ32/100)*ROUND((Source!AF32*Source!AV32)*Source!I32, 2), 2)</f>
        <v>5216.18</v>
      </c>
      <c r="R65" s="10">
        <f>Source!X32</f>
        <v>5216.18</v>
      </c>
      <c r="S65" s="10">
        <f>ROUND((Source!CA32/100)*ROUND((Source!AF32*Source!AV32)*Source!I32, 2), 2)</f>
        <v>745.17</v>
      </c>
      <c r="T65" s="10">
        <f>Source!Y32</f>
        <v>745.17</v>
      </c>
      <c r="U65" s="10">
        <f>ROUND((175/100)*ROUND((Source!AE32*Source!AV32)*Source!I32, 2), 2)</f>
        <v>0</v>
      </c>
      <c r="V65" s="10">
        <f>ROUND((108/100)*ROUND(Source!CS32*Source!I32, 2), 2)</f>
        <v>0</v>
      </c>
    </row>
    <row r="66" spans="1:22">
      <c r="C66" s="49" t="str">
        <f>"Объем: "&amp;Source!I32&amp;"=75/"&amp;"100"</f>
        <v>Объем: 0,75=75/100</v>
      </c>
    </row>
    <row r="67" spans="1:22">
      <c r="A67" s="20"/>
      <c r="B67" s="21"/>
      <c r="C67" s="21" t="s">
        <v>577</v>
      </c>
      <c r="D67" s="22"/>
      <c r="E67" s="15"/>
      <c r="F67" s="24">
        <f>Source!AO32</f>
        <v>9935.57</v>
      </c>
      <c r="G67" s="23" t="str">
        <f>Source!DG32</f>
        <v/>
      </c>
      <c r="H67" s="15">
        <f>Source!AV32</f>
        <v>1</v>
      </c>
      <c r="I67" s="15">
        <f>IF(Source!BA32&lt;&gt; 0, Source!BA32, 1)</f>
        <v>1</v>
      </c>
      <c r="J67" s="29">
        <f>Source!S32</f>
        <v>7451.68</v>
      </c>
      <c r="K67" s="29"/>
    </row>
    <row r="68" spans="1:22">
      <c r="A68" s="20"/>
      <c r="B68" s="21"/>
      <c r="C68" s="21" t="s">
        <v>586</v>
      </c>
      <c r="D68" s="22"/>
      <c r="E68" s="15"/>
      <c r="F68" s="24">
        <f>Source!AL32</f>
        <v>15073.4</v>
      </c>
      <c r="G68" s="23" t="str">
        <f>Source!DD32</f>
        <v/>
      </c>
      <c r="H68" s="15">
        <f>Source!AW32</f>
        <v>1</v>
      </c>
      <c r="I68" s="15">
        <f>IF(Source!BC32&lt;&gt; 0, Source!BC32, 1)</f>
        <v>1</v>
      </c>
      <c r="J68" s="29">
        <f>Source!P32</f>
        <v>11305.05</v>
      </c>
      <c r="K68" s="29"/>
    </row>
    <row r="69" spans="1:22">
      <c r="A69" s="20"/>
      <c r="B69" s="21"/>
      <c r="C69" s="21" t="s">
        <v>580</v>
      </c>
      <c r="D69" s="22" t="s">
        <v>581</v>
      </c>
      <c r="E69" s="15">
        <f>Source!AT32</f>
        <v>70</v>
      </c>
      <c r="F69" s="24"/>
      <c r="G69" s="23"/>
      <c r="H69" s="15"/>
      <c r="I69" s="15"/>
      <c r="J69" s="29">
        <f>SUM(R65:R68)</f>
        <v>5216.18</v>
      </c>
      <c r="K69" s="29"/>
    </row>
    <row r="70" spans="1:22">
      <c r="A70" s="20"/>
      <c r="B70" s="21"/>
      <c r="C70" s="21" t="s">
        <v>582</v>
      </c>
      <c r="D70" s="22" t="s">
        <v>581</v>
      </c>
      <c r="E70" s="15">
        <f>Source!AU32</f>
        <v>10</v>
      </c>
      <c r="F70" s="24"/>
      <c r="G70" s="23"/>
      <c r="H70" s="15"/>
      <c r="I70" s="15"/>
      <c r="J70" s="29">
        <f>SUM(T65:T69)</f>
        <v>745.17</v>
      </c>
      <c r="K70" s="29"/>
    </row>
    <row r="71" spans="1:22">
      <c r="A71" s="20"/>
      <c r="B71" s="21"/>
      <c r="C71" s="21" t="s">
        <v>584</v>
      </c>
      <c r="D71" s="22" t="s">
        <v>585</v>
      </c>
      <c r="E71" s="15">
        <f>Source!AQ32</f>
        <v>53.7</v>
      </c>
      <c r="F71" s="24"/>
      <c r="G71" s="23" t="str">
        <f>Source!DI32</f>
        <v/>
      </c>
      <c r="H71" s="15">
        <f>Source!AV32</f>
        <v>1</v>
      </c>
      <c r="I71" s="15"/>
      <c r="J71" s="29"/>
      <c r="K71" s="29">
        <f>Source!U32</f>
        <v>40.275000000000006</v>
      </c>
    </row>
    <row r="72" spans="1:22" ht="15">
      <c r="A72" s="50"/>
      <c r="B72" s="50"/>
      <c r="C72" s="50"/>
      <c r="D72" s="53"/>
      <c r="E72" s="50"/>
      <c r="F72" s="50"/>
      <c r="G72" s="50"/>
      <c r="H72" s="50"/>
      <c r="I72" s="91">
        <f>J67+J68+J69+J70</f>
        <v>24718.079999999998</v>
      </c>
      <c r="J72" s="91"/>
      <c r="K72" s="31">
        <f>IF(Source!I32&lt;&gt;0, ROUND(I72/Source!I32, 2), 0)</f>
        <v>32957.440000000002</v>
      </c>
      <c r="P72" s="51">
        <f>I72</f>
        <v>24718.079999999998</v>
      </c>
    </row>
    <row r="73" spans="1:22" ht="42.75">
      <c r="A73" s="20" t="str">
        <f>Source!E33</f>
        <v>6</v>
      </c>
      <c r="B73" s="21" t="str">
        <f>Source!F33</f>
        <v>5.4-3203-6-2/1</v>
      </c>
      <c r="C73" s="21" t="str">
        <f>Source!G33</f>
        <v>Добавлять или исключать на каждые 5 см изменения толщины слоя почвы под цветники к поз. 4-3203-6-1</v>
      </c>
      <c r="D73" s="22" t="str">
        <f>Source!H33</f>
        <v>100 м2</v>
      </c>
      <c r="E73" s="15">
        <f>Source!I33</f>
        <v>0.75</v>
      </c>
      <c r="F73" s="24"/>
      <c r="G73" s="23"/>
      <c r="H73" s="15"/>
      <c r="I73" s="15"/>
      <c r="J73" s="29"/>
      <c r="K73" s="29"/>
      <c r="Q73" s="10">
        <f>ROUND((Source!BZ33/100)*ROUND((Source!AF33*Source!AV33)*Source!I33, 2), 2)</f>
        <v>1210.31</v>
      </c>
      <c r="R73" s="10">
        <f>Source!X33</f>
        <v>1210.31</v>
      </c>
      <c r="S73" s="10">
        <f>ROUND((Source!CA33/100)*ROUND((Source!AF33*Source!AV33)*Source!I33, 2), 2)</f>
        <v>172.9</v>
      </c>
      <c r="T73" s="10">
        <f>Source!Y33</f>
        <v>172.9</v>
      </c>
      <c r="U73" s="10">
        <f>ROUND((175/100)*ROUND((Source!AE33*Source!AV33)*Source!I33, 2), 2)</f>
        <v>0</v>
      </c>
      <c r="V73" s="10">
        <f>ROUND((108/100)*ROUND(Source!CS33*Source!I33, 2), 2)</f>
        <v>0</v>
      </c>
    </row>
    <row r="74" spans="1:22">
      <c r="C74" s="49" t="str">
        <f>"Объем: "&amp;Source!I33&amp;"=75/"&amp;"100"</f>
        <v>Объем: 0,75=75/100</v>
      </c>
    </row>
    <row r="75" spans="1:22">
      <c r="A75" s="20"/>
      <c r="B75" s="21"/>
      <c r="C75" s="21" t="s">
        <v>577</v>
      </c>
      <c r="D75" s="22"/>
      <c r="E75" s="15"/>
      <c r="F75" s="24">
        <f>Source!AO33</f>
        <v>1152.67</v>
      </c>
      <c r="G75" s="23" t="str">
        <f>Source!DG33</f>
        <v>*2</v>
      </c>
      <c r="H75" s="15">
        <f>Source!AV33</f>
        <v>1</v>
      </c>
      <c r="I75" s="15">
        <f>IF(Source!BA33&lt;&gt; 0, Source!BA33, 1)</f>
        <v>1</v>
      </c>
      <c r="J75" s="29">
        <f>Source!S33</f>
        <v>1729.01</v>
      </c>
      <c r="K75" s="29"/>
    </row>
    <row r="76" spans="1:22">
      <c r="A76" s="20"/>
      <c r="B76" s="21"/>
      <c r="C76" s="21" t="s">
        <v>586</v>
      </c>
      <c r="D76" s="22"/>
      <c r="E76" s="15"/>
      <c r="F76" s="24">
        <f>Source!AL33</f>
        <v>3768.35</v>
      </c>
      <c r="G76" s="23" t="str">
        <f>Source!DD33</f>
        <v>*2</v>
      </c>
      <c r="H76" s="15">
        <f>Source!AW33</f>
        <v>1</v>
      </c>
      <c r="I76" s="15">
        <f>IF(Source!BC33&lt;&gt; 0, Source!BC33, 1)</f>
        <v>1</v>
      </c>
      <c r="J76" s="29">
        <f>Source!P33</f>
        <v>5652.53</v>
      </c>
      <c r="K76" s="29"/>
    </row>
    <row r="77" spans="1:22">
      <c r="A77" s="20"/>
      <c r="B77" s="21"/>
      <c r="C77" s="21" t="s">
        <v>580</v>
      </c>
      <c r="D77" s="22" t="s">
        <v>581</v>
      </c>
      <c r="E77" s="15">
        <f>Source!AT33</f>
        <v>70</v>
      </c>
      <c r="F77" s="24"/>
      <c r="G77" s="23"/>
      <c r="H77" s="15"/>
      <c r="I77" s="15"/>
      <c r="J77" s="29">
        <f>SUM(R73:R76)</f>
        <v>1210.31</v>
      </c>
      <c r="K77" s="29"/>
    </row>
    <row r="78" spans="1:22">
      <c r="A78" s="20"/>
      <c r="B78" s="21"/>
      <c r="C78" s="21" t="s">
        <v>582</v>
      </c>
      <c r="D78" s="22" t="s">
        <v>581</v>
      </c>
      <c r="E78" s="15">
        <f>Source!AU33</f>
        <v>10</v>
      </c>
      <c r="F78" s="24"/>
      <c r="G78" s="23"/>
      <c r="H78" s="15"/>
      <c r="I78" s="15"/>
      <c r="J78" s="29">
        <f>SUM(T73:T77)</f>
        <v>172.9</v>
      </c>
      <c r="K78" s="29"/>
    </row>
    <row r="79" spans="1:22">
      <c r="A79" s="20"/>
      <c r="B79" s="21"/>
      <c r="C79" s="21" t="s">
        <v>584</v>
      </c>
      <c r="D79" s="22" t="s">
        <v>585</v>
      </c>
      <c r="E79" s="15">
        <f>Source!AQ33</f>
        <v>6.23</v>
      </c>
      <c r="F79" s="24"/>
      <c r="G79" s="23" t="str">
        <f>Source!DI33</f>
        <v>*2</v>
      </c>
      <c r="H79" s="15">
        <f>Source!AV33</f>
        <v>1</v>
      </c>
      <c r="I79" s="15"/>
      <c r="J79" s="29"/>
      <c r="K79" s="29">
        <f>Source!U33</f>
        <v>9.3450000000000006</v>
      </c>
    </row>
    <row r="80" spans="1:22" ht="15">
      <c r="A80" s="50"/>
      <c r="B80" s="50"/>
      <c r="C80" s="50"/>
      <c r="D80" s="53"/>
      <c r="E80" s="50"/>
      <c r="F80" s="50"/>
      <c r="G80" s="50"/>
      <c r="H80" s="50"/>
      <c r="I80" s="91">
        <f>J75+J76+J77+J78</f>
        <v>8764.75</v>
      </c>
      <c r="J80" s="91"/>
      <c r="K80" s="31">
        <f>IF(Source!I33&lt;&gt;0, ROUND(I80/Source!I33, 2), 0)</f>
        <v>11686.33</v>
      </c>
      <c r="P80" s="51">
        <f>I80</f>
        <v>8764.75</v>
      </c>
    </row>
    <row r="81" spans="1:22" ht="28.5">
      <c r="A81" s="20" t="str">
        <f>Source!E34</f>
        <v>7</v>
      </c>
      <c r="B81" s="21" t="str">
        <f>Source!F34</f>
        <v>5.4-3203-8-1/1</v>
      </c>
      <c r="C81" s="21" t="str">
        <f>Source!G34</f>
        <v>Посадка многолетних цветников при густоте посадки 1,6 тыс.шт. цветов</v>
      </c>
      <c r="D81" s="22" t="str">
        <f>Source!H34</f>
        <v>100 м2</v>
      </c>
      <c r="E81" s="15">
        <f>Source!I34</f>
        <v>0.75</v>
      </c>
      <c r="F81" s="24"/>
      <c r="G81" s="23"/>
      <c r="H81" s="15"/>
      <c r="I81" s="15"/>
      <c r="J81" s="29"/>
      <c r="K81" s="29"/>
      <c r="Q81" s="10">
        <f>ROUND((Source!BZ34/100)*ROUND((Source!AF34*Source!AV34)*Source!I34, 2), 2)</f>
        <v>16129.5</v>
      </c>
      <c r="R81" s="10">
        <f>Source!X34</f>
        <v>16129.5</v>
      </c>
      <c r="S81" s="10">
        <f>ROUND((Source!CA34/100)*ROUND((Source!AF34*Source!AV34)*Source!I34, 2), 2)</f>
        <v>2304.21</v>
      </c>
      <c r="T81" s="10">
        <f>Source!Y34</f>
        <v>2304.21</v>
      </c>
      <c r="U81" s="10">
        <f>ROUND((175/100)*ROUND((Source!AE34*Source!AV34)*Source!I34, 2), 2)</f>
        <v>0</v>
      </c>
      <c r="V81" s="10">
        <f>ROUND((108/100)*ROUND(Source!CS34*Source!I34, 2), 2)</f>
        <v>0</v>
      </c>
    </row>
    <row r="82" spans="1:22">
      <c r="C82" s="49" t="str">
        <f>"Объем: "&amp;Source!I34&amp;"=75/"&amp;"100"</f>
        <v>Объем: 0,75=75/100</v>
      </c>
    </row>
    <row r="83" spans="1:22">
      <c r="A83" s="20"/>
      <c r="B83" s="21"/>
      <c r="C83" s="21" t="s">
        <v>577</v>
      </c>
      <c r="D83" s="22"/>
      <c r="E83" s="15"/>
      <c r="F83" s="24">
        <f>Source!AO34</f>
        <v>30722.85</v>
      </c>
      <c r="G83" s="23" t="str">
        <f>Source!DG34</f>
        <v/>
      </c>
      <c r="H83" s="15">
        <f>Source!AV34</f>
        <v>1</v>
      </c>
      <c r="I83" s="15">
        <f>IF(Source!BA34&lt;&gt; 0, Source!BA34, 1)</f>
        <v>1</v>
      </c>
      <c r="J83" s="29">
        <f>Source!S34</f>
        <v>23042.14</v>
      </c>
      <c r="K83" s="29"/>
    </row>
    <row r="84" spans="1:22">
      <c r="A84" s="20"/>
      <c r="B84" s="21"/>
      <c r="C84" s="21" t="s">
        <v>586</v>
      </c>
      <c r="D84" s="22"/>
      <c r="E84" s="15"/>
      <c r="F84" s="24">
        <f>Source!AL34</f>
        <v>3461.26</v>
      </c>
      <c r="G84" s="23" t="str">
        <f>Source!DD34</f>
        <v/>
      </c>
      <c r="H84" s="15">
        <f>Source!AW34</f>
        <v>1</v>
      </c>
      <c r="I84" s="15">
        <f>IF(Source!BC34&lt;&gt; 0, Source!BC34, 1)</f>
        <v>1</v>
      </c>
      <c r="J84" s="29">
        <f>Source!P34</f>
        <v>2595.9499999999998</v>
      </c>
      <c r="K84" s="29"/>
    </row>
    <row r="85" spans="1:22">
      <c r="A85" s="20" t="str">
        <f>Source!E35</f>
        <v>7,1</v>
      </c>
      <c r="B85" s="21" t="str">
        <f>Source!F35</f>
        <v>9763130000</v>
      </c>
      <c r="C85" s="21" t="str">
        <f>Source!G35</f>
        <v>Посадочный материал цветочных культур</v>
      </c>
      <c r="D85" s="22" t="str">
        <f>Source!H35</f>
        <v>шт.</v>
      </c>
      <c r="E85" s="15">
        <f>Source!I35</f>
        <v>1260</v>
      </c>
      <c r="F85" s="24">
        <f>Source!AK35</f>
        <v>0</v>
      </c>
      <c r="G85" s="32" t="s">
        <v>3</v>
      </c>
      <c r="H85" s="15">
        <f>Source!AW35</f>
        <v>1</v>
      </c>
      <c r="I85" s="15">
        <f>IF(Source!BC35&lt;&gt; 0, Source!BC35, 1)</f>
        <v>1</v>
      </c>
      <c r="J85" s="29">
        <f>Source!O35</f>
        <v>0</v>
      </c>
      <c r="K85" s="29"/>
      <c r="Q85" s="10">
        <f>ROUND((Source!BZ35/100)*ROUND((Source!AF35*Source!AV35)*Source!I35, 2), 2)</f>
        <v>0</v>
      </c>
      <c r="R85" s="10">
        <f>Source!X35</f>
        <v>0</v>
      </c>
      <c r="S85" s="10">
        <f>ROUND((Source!CA35/100)*ROUND((Source!AF35*Source!AV35)*Source!I35, 2), 2)</f>
        <v>0</v>
      </c>
      <c r="T85" s="10">
        <f>Source!Y35</f>
        <v>0</v>
      </c>
      <c r="U85" s="10">
        <f>ROUND((175/100)*ROUND((Source!AE35*Source!AV35)*Source!I35, 2), 2)</f>
        <v>0</v>
      </c>
      <c r="V85" s="10">
        <f>ROUND((108/100)*ROUND(Source!CS35*Source!I35, 2), 2)</f>
        <v>0</v>
      </c>
    </row>
    <row r="86" spans="1:22" ht="28.5">
      <c r="A86" s="20" t="str">
        <f>Source!E36</f>
        <v>7,2</v>
      </c>
      <c r="B86" s="21" t="str">
        <f>Source!F36</f>
        <v>21.4-3-218</v>
      </c>
      <c r="C86" s="21" t="str">
        <f>Source!G36</f>
        <v>Посадочный материал многолетних культур: котовник фассена, С3</v>
      </c>
      <c r="D86" s="22" t="str">
        <f>Source!H36</f>
        <v>шт.</v>
      </c>
      <c r="E86" s="15">
        <f>Source!I36</f>
        <v>315</v>
      </c>
      <c r="F86" s="24">
        <f>Source!AK36</f>
        <v>189</v>
      </c>
      <c r="G86" s="32" t="s">
        <v>3</v>
      </c>
      <c r="H86" s="15">
        <f>Source!AW36</f>
        <v>1</v>
      </c>
      <c r="I86" s="15">
        <f>IF(Source!BC36&lt;&gt; 0, Source!BC36, 1)</f>
        <v>1</v>
      </c>
      <c r="J86" s="29">
        <f>Source!O36</f>
        <v>59535</v>
      </c>
      <c r="K86" s="29"/>
      <c r="Q86" s="10">
        <f>ROUND((Source!BZ36/100)*ROUND((Source!AF36*Source!AV36)*Source!I36, 2), 2)</f>
        <v>0</v>
      </c>
      <c r="R86" s="10">
        <f>Source!X36</f>
        <v>0</v>
      </c>
      <c r="S86" s="10">
        <f>ROUND((Source!CA36/100)*ROUND((Source!AF36*Source!AV36)*Source!I36, 2), 2)</f>
        <v>0</v>
      </c>
      <c r="T86" s="10">
        <f>Source!Y36</f>
        <v>0</v>
      </c>
      <c r="U86" s="10">
        <f>ROUND((175/100)*ROUND((Source!AE36*Source!AV36)*Source!I36, 2), 2)</f>
        <v>0</v>
      </c>
      <c r="V86" s="10">
        <f>ROUND((108/100)*ROUND(Source!CS36*Source!I36, 2), 2)</f>
        <v>0</v>
      </c>
    </row>
    <row r="87" spans="1:22" ht="28.5">
      <c r="A87" s="20" t="str">
        <f>Source!E37</f>
        <v>7,3</v>
      </c>
      <c r="B87" s="21" t="str">
        <f>Source!F37</f>
        <v>коммерческое предложение</v>
      </c>
      <c r="C87" s="21" t="str">
        <f>Source!G37</f>
        <v>Посадочный материал многолетних культур: гейхера в ассортименте</v>
      </c>
      <c r="D87" s="22" t="str">
        <f>Source!H37</f>
        <v>шт.</v>
      </c>
      <c r="E87" s="15">
        <f>Source!I37</f>
        <v>480</v>
      </c>
      <c r="F87" s="24">
        <f>Source!AK37</f>
        <v>124.17</v>
      </c>
      <c r="G87" s="32" t="s">
        <v>3</v>
      </c>
      <c r="H87" s="15">
        <f>Source!AW37</f>
        <v>1</v>
      </c>
      <c r="I87" s="15">
        <f>IF(Source!BC37&lt;&gt; 0, Source!BC37, 1)</f>
        <v>1</v>
      </c>
      <c r="J87" s="29">
        <f>Source!O37</f>
        <v>59601.599999999999</v>
      </c>
      <c r="K87" s="29"/>
      <c r="Q87" s="10">
        <f>ROUND((Source!BZ37/100)*ROUND((Source!AF37*Source!AV37)*Source!I37, 2), 2)</f>
        <v>0</v>
      </c>
      <c r="R87" s="10">
        <f>Source!X37</f>
        <v>0</v>
      </c>
      <c r="S87" s="10">
        <f>ROUND((Source!CA37/100)*ROUND((Source!AF37*Source!AV37)*Source!I37, 2), 2)</f>
        <v>0</v>
      </c>
      <c r="T87" s="10">
        <f>Source!Y37</f>
        <v>0</v>
      </c>
      <c r="U87" s="10">
        <f>ROUND((175/100)*ROUND((Source!AE37*Source!AV37)*Source!I37, 2), 2)</f>
        <v>0</v>
      </c>
      <c r="V87" s="10">
        <f>ROUND((108/100)*ROUND(Source!CS37*Source!I37, 2), 2)</f>
        <v>0</v>
      </c>
    </row>
    <row r="88" spans="1:22">
      <c r="A88" s="20"/>
      <c r="B88" s="21"/>
      <c r="C88" s="21" t="s">
        <v>580</v>
      </c>
      <c r="D88" s="22" t="s">
        <v>581</v>
      </c>
      <c r="E88" s="15">
        <f>Source!AT34</f>
        <v>70</v>
      </c>
      <c r="F88" s="24"/>
      <c r="G88" s="23"/>
      <c r="H88" s="15"/>
      <c r="I88" s="15"/>
      <c r="J88" s="29">
        <f>SUM(R81:R87)</f>
        <v>16129.5</v>
      </c>
      <c r="K88" s="29"/>
    </row>
    <row r="89" spans="1:22">
      <c r="A89" s="20"/>
      <c r="B89" s="21"/>
      <c r="C89" s="21" t="s">
        <v>582</v>
      </c>
      <c r="D89" s="22" t="s">
        <v>581</v>
      </c>
      <c r="E89" s="15">
        <f>Source!AU34</f>
        <v>10</v>
      </c>
      <c r="F89" s="24"/>
      <c r="G89" s="23"/>
      <c r="H89" s="15"/>
      <c r="I89" s="15"/>
      <c r="J89" s="29">
        <f>SUM(T81:T88)</f>
        <v>2304.21</v>
      </c>
      <c r="K89" s="29"/>
    </row>
    <row r="90" spans="1:22">
      <c r="A90" s="20"/>
      <c r="B90" s="21"/>
      <c r="C90" s="21" t="s">
        <v>584</v>
      </c>
      <c r="D90" s="22" t="s">
        <v>585</v>
      </c>
      <c r="E90" s="15">
        <f>Source!AQ34</f>
        <v>155.26</v>
      </c>
      <c r="F90" s="24"/>
      <c r="G90" s="23" t="str">
        <f>Source!DI34</f>
        <v/>
      </c>
      <c r="H90" s="15">
        <f>Source!AV34</f>
        <v>1</v>
      </c>
      <c r="I90" s="15"/>
      <c r="J90" s="29"/>
      <c r="K90" s="29">
        <f>Source!U34</f>
        <v>116.44499999999999</v>
      </c>
    </row>
    <row r="91" spans="1:22" ht="15">
      <c r="A91" s="50"/>
      <c r="B91" s="50"/>
      <c r="C91" s="50"/>
      <c r="D91" s="53"/>
      <c r="E91" s="50"/>
      <c r="F91" s="50"/>
      <c r="G91" s="50"/>
      <c r="H91" s="50"/>
      <c r="I91" s="91">
        <f>J83+J84+J88+J89+SUM(J85:J87)</f>
        <v>163208.4</v>
      </c>
      <c r="J91" s="91"/>
      <c r="K91" s="31">
        <f>IF(Source!I34&lt;&gt;0, ROUND(I91/Source!I34, 2), 0)</f>
        <v>217611.2</v>
      </c>
      <c r="P91" s="51">
        <f>I91</f>
        <v>163208.4</v>
      </c>
    </row>
    <row r="92" spans="1:22" ht="28.5">
      <c r="A92" s="20" t="str">
        <f>Source!E38</f>
        <v>8</v>
      </c>
      <c r="B92" s="21" t="str">
        <f>Source!F38</f>
        <v>5.4-3203-8-2/1</v>
      </c>
      <c r="C92" s="21" t="str">
        <f>Source!G38</f>
        <v>Добавлять или исключать на каждые 1000 шт. высаживаемых цветов к поз. 4-3203-8-1</v>
      </c>
      <c r="D92" s="22" t="str">
        <f>Source!H38</f>
        <v>100 м2</v>
      </c>
      <c r="E92" s="15">
        <f>Source!I38</f>
        <v>-0.75</v>
      </c>
      <c r="F92" s="24"/>
      <c r="G92" s="23"/>
      <c r="H92" s="15"/>
      <c r="I92" s="15"/>
      <c r="J92" s="29"/>
      <c r="K92" s="29"/>
      <c r="Q92" s="10">
        <f>ROUND((Source!BZ38/100)*ROUND((Source!AF38*Source!AV38)*Source!I38, 2), 2)</f>
        <v>-357.52</v>
      </c>
      <c r="R92" s="10">
        <f>Source!X38</f>
        <v>-357.52</v>
      </c>
      <c r="S92" s="10">
        <f>ROUND((Source!CA38/100)*ROUND((Source!AF38*Source!AV38)*Source!I38, 2), 2)</f>
        <v>-51.07</v>
      </c>
      <c r="T92" s="10">
        <f>Source!Y38</f>
        <v>-51.07</v>
      </c>
      <c r="U92" s="10">
        <f>ROUND((175/100)*ROUND((Source!AE38*Source!AV38)*Source!I38, 2), 2)</f>
        <v>0</v>
      </c>
      <c r="V92" s="10">
        <f>ROUND((108/100)*ROUND(Source!CS38*Source!I38, 2), 2)</f>
        <v>0</v>
      </c>
    </row>
    <row r="93" spans="1:22">
      <c r="C93" s="49" t="str">
        <f>"Объем: "&amp;Source!I38&amp;"=-"&amp;"75/"&amp;"100"</f>
        <v>Объем: -0,75=-75/100</v>
      </c>
    </row>
    <row r="94" spans="1:22">
      <c r="A94" s="20"/>
      <c r="B94" s="21"/>
      <c r="C94" s="21" t="s">
        <v>577</v>
      </c>
      <c r="D94" s="22"/>
      <c r="E94" s="15"/>
      <c r="F94" s="24">
        <f>Source!AO38</f>
        <v>1153.28</v>
      </c>
      <c r="G94" s="23" t="str">
        <f>Source!DG38</f>
        <v>*0,59047619</v>
      </c>
      <c r="H94" s="15">
        <f>Source!AV38</f>
        <v>1</v>
      </c>
      <c r="I94" s="15">
        <f>IF(Source!BA38&lt;&gt; 0, Source!BA38, 1)</f>
        <v>1</v>
      </c>
      <c r="J94" s="29">
        <f>Source!S38</f>
        <v>-510.74</v>
      </c>
      <c r="K94" s="29"/>
    </row>
    <row r="95" spans="1:22">
      <c r="A95" s="20"/>
      <c r="B95" s="21"/>
      <c r="C95" s="21" t="s">
        <v>586</v>
      </c>
      <c r="D95" s="22"/>
      <c r="E95" s="15"/>
      <c r="F95" s="24">
        <f>Source!AL38</f>
        <v>121.1</v>
      </c>
      <c r="G95" s="23" t="str">
        <f>Source!DD38</f>
        <v>*0,59047619</v>
      </c>
      <c r="H95" s="15">
        <f>Source!AW38</f>
        <v>1</v>
      </c>
      <c r="I95" s="15">
        <f>IF(Source!BC38&lt;&gt; 0, Source!BC38, 1)</f>
        <v>1</v>
      </c>
      <c r="J95" s="29">
        <f>Source!P38</f>
        <v>-53.63</v>
      </c>
      <c r="K95" s="29"/>
    </row>
    <row r="96" spans="1:22" ht="28.5">
      <c r="A96" s="20" t="str">
        <f>Source!E39</f>
        <v>8,1</v>
      </c>
      <c r="B96" s="21" t="str">
        <f>Source!F39</f>
        <v>9763130000</v>
      </c>
      <c r="C96" s="21" t="str">
        <f>Source!G39</f>
        <v>Посадочный материал цветочных культур</v>
      </c>
      <c r="D96" s="22" t="str">
        <f>Source!H39</f>
        <v>шт.</v>
      </c>
      <c r="E96" s="15">
        <f>Source!I39</f>
        <v>-465</v>
      </c>
      <c r="F96" s="24">
        <f>Source!AK39</f>
        <v>0</v>
      </c>
      <c r="G96" s="32" t="s">
        <v>587</v>
      </c>
      <c r="H96" s="15">
        <f>Source!AW39</f>
        <v>1</v>
      </c>
      <c r="I96" s="15">
        <f>IF(Source!BC39&lt;&gt; 0, Source!BC39, 1)</f>
        <v>1</v>
      </c>
      <c r="J96" s="29">
        <f>Source!O39</f>
        <v>0</v>
      </c>
      <c r="K96" s="29"/>
      <c r="Q96" s="10">
        <f>ROUND((Source!BZ39/100)*ROUND((Source!AF39*Source!AV39)*Source!I39, 2), 2)</f>
        <v>0</v>
      </c>
      <c r="R96" s="10">
        <f>Source!X39</f>
        <v>0</v>
      </c>
      <c r="S96" s="10">
        <f>ROUND((Source!CA39/100)*ROUND((Source!AF39*Source!AV39)*Source!I39, 2), 2)</f>
        <v>0</v>
      </c>
      <c r="T96" s="10">
        <f>Source!Y39</f>
        <v>0</v>
      </c>
      <c r="U96" s="10">
        <f>ROUND((175/100)*ROUND((Source!AE39*Source!AV39)*Source!I39, 2), 2)</f>
        <v>0</v>
      </c>
      <c r="V96" s="10">
        <f>ROUND((108/100)*ROUND(Source!CS39*Source!I39, 2), 2)</f>
        <v>0</v>
      </c>
    </row>
    <row r="97" spans="1:22">
      <c r="A97" s="20"/>
      <c r="B97" s="21"/>
      <c r="C97" s="21" t="s">
        <v>580</v>
      </c>
      <c r="D97" s="22" t="s">
        <v>581</v>
      </c>
      <c r="E97" s="15">
        <f>Source!AT38</f>
        <v>70</v>
      </c>
      <c r="F97" s="24"/>
      <c r="G97" s="23"/>
      <c r="H97" s="15"/>
      <c r="I97" s="15"/>
      <c r="J97" s="29">
        <f>SUM(R92:R96)</f>
        <v>-357.52</v>
      </c>
      <c r="K97" s="29"/>
    </row>
    <row r="98" spans="1:22">
      <c r="A98" s="20"/>
      <c r="B98" s="21"/>
      <c r="C98" s="21" t="s">
        <v>582</v>
      </c>
      <c r="D98" s="22" t="s">
        <v>581</v>
      </c>
      <c r="E98" s="15">
        <f>Source!AU38</f>
        <v>10</v>
      </c>
      <c r="F98" s="24"/>
      <c r="G98" s="23"/>
      <c r="H98" s="15"/>
      <c r="I98" s="15"/>
      <c r="J98" s="29">
        <f>SUM(T92:T97)</f>
        <v>-51.07</v>
      </c>
      <c r="K98" s="29"/>
    </row>
    <row r="99" spans="1:22">
      <c r="A99" s="20"/>
      <c r="B99" s="21"/>
      <c r="C99" s="21" t="s">
        <v>584</v>
      </c>
      <c r="D99" s="22" t="s">
        <v>585</v>
      </c>
      <c r="E99" s="15">
        <f>Source!AQ38</f>
        <v>7.91</v>
      </c>
      <c r="F99" s="24"/>
      <c r="G99" s="23" t="str">
        <f>Source!DI38</f>
        <v>*0,59047619</v>
      </c>
      <c r="H99" s="15">
        <f>Source!AV38</f>
        <v>1</v>
      </c>
      <c r="I99" s="15"/>
      <c r="J99" s="29"/>
      <c r="K99" s="29">
        <f>Source!U38</f>
        <v>-3.5029999971749994</v>
      </c>
    </row>
    <row r="100" spans="1:22" ht="15">
      <c r="A100" s="50"/>
      <c r="B100" s="50"/>
      <c r="C100" s="50"/>
      <c r="D100" s="53"/>
      <c r="E100" s="50"/>
      <c r="F100" s="50"/>
      <c r="G100" s="50"/>
      <c r="H100" s="50"/>
      <c r="I100" s="91">
        <f>J94+J95+J97+J98+SUM(J96:J96)</f>
        <v>-972.96</v>
      </c>
      <c r="J100" s="91"/>
      <c r="K100" s="31">
        <f>IF(Source!I38&lt;&gt;0, ROUND(I100/Source!I38, 2), 0)</f>
        <v>1297.28</v>
      </c>
      <c r="P100" s="51">
        <f>I100</f>
        <v>-972.96</v>
      </c>
    </row>
    <row r="101" spans="1:22" hidden="1"/>
    <row r="102" spans="1:22" ht="15" hidden="1">
      <c r="A102" s="95" t="str">
        <f>CONCATENATE("Итого по разделу: ",IF(Source!G41&lt;&gt;"Новый раздел", Source!G41, ""))</f>
        <v>Итого по разделу: Устройство цветника - 75м2</v>
      </c>
      <c r="B102" s="95"/>
      <c r="C102" s="95"/>
      <c r="D102" s="95"/>
      <c r="E102" s="95"/>
      <c r="F102" s="95"/>
      <c r="G102" s="95"/>
      <c r="H102" s="95"/>
      <c r="I102" s="93">
        <f>SUM(P31:P101)</f>
        <v>204644.56</v>
      </c>
      <c r="J102" s="94"/>
      <c r="K102" s="33"/>
    </row>
    <row r="103" spans="1:22" hidden="1"/>
    <row r="104" spans="1:22" hidden="1">
      <c r="C104" s="88" t="str">
        <f>Source!H69</f>
        <v>Итого</v>
      </c>
      <c r="D104" s="88"/>
      <c r="E104" s="88"/>
      <c r="F104" s="88"/>
      <c r="G104" s="88"/>
      <c r="H104" s="88"/>
      <c r="I104" s="92">
        <f>IF(Source!F69=0, "", Source!F69)</f>
        <v>204644.56</v>
      </c>
      <c r="J104" s="92"/>
    </row>
    <row r="105" spans="1:22" hidden="1">
      <c r="C105" s="88" t="str">
        <f>Source!H70</f>
        <v>НДС 20%</v>
      </c>
      <c r="D105" s="88"/>
      <c r="E105" s="88"/>
      <c r="F105" s="88"/>
      <c r="G105" s="88"/>
      <c r="H105" s="88"/>
      <c r="I105" s="92">
        <f>IF(Source!F70=0, "", Source!F70)</f>
        <v>40928.910000000003</v>
      </c>
      <c r="J105" s="92"/>
    </row>
    <row r="106" spans="1:22" hidden="1">
      <c r="C106" s="88" t="str">
        <f>Source!H71</f>
        <v>Всего с НДС</v>
      </c>
      <c r="D106" s="88"/>
      <c r="E106" s="88"/>
      <c r="F106" s="88"/>
      <c r="G106" s="88"/>
      <c r="H106" s="88"/>
      <c r="I106" s="92">
        <f>IF(Source!F71=0, "", Source!F71)</f>
        <v>245573.47</v>
      </c>
      <c r="J106" s="92"/>
    </row>
    <row r="107" spans="1:22" hidden="1"/>
    <row r="108" spans="1:22" ht="15" hidden="1">
      <c r="A108" s="80" t="str">
        <f>CONCATENATE("Раздел: ",IF(Source!G73&lt;&gt;"Новый раздел", Source!G73, ""))</f>
        <v>Раздел: Посадка кустарников - 229шт.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1:22" ht="71.25">
      <c r="A109" s="20" t="str">
        <f>Source!E77</f>
        <v>9</v>
      </c>
      <c r="B109" s="21" t="str">
        <f>Source!F77</f>
        <v>5.4-3103-1-10/1</v>
      </c>
      <c r="C109" s="21" t="str">
        <f>Source!G77</f>
        <v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100%</v>
      </c>
      <c r="D109" s="22" t="str">
        <f>Source!H77</f>
        <v>10 ям</v>
      </c>
      <c r="E109" s="15">
        <f>Source!I77</f>
        <v>9.16</v>
      </c>
      <c r="F109" s="24"/>
      <c r="G109" s="23"/>
      <c r="H109" s="15"/>
      <c r="I109" s="15"/>
      <c r="J109" s="29"/>
      <c r="K109" s="29"/>
      <c r="Q109" s="10">
        <f>ROUND((Source!BZ77/100)*ROUND((Source!AF77*Source!AV77)*Source!I77, 2), 2)</f>
        <v>12046.22</v>
      </c>
      <c r="R109" s="10">
        <f>Source!X77</f>
        <v>12046.22</v>
      </c>
      <c r="S109" s="10">
        <f>ROUND((Source!CA77/100)*ROUND((Source!AF77*Source!AV77)*Source!I77, 2), 2)</f>
        <v>1720.89</v>
      </c>
      <c r="T109" s="10">
        <f>Source!Y77</f>
        <v>1720.89</v>
      </c>
      <c r="U109" s="10">
        <f>ROUND((175/100)*ROUND((Source!AE77*Source!AV77)*Source!I77, 2), 2)</f>
        <v>1494.33</v>
      </c>
      <c r="V109" s="10">
        <f>ROUND((108/100)*ROUND(Source!CS77*Source!I77, 2), 2)</f>
        <v>922.21</v>
      </c>
    </row>
    <row r="110" spans="1:22">
      <c r="C110" s="49" t="str">
        <f>"Объем: "&amp;Source!I77&amp;"=(229*"&amp;"0,4)/"&amp;"10"</f>
        <v>Объем: 9,16=(229*0,4)/10</v>
      </c>
    </row>
    <row r="111" spans="1:22">
      <c r="A111" s="20"/>
      <c r="B111" s="21"/>
      <c r="C111" s="21" t="s">
        <v>577</v>
      </c>
      <c r="D111" s="22"/>
      <c r="E111" s="15"/>
      <c r="F111" s="24">
        <f>Source!AO77</f>
        <v>1878.7</v>
      </c>
      <c r="G111" s="23" t="str">
        <f>Source!DG77</f>
        <v/>
      </c>
      <c r="H111" s="15">
        <f>Source!AV77</f>
        <v>1</v>
      </c>
      <c r="I111" s="15">
        <f>IF(Source!BA77&lt;&gt; 0, Source!BA77, 1)</f>
        <v>1</v>
      </c>
      <c r="J111" s="29">
        <f>Source!S77</f>
        <v>17208.89</v>
      </c>
      <c r="K111" s="29"/>
    </row>
    <row r="112" spans="1:22">
      <c r="A112" s="20"/>
      <c r="B112" s="21"/>
      <c r="C112" s="21" t="s">
        <v>578</v>
      </c>
      <c r="D112" s="22"/>
      <c r="E112" s="15"/>
      <c r="F112" s="24">
        <f>Source!AM77</f>
        <v>254.87</v>
      </c>
      <c r="G112" s="23" t="str">
        <f>Source!DE77</f>
        <v/>
      </c>
      <c r="H112" s="15">
        <f>Source!AV77</f>
        <v>1</v>
      </c>
      <c r="I112" s="15">
        <f>IF(Source!BB77&lt;&gt; 0, Source!BB77, 1)</f>
        <v>1</v>
      </c>
      <c r="J112" s="29">
        <f>Source!Q77</f>
        <v>2334.61</v>
      </c>
      <c r="K112" s="29"/>
    </row>
    <row r="113" spans="1:22">
      <c r="A113" s="20"/>
      <c r="B113" s="21"/>
      <c r="C113" s="21" t="s">
        <v>579</v>
      </c>
      <c r="D113" s="22"/>
      <c r="E113" s="15"/>
      <c r="F113" s="24">
        <f>Source!AN77</f>
        <v>93.22</v>
      </c>
      <c r="G113" s="23" t="str">
        <f>Source!DF77</f>
        <v/>
      </c>
      <c r="H113" s="15">
        <f>Source!AV77</f>
        <v>1</v>
      </c>
      <c r="I113" s="15">
        <f>IF(Source!BS77&lt;&gt; 0, Source!BS77, 1)</f>
        <v>1</v>
      </c>
      <c r="J113" s="27">
        <f>Source!R77</f>
        <v>853.9</v>
      </c>
      <c r="K113" s="29"/>
    </row>
    <row r="114" spans="1:22">
      <c r="A114" s="20"/>
      <c r="B114" s="21"/>
      <c r="C114" s="21" t="s">
        <v>586</v>
      </c>
      <c r="D114" s="22"/>
      <c r="E114" s="15"/>
      <c r="F114" s="24">
        <f>Source!AL77</f>
        <v>2074.5700000000002</v>
      </c>
      <c r="G114" s="23" t="str">
        <f>Source!DD77</f>
        <v/>
      </c>
      <c r="H114" s="15">
        <f>Source!AW77</f>
        <v>1</v>
      </c>
      <c r="I114" s="15">
        <f>IF(Source!BC77&lt;&gt; 0, Source!BC77, 1)</f>
        <v>1</v>
      </c>
      <c r="J114" s="29">
        <f>Source!P77</f>
        <v>19003.060000000001</v>
      </c>
      <c r="K114" s="29"/>
    </row>
    <row r="115" spans="1:22">
      <c r="A115" s="20"/>
      <c r="B115" s="21"/>
      <c r="C115" s="21" t="s">
        <v>580</v>
      </c>
      <c r="D115" s="22" t="s">
        <v>581</v>
      </c>
      <c r="E115" s="15">
        <f>Source!AT77</f>
        <v>70</v>
      </c>
      <c r="F115" s="24"/>
      <c r="G115" s="23"/>
      <c r="H115" s="15"/>
      <c r="I115" s="15"/>
      <c r="J115" s="29">
        <f>SUM(R109:R114)</f>
        <v>12046.22</v>
      </c>
      <c r="K115" s="29"/>
    </row>
    <row r="116" spans="1:22">
      <c r="A116" s="20"/>
      <c r="B116" s="21"/>
      <c r="C116" s="21" t="s">
        <v>582</v>
      </c>
      <c r="D116" s="22" t="s">
        <v>581</v>
      </c>
      <c r="E116" s="15">
        <f>Source!AU77</f>
        <v>10</v>
      </c>
      <c r="F116" s="24"/>
      <c r="G116" s="23"/>
      <c r="H116" s="15"/>
      <c r="I116" s="15"/>
      <c r="J116" s="29">
        <f>SUM(T109:T115)</f>
        <v>1720.89</v>
      </c>
      <c r="K116" s="29"/>
    </row>
    <row r="117" spans="1:22">
      <c r="A117" s="20"/>
      <c r="B117" s="21"/>
      <c r="C117" s="21" t="s">
        <v>583</v>
      </c>
      <c r="D117" s="22" t="s">
        <v>581</v>
      </c>
      <c r="E117" s="15">
        <f>108</f>
        <v>108</v>
      </c>
      <c r="F117" s="24"/>
      <c r="G117" s="23"/>
      <c r="H117" s="15"/>
      <c r="I117" s="15"/>
      <c r="J117" s="29">
        <f>SUM(V109:V116)</f>
        <v>922.21</v>
      </c>
      <c r="K117" s="29"/>
    </row>
    <row r="118" spans="1:22">
      <c r="A118" s="20"/>
      <c r="B118" s="21"/>
      <c r="C118" s="21" t="s">
        <v>584</v>
      </c>
      <c r="D118" s="22" t="s">
        <v>585</v>
      </c>
      <c r="E118" s="15">
        <f>Source!AQ77</f>
        <v>11.11</v>
      </c>
      <c r="F118" s="24"/>
      <c r="G118" s="23" t="str">
        <f>Source!DI77</f>
        <v/>
      </c>
      <c r="H118" s="15">
        <f>Source!AV77</f>
        <v>1</v>
      </c>
      <c r="I118" s="15"/>
      <c r="J118" s="29"/>
      <c r="K118" s="29">
        <f>Source!U77</f>
        <v>101.7676</v>
      </c>
    </row>
    <row r="119" spans="1:22" ht="15">
      <c r="A119" s="50"/>
      <c r="B119" s="50"/>
      <c r="C119" s="50"/>
      <c r="D119" s="53"/>
      <c r="E119" s="50"/>
      <c r="F119" s="50"/>
      <c r="G119" s="50"/>
      <c r="H119" s="50"/>
      <c r="I119" s="91">
        <f>J111+J112+J114+J115+J116+J117</f>
        <v>53235.88</v>
      </c>
      <c r="J119" s="91"/>
      <c r="K119" s="31">
        <f>IF(Source!I77&lt;&gt;0, ROUND(I119/Source!I77, 2), 0)</f>
        <v>5811.78</v>
      </c>
      <c r="P119" s="51">
        <f>I119</f>
        <v>53235.88</v>
      </c>
    </row>
    <row r="120" spans="1:22" ht="43.5" customHeight="1">
      <c r="A120" s="20" t="str">
        <f>Source!E78</f>
        <v>10</v>
      </c>
      <c r="B120" s="21" t="str">
        <f>Source!F78</f>
        <v>5.4-3103-3-10/1</v>
      </c>
      <c r="C120" s="21" t="str">
        <f>Source!G78</f>
        <v>Подготовка стандартных посадочных мест вручную, с круглым комом земли размером 0,3х0,3 м с добавлением растительной земли до 100%</v>
      </c>
      <c r="D120" s="22" t="str">
        <f>Source!H78</f>
        <v>10 ям</v>
      </c>
      <c r="E120" s="15">
        <f>Source!I78</f>
        <v>13.74</v>
      </c>
      <c r="F120" s="24"/>
      <c r="G120" s="23"/>
      <c r="H120" s="15"/>
      <c r="I120" s="15"/>
      <c r="J120" s="29"/>
      <c r="K120" s="29"/>
      <c r="Q120" s="10">
        <f>ROUND((Source!BZ78/100)*ROUND((Source!AF78*Source!AV78)*Source!I78, 2), 2)</f>
        <v>29186.98</v>
      </c>
      <c r="R120" s="10">
        <f>Source!X78</f>
        <v>29186.98</v>
      </c>
      <c r="S120" s="10">
        <f>ROUND((Source!CA78/100)*ROUND((Source!AF78*Source!AV78)*Source!I78, 2), 2)</f>
        <v>4169.57</v>
      </c>
      <c r="T120" s="10">
        <f>Source!Y78</f>
        <v>4169.57</v>
      </c>
      <c r="U120" s="10">
        <f>ROUND((175/100)*ROUND((Source!AE78*Source!AV78)*Source!I78, 2), 2)</f>
        <v>0</v>
      </c>
      <c r="V120" s="10">
        <f>ROUND((108/100)*ROUND(Source!CS78*Source!I78, 2), 2)</f>
        <v>0</v>
      </c>
    </row>
    <row r="121" spans="1:22">
      <c r="C121" s="49" t="str">
        <f>"Объем: "&amp;Source!I78&amp;"=(229*"&amp;"0,6)/"&amp;"10"</f>
        <v>Объем: 13,74=(229*0,6)/10</v>
      </c>
    </row>
    <row r="122" spans="1:22">
      <c r="A122" s="20"/>
      <c r="B122" s="21"/>
      <c r="C122" s="21" t="s">
        <v>577</v>
      </c>
      <c r="D122" s="22"/>
      <c r="E122" s="15"/>
      <c r="F122" s="24">
        <f>Source!AO78</f>
        <v>3034.62</v>
      </c>
      <c r="G122" s="23" t="str">
        <f>Source!DG78</f>
        <v/>
      </c>
      <c r="H122" s="15">
        <f>Source!AV78</f>
        <v>1</v>
      </c>
      <c r="I122" s="15">
        <f>IF(Source!BA78&lt;&gt; 0, Source!BA78, 1)</f>
        <v>1</v>
      </c>
      <c r="J122" s="29">
        <f>Source!S78</f>
        <v>41695.68</v>
      </c>
      <c r="K122" s="29"/>
    </row>
    <row r="123" spans="1:22">
      <c r="A123" s="20"/>
      <c r="B123" s="21"/>
      <c r="C123" s="21" t="s">
        <v>586</v>
      </c>
      <c r="D123" s="22"/>
      <c r="E123" s="15"/>
      <c r="F123" s="24">
        <f>Source!AL78</f>
        <v>2074.5700000000002</v>
      </c>
      <c r="G123" s="23" t="str">
        <f>Source!DD78</f>
        <v/>
      </c>
      <c r="H123" s="15">
        <f>Source!AW78</f>
        <v>1</v>
      </c>
      <c r="I123" s="15">
        <f>IF(Source!BC78&lt;&gt; 0, Source!BC78, 1)</f>
        <v>1</v>
      </c>
      <c r="J123" s="29">
        <f>Source!P78</f>
        <v>28504.59</v>
      </c>
      <c r="K123" s="29"/>
    </row>
    <row r="124" spans="1:22">
      <c r="A124" s="20"/>
      <c r="B124" s="21"/>
      <c r="C124" s="21" t="s">
        <v>580</v>
      </c>
      <c r="D124" s="22" t="s">
        <v>581</v>
      </c>
      <c r="E124" s="15">
        <f>Source!AT78</f>
        <v>70</v>
      </c>
      <c r="F124" s="24"/>
      <c r="G124" s="23"/>
      <c r="H124" s="15"/>
      <c r="I124" s="15"/>
      <c r="J124" s="29">
        <f>SUM(R120:R123)</f>
        <v>29186.98</v>
      </c>
      <c r="K124" s="29"/>
    </row>
    <row r="125" spans="1:22">
      <c r="A125" s="20"/>
      <c r="B125" s="21"/>
      <c r="C125" s="21" t="s">
        <v>582</v>
      </c>
      <c r="D125" s="22" t="s">
        <v>581</v>
      </c>
      <c r="E125" s="15">
        <f>Source!AU78</f>
        <v>10</v>
      </c>
      <c r="F125" s="24"/>
      <c r="G125" s="23"/>
      <c r="H125" s="15"/>
      <c r="I125" s="15"/>
      <c r="J125" s="29">
        <f>SUM(T120:T124)</f>
        <v>4169.57</v>
      </c>
      <c r="K125" s="29"/>
    </row>
    <row r="126" spans="1:22">
      <c r="A126" s="20"/>
      <c r="B126" s="21"/>
      <c r="C126" s="21" t="s">
        <v>584</v>
      </c>
      <c r="D126" s="22" t="s">
        <v>585</v>
      </c>
      <c r="E126" s="15">
        <f>Source!AQ78</f>
        <v>16.79</v>
      </c>
      <c r="F126" s="24"/>
      <c r="G126" s="23" t="str">
        <f>Source!DI78</f>
        <v/>
      </c>
      <c r="H126" s="15">
        <f>Source!AV78</f>
        <v>1</v>
      </c>
      <c r="I126" s="15"/>
      <c r="J126" s="29"/>
      <c r="K126" s="29">
        <f>Source!U78</f>
        <v>230.69459999999998</v>
      </c>
    </row>
    <row r="127" spans="1:22" ht="15">
      <c r="A127" s="50"/>
      <c r="B127" s="50"/>
      <c r="C127" s="50"/>
      <c r="D127" s="53"/>
      <c r="E127" s="50"/>
      <c r="F127" s="50"/>
      <c r="G127" s="50"/>
      <c r="H127" s="50"/>
      <c r="I127" s="91">
        <f>J122+J123+J124+J125</f>
        <v>103556.82</v>
      </c>
      <c r="J127" s="91"/>
      <c r="K127" s="31">
        <f>IF(Source!I78&lt;&gt;0, ROUND(I127/Source!I78, 2), 0)</f>
        <v>7536.89</v>
      </c>
      <c r="P127" s="51">
        <f>I127</f>
        <v>103556.82</v>
      </c>
    </row>
    <row r="128" spans="1:22" ht="99.75">
      <c r="A128" s="20" t="str">
        <f>Source!E79</f>
        <v>11</v>
      </c>
      <c r="B128" s="21" t="str">
        <f>Source!F79</f>
        <v>5.4-3503-1-1/1</v>
      </c>
      <c r="C128" s="21" t="str">
        <f>Source!G79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табл.1 - 0,28м3 * 229кустов =64,12м3 - при слое 20 см покрываемая площадь 64,12м3/0,2м х 0,75)</v>
      </c>
      <c r="D128" s="22" t="str">
        <f>Source!H79</f>
        <v>100 м2</v>
      </c>
      <c r="E128" s="15">
        <f>Source!I79</f>
        <v>2.4045000000000001</v>
      </c>
      <c r="F128" s="24"/>
      <c r="G128" s="23"/>
      <c r="H128" s="15"/>
      <c r="I128" s="15"/>
      <c r="J128" s="29"/>
      <c r="K128" s="29"/>
      <c r="Q128" s="10">
        <f>ROUND((Source!BZ79/100)*ROUND((Source!AF79*Source!AV79)*Source!I79, 2), 2)</f>
        <v>0</v>
      </c>
      <c r="R128" s="10">
        <f>Source!X79</f>
        <v>0</v>
      </c>
      <c r="S128" s="10">
        <f>ROUND((Source!CA79/100)*ROUND((Source!AF79*Source!AV79)*Source!I79, 2), 2)</f>
        <v>0</v>
      </c>
      <c r="T128" s="10">
        <f>Source!Y79</f>
        <v>0</v>
      </c>
      <c r="U128" s="10">
        <f>ROUND((175/100)*ROUND((Source!AE79*Source!AV79)*Source!I79, 2), 2)</f>
        <v>468.88</v>
      </c>
      <c r="V128" s="10">
        <f>ROUND((108/100)*ROUND(Source!CS79*Source!I79, 2), 2)</f>
        <v>289.36</v>
      </c>
    </row>
    <row r="129" spans="1:22">
      <c r="C129" s="49" t="str">
        <f>"Объем: "&amp;Source!I79&amp;"=240,45/"&amp;"100"</f>
        <v>Объем: 2,4045=240,45/100</v>
      </c>
    </row>
    <row r="130" spans="1:22">
      <c r="A130" s="20"/>
      <c r="B130" s="21"/>
      <c r="C130" s="21" t="s">
        <v>578</v>
      </c>
      <c r="D130" s="22"/>
      <c r="E130" s="15"/>
      <c r="F130" s="24">
        <f>Source!AM79</f>
        <v>296.60000000000002</v>
      </c>
      <c r="G130" s="23" t="str">
        <f>Source!DE79</f>
        <v/>
      </c>
      <c r="H130" s="15">
        <f>Source!AV79</f>
        <v>1</v>
      </c>
      <c r="I130" s="15">
        <f>IF(Source!BB79&lt;&gt; 0, Source!BB79, 1)</f>
        <v>1</v>
      </c>
      <c r="J130" s="29">
        <f>Source!Q79</f>
        <v>713.17</v>
      </c>
      <c r="K130" s="29"/>
    </row>
    <row r="131" spans="1:22">
      <c r="A131" s="20"/>
      <c r="B131" s="21"/>
      <c r="C131" s="21" t="s">
        <v>579</v>
      </c>
      <c r="D131" s="22"/>
      <c r="E131" s="15"/>
      <c r="F131" s="24">
        <f>Source!AN79</f>
        <v>111.43</v>
      </c>
      <c r="G131" s="23" t="str">
        <f>Source!DF79</f>
        <v/>
      </c>
      <c r="H131" s="15">
        <f>Source!AV79</f>
        <v>1</v>
      </c>
      <c r="I131" s="15">
        <f>IF(Source!BS79&lt;&gt; 0, Source!BS79, 1)</f>
        <v>1</v>
      </c>
      <c r="J131" s="27">
        <f>Source!R79</f>
        <v>267.93</v>
      </c>
      <c r="K131" s="29"/>
    </row>
    <row r="132" spans="1:22">
      <c r="A132" s="20"/>
      <c r="B132" s="21"/>
      <c r="C132" s="21" t="s">
        <v>583</v>
      </c>
      <c r="D132" s="22" t="s">
        <v>581</v>
      </c>
      <c r="E132" s="15">
        <f>108</f>
        <v>108</v>
      </c>
      <c r="F132" s="24"/>
      <c r="G132" s="23"/>
      <c r="H132" s="15"/>
      <c r="I132" s="15"/>
      <c r="J132" s="29">
        <f>SUM(V128:V131)</f>
        <v>289.36</v>
      </c>
      <c r="K132" s="29"/>
    </row>
    <row r="133" spans="1:22" ht="15">
      <c r="A133" s="50"/>
      <c r="B133" s="50"/>
      <c r="C133" s="50"/>
      <c r="D133" s="53"/>
      <c r="E133" s="50"/>
      <c r="F133" s="50"/>
      <c r="G133" s="50"/>
      <c r="H133" s="50"/>
      <c r="I133" s="91">
        <f>J130+J132</f>
        <v>1002.53</v>
      </c>
      <c r="J133" s="91"/>
      <c r="K133" s="31">
        <f>IF(Source!I79&lt;&gt;0, ROUND(I133/Source!I79, 2), 0)</f>
        <v>416.94</v>
      </c>
      <c r="P133" s="51">
        <f>I133</f>
        <v>1002.53</v>
      </c>
    </row>
    <row r="134" spans="1:22" ht="71.25">
      <c r="A134" s="20" t="str">
        <f>Source!E80</f>
        <v>12</v>
      </c>
      <c r="B134" s="21" t="str">
        <f>Source!F80</f>
        <v>5.4-3503-1-2/1</v>
      </c>
      <c r="C134" s="21" t="str">
        <f>Source!G80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64,12м3/0,2м х 0,25)</v>
      </c>
      <c r="D134" s="22" t="str">
        <f>Source!H80</f>
        <v>100 м2</v>
      </c>
      <c r="E134" s="15">
        <f>Source!I80</f>
        <v>0.80149999999999999</v>
      </c>
      <c r="F134" s="24"/>
      <c r="G134" s="23"/>
      <c r="H134" s="15"/>
      <c r="I134" s="15"/>
      <c r="J134" s="29"/>
      <c r="K134" s="29"/>
      <c r="Q134" s="10">
        <f>ROUND((Source!BZ80/100)*ROUND((Source!AF80*Source!AV80)*Source!I80, 2), 2)</f>
        <v>1189.47</v>
      </c>
      <c r="R134" s="10">
        <f>Source!X80</f>
        <v>1189.47</v>
      </c>
      <c r="S134" s="10">
        <f>ROUND((Source!CA80/100)*ROUND((Source!AF80*Source!AV80)*Source!I80, 2), 2)</f>
        <v>169.92</v>
      </c>
      <c r="T134" s="10">
        <f>Source!Y80</f>
        <v>169.92</v>
      </c>
      <c r="U134" s="10">
        <f>ROUND((175/100)*ROUND((Source!AE80*Source!AV80)*Source!I80, 2), 2)</f>
        <v>0</v>
      </c>
      <c r="V134" s="10">
        <f>ROUND((108/100)*ROUND(Source!CS80*Source!I80, 2), 2)</f>
        <v>0</v>
      </c>
    </row>
    <row r="135" spans="1:22">
      <c r="C135" s="49" t="str">
        <f>"Объем: "&amp;Source!I80&amp;"=80,15/"&amp;"100"</f>
        <v>Объем: 0,8015=80,15/100</v>
      </c>
    </row>
    <row r="136" spans="1:22">
      <c r="A136" s="20"/>
      <c r="B136" s="21"/>
      <c r="C136" s="21" t="s">
        <v>577</v>
      </c>
      <c r="D136" s="22"/>
      <c r="E136" s="15"/>
      <c r="F136" s="24">
        <f>Source!AO80</f>
        <v>2120.08</v>
      </c>
      <c r="G136" s="23" t="str">
        <f>Source!DG80</f>
        <v/>
      </c>
      <c r="H136" s="15">
        <f>Source!AV80</f>
        <v>1</v>
      </c>
      <c r="I136" s="15">
        <f>IF(Source!BA80&lt;&gt; 0, Source!BA80, 1)</f>
        <v>1</v>
      </c>
      <c r="J136" s="29">
        <f>Source!S80</f>
        <v>1699.24</v>
      </c>
      <c r="K136" s="29"/>
    </row>
    <row r="137" spans="1:22">
      <c r="A137" s="20"/>
      <c r="B137" s="21"/>
      <c r="C137" s="21" t="s">
        <v>580</v>
      </c>
      <c r="D137" s="22" t="s">
        <v>581</v>
      </c>
      <c r="E137" s="15">
        <f>Source!AT80</f>
        <v>70</v>
      </c>
      <c r="F137" s="24"/>
      <c r="G137" s="23"/>
      <c r="H137" s="15"/>
      <c r="I137" s="15"/>
      <c r="J137" s="29">
        <f>SUM(R134:R136)</f>
        <v>1189.47</v>
      </c>
      <c r="K137" s="29"/>
    </row>
    <row r="138" spans="1:22">
      <c r="A138" s="20"/>
      <c r="B138" s="21"/>
      <c r="C138" s="21" t="s">
        <v>582</v>
      </c>
      <c r="D138" s="22" t="s">
        <v>581</v>
      </c>
      <c r="E138" s="15">
        <f>Source!AU80</f>
        <v>10</v>
      </c>
      <c r="F138" s="24"/>
      <c r="G138" s="23"/>
      <c r="H138" s="15"/>
      <c r="I138" s="15"/>
      <c r="J138" s="29">
        <f>SUM(T134:T137)</f>
        <v>169.92</v>
      </c>
      <c r="K138" s="29"/>
    </row>
    <row r="139" spans="1:22">
      <c r="A139" s="20"/>
      <c r="B139" s="21"/>
      <c r="C139" s="21" t="s">
        <v>584</v>
      </c>
      <c r="D139" s="22" t="s">
        <v>585</v>
      </c>
      <c r="E139" s="15">
        <f>Source!AQ80</f>
        <v>11.73</v>
      </c>
      <c r="F139" s="24"/>
      <c r="G139" s="23" t="str">
        <f>Source!DI80</f>
        <v/>
      </c>
      <c r="H139" s="15">
        <f>Source!AV80</f>
        <v>1</v>
      </c>
      <c r="I139" s="15"/>
      <c r="J139" s="29"/>
      <c r="K139" s="29">
        <f>Source!U80</f>
        <v>9.4015950000000004</v>
      </c>
    </row>
    <row r="140" spans="1:22" ht="15">
      <c r="A140" s="50"/>
      <c r="B140" s="50"/>
      <c r="C140" s="50"/>
      <c r="D140" s="53"/>
      <c r="E140" s="50"/>
      <c r="F140" s="50"/>
      <c r="G140" s="50"/>
      <c r="H140" s="50"/>
      <c r="I140" s="91">
        <f>J136+J137+J138</f>
        <v>3058.63</v>
      </c>
      <c r="J140" s="91"/>
      <c r="K140" s="31">
        <f>IF(Source!I80&lt;&gt;0, ROUND(I140/Source!I80, 2), 0)</f>
        <v>3816.13</v>
      </c>
      <c r="P140" s="51">
        <f>I140</f>
        <v>3058.63</v>
      </c>
    </row>
    <row r="141" spans="1:22" ht="42.75">
      <c r="A141" s="20" t="str">
        <f>Source!E81</f>
        <v>13</v>
      </c>
      <c r="B141" s="21" t="str">
        <f>Source!F81</f>
        <v>5.4-3103-6-2/1</v>
      </c>
      <c r="C141" s="21" t="str">
        <f>Source!G81</f>
        <v>Посадка деревьев и кустарников с комом земли, диаметром 0,3 м и высотой 0,3 м (без стоимости деревьев и кустарников)</v>
      </c>
      <c r="D141" s="22" t="str">
        <f>Source!H81</f>
        <v>10 шт.</v>
      </c>
      <c r="E141" s="15">
        <f>Source!I81</f>
        <v>22.9</v>
      </c>
      <c r="F141" s="24"/>
      <c r="G141" s="23"/>
      <c r="H141" s="15"/>
      <c r="I141" s="15"/>
      <c r="J141" s="29"/>
      <c r="K141" s="29"/>
      <c r="Q141" s="10">
        <f>ROUND((Source!BZ81/100)*ROUND((Source!AF81*Source!AV81)*Source!I81, 2), 2)</f>
        <v>27452.66</v>
      </c>
      <c r="R141" s="10">
        <f>Source!X81</f>
        <v>27452.66</v>
      </c>
      <c r="S141" s="10">
        <f>ROUND((Source!CA81/100)*ROUND((Source!AF81*Source!AV81)*Source!I81, 2), 2)</f>
        <v>3921.81</v>
      </c>
      <c r="T141" s="10">
        <f>Source!Y81</f>
        <v>3921.81</v>
      </c>
      <c r="U141" s="10">
        <f>ROUND((175/100)*ROUND((Source!AE81*Source!AV81)*Source!I81, 2), 2)</f>
        <v>5880.61</v>
      </c>
      <c r="V141" s="10">
        <f>ROUND((108/100)*ROUND(Source!CS81*Source!I81, 2), 2)</f>
        <v>3629.18</v>
      </c>
    </row>
    <row r="142" spans="1:22">
      <c r="C142" s="49" t="str">
        <f>"Объем: "&amp;Source!I81&amp;"=229/"&amp;"10"</f>
        <v>Объем: 22,9=229/10</v>
      </c>
    </row>
    <row r="143" spans="1:22">
      <c r="A143" s="20"/>
      <c r="B143" s="21"/>
      <c r="C143" s="21" t="s">
        <v>577</v>
      </c>
      <c r="D143" s="22"/>
      <c r="E143" s="15"/>
      <c r="F143" s="24">
        <f>Source!AO81</f>
        <v>1712.58</v>
      </c>
      <c r="G143" s="23" t="str">
        <f>Source!DG81</f>
        <v/>
      </c>
      <c r="H143" s="15">
        <f>Source!AV81</f>
        <v>1</v>
      </c>
      <c r="I143" s="15">
        <f>IF(Source!BA81&lt;&gt; 0, Source!BA81, 1)</f>
        <v>1</v>
      </c>
      <c r="J143" s="29">
        <f>Source!S81</f>
        <v>39218.080000000002</v>
      </c>
      <c r="K143" s="29"/>
    </row>
    <row r="144" spans="1:22">
      <c r="A144" s="20"/>
      <c r="B144" s="21"/>
      <c r="C144" s="21" t="s">
        <v>578</v>
      </c>
      <c r="D144" s="22"/>
      <c r="E144" s="15"/>
      <c r="F144" s="24">
        <f>Source!AM81</f>
        <v>646.59</v>
      </c>
      <c r="G144" s="23" t="str">
        <f>Source!DE81</f>
        <v/>
      </c>
      <c r="H144" s="15">
        <f>Source!AV81</f>
        <v>1</v>
      </c>
      <c r="I144" s="15">
        <f>IF(Source!BB81&lt;&gt; 0, Source!BB81, 1)</f>
        <v>1</v>
      </c>
      <c r="J144" s="29">
        <f>Source!Q81</f>
        <v>14806.91</v>
      </c>
      <c r="K144" s="29"/>
    </row>
    <row r="145" spans="1:22">
      <c r="A145" s="20"/>
      <c r="B145" s="21"/>
      <c r="C145" s="21" t="s">
        <v>579</v>
      </c>
      <c r="D145" s="22"/>
      <c r="E145" s="15"/>
      <c r="F145" s="24">
        <f>Source!AN81</f>
        <v>146.74</v>
      </c>
      <c r="G145" s="23" t="str">
        <f>Source!DF81</f>
        <v/>
      </c>
      <c r="H145" s="15">
        <f>Source!AV81</f>
        <v>1</v>
      </c>
      <c r="I145" s="15">
        <f>IF(Source!BS81&lt;&gt; 0, Source!BS81, 1)</f>
        <v>1</v>
      </c>
      <c r="J145" s="27">
        <f>Source!R81</f>
        <v>3360.35</v>
      </c>
      <c r="K145" s="29"/>
    </row>
    <row r="146" spans="1:22">
      <c r="A146" s="20"/>
      <c r="B146" s="21"/>
      <c r="C146" s="21" t="s">
        <v>586</v>
      </c>
      <c r="D146" s="22"/>
      <c r="E146" s="15"/>
      <c r="F146" s="24">
        <f>Source!AL81</f>
        <v>37.72</v>
      </c>
      <c r="G146" s="23" t="str">
        <f>Source!DD81</f>
        <v/>
      </c>
      <c r="H146" s="15">
        <f>Source!AW81</f>
        <v>1</v>
      </c>
      <c r="I146" s="15">
        <f>IF(Source!BC81&lt;&gt; 0, Source!BC81, 1)</f>
        <v>1</v>
      </c>
      <c r="J146" s="29">
        <f>Source!P81</f>
        <v>863.79</v>
      </c>
      <c r="K146" s="29"/>
    </row>
    <row r="147" spans="1:22" ht="42.75">
      <c r="A147" s="20" t="str">
        <f>Source!E82</f>
        <v>13,1</v>
      </c>
      <c r="B147" s="21" t="str">
        <f>Source!F82</f>
        <v>21.4-2-22</v>
      </c>
      <c r="C147" s="21" t="str">
        <f>Source!G82</f>
        <v>Кустарники декоративные с закрытой корневой системой: гортензия древовидная, С10 ( ком земли 0,3м * 0,3м)</v>
      </c>
      <c r="D147" s="22" t="str">
        <f>Source!H82</f>
        <v>шт.</v>
      </c>
      <c r="E147" s="15">
        <f>Source!I82</f>
        <v>20</v>
      </c>
      <c r="F147" s="24">
        <f>Source!AK82</f>
        <v>1409.36</v>
      </c>
      <c r="G147" s="32" t="s">
        <v>3</v>
      </c>
      <c r="H147" s="15">
        <f>Source!AW82</f>
        <v>1</v>
      </c>
      <c r="I147" s="15">
        <f>IF(Source!BC82&lt;&gt; 0, Source!BC82, 1)</f>
        <v>1</v>
      </c>
      <c r="J147" s="29">
        <f>Source!O82</f>
        <v>28187.200000000001</v>
      </c>
      <c r="K147" s="29"/>
      <c r="Q147" s="10">
        <f>ROUND((Source!BZ82/100)*ROUND((Source!AF82*Source!AV82)*Source!I82, 2), 2)</f>
        <v>0</v>
      </c>
      <c r="R147" s="10">
        <f>Source!X82</f>
        <v>0</v>
      </c>
      <c r="S147" s="10">
        <f>ROUND((Source!CA82/100)*ROUND((Source!AF82*Source!AV82)*Source!I82, 2), 2)</f>
        <v>0</v>
      </c>
      <c r="T147" s="10">
        <f>Source!Y82</f>
        <v>0</v>
      </c>
      <c r="U147" s="10">
        <f>ROUND((175/100)*ROUND((Source!AE82*Source!AV82)*Source!I82, 2), 2)</f>
        <v>0</v>
      </c>
      <c r="V147" s="10">
        <f>ROUND((108/100)*ROUND(Source!CS82*Source!I82, 2), 2)</f>
        <v>0</v>
      </c>
    </row>
    <row r="148" spans="1:22" ht="28.5">
      <c r="A148" s="20" t="str">
        <f>Source!E83</f>
        <v>13,2</v>
      </c>
      <c r="B148" s="21" t="str">
        <f>Source!F83</f>
        <v>коммерческое предложение</v>
      </c>
      <c r="C148" s="21" t="str">
        <f>Source!G83</f>
        <v>Кустарники декоративные с комом земли: Бересклет крылатый, высота 0,3 м, диаметр 0,3 м</v>
      </c>
      <c r="D148" s="22" t="str">
        <f>Source!H83</f>
        <v>шт.</v>
      </c>
      <c r="E148" s="15">
        <f>Source!I83</f>
        <v>2</v>
      </c>
      <c r="F148" s="24">
        <f>Source!AK83</f>
        <v>875</v>
      </c>
      <c r="G148" s="32" t="s">
        <v>3</v>
      </c>
      <c r="H148" s="15">
        <f>Source!AW83</f>
        <v>1</v>
      </c>
      <c r="I148" s="15">
        <f>IF(Source!BC83&lt;&gt; 0, Source!BC83, 1)</f>
        <v>1</v>
      </c>
      <c r="J148" s="29">
        <f>Source!O83</f>
        <v>1750</v>
      </c>
      <c r="K148" s="29"/>
      <c r="Q148" s="10">
        <f>ROUND((Source!BZ83/100)*ROUND((Source!AF83*Source!AV83)*Source!I83, 2), 2)</f>
        <v>0</v>
      </c>
      <c r="R148" s="10">
        <f>Source!X83</f>
        <v>0</v>
      </c>
      <c r="S148" s="10">
        <f>ROUND((Source!CA83/100)*ROUND((Source!AF83*Source!AV83)*Source!I83, 2), 2)</f>
        <v>0</v>
      </c>
      <c r="T148" s="10">
        <f>Source!Y83</f>
        <v>0</v>
      </c>
      <c r="U148" s="10">
        <f>ROUND((175/100)*ROUND((Source!AE83*Source!AV83)*Source!I83, 2), 2)</f>
        <v>0</v>
      </c>
      <c r="V148" s="10">
        <f>ROUND((108/100)*ROUND(Source!CS83*Source!I83, 2), 2)</f>
        <v>0</v>
      </c>
    </row>
    <row r="149" spans="1:22" ht="28.5">
      <c r="A149" s="20" t="str">
        <f>Source!E84</f>
        <v>13,3</v>
      </c>
      <c r="B149" s="21" t="str">
        <f>Source!F84</f>
        <v>коммерческое предложение</v>
      </c>
      <c r="C149" s="21" t="str">
        <f>Source!G84</f>
        <v>Кустарники декоративные с комом земли: Пузыреплодник, высота 0,3 м, диаметр 0,3 м</v>
      </c>
      <c r="D149" s="22" t="str">
        <f>Source!H84</f>
        <v>шт.</v>
      </c>
      <c r="E149" s="15">
        <f>Source!I84</f>
        <v>180</v>
      </c>
      <c r="F149" s="24">
        <f>Source!AK84</f>
        <v>758.33</v>
      </c>
      <c r="G149" s="32" t="s">
        <v>3</v>
      </c>
      <c r="H149" s="15">
        <f>Source!AW84</f>
        <v>1</v>
      </c>
      <c r="I149" s="15">
        <f>IF(Source!BC84&lt;&gt; 0, Source!BC84, 1)</f>
        <v>1</v>
      </c>
      <c r="J149" s="29">
        <f>Source!O84</f>
        <v>136499.4</v>
      </c>
      <c r="K149" s="29"/>
      <c r="Q149" s="10">
        <f>ROUND((Source!BZ84/100)*ROUND((Source!AF84*Source!AV84)*Source!I84, 2), 2)</f>
        <v>0</v>
      </c>
      <c r="R149" s="10">
        <f>Source!X84</f>
        <v>0</v>
      </c>
      <c r="S149" s="10">
        <f>ROUND((Source!CA84/100)*ROUND((Source!AF84*Source!AV84)*Source!I84, 2), 2)</f>
        <v>0</v>
      </c>
      <c r="T149" s="10">
        <f>Source!Y84</f>
        <v>0</v>
      </c>
      <c r="U149" s="10">
        <f>ROUND((175/100)*ROUND((Source!AE84*Source!AV84)*Source!I84, 2), 2)</f>
        <v>0</v>
      </c>
      <c r="V149" s="10">
        <f>ROUND((108/100)*ROUND(Source!CS84*Source!I84, 2), 2)</f>
        <v>0</v>
      </c>
    </row>
    <row r="150" spans="1:22" ht="28.5">
      <c r="A150" s="20" t="str">
        <f>Source!E85</f>
        <v>13,4</v>
      </c>
      <c r="B150" s="21" t="str">
        <f>Source!F85</f>
        <v>коммерческое предложение</v>
      </c>
      <c r="C150" s="21" t="str">
        <f>Source!G85</f>
        <v>Кустарники декоративные с комом земли: Барбарис, высота 0,3 м, диаметр 0,3 м</v>
      </c>
      <c r="D150" s="22" t="str">
        <f>Source!H85</f>
        <v>шт.</v>
      </c>
      <c r="E150" s="15">
        <f>Source!I85</f>
        <v>22</v>
      </c>
      <c r="F150" s="24">
        <f>Source!AK85</f>
        <v>741.67</v>
      </c>
      <c r="G150" s="32" t="s">
        <v>3</v>
      </c>
      <c r="H150" s="15">
        <f>Source!AW85</f>
        <v>1</v>
      </c>
      <c r="I150" s="15">
        <f>IF(Source!BC85&lt;&gt; 0, Source!BC85, 1)</f>
        <v>1</v>
      </c>
      <c r="J150" s="29">
        <f>Source!O85</f>
        <v>16316.74</v>
      </c>
      <c r="K150" s="29"/>
      <c r="Q150" s="10">
        <f>ROUND((Source!BZ85/100)*ROUND((Source!AF85*Source!AV85)*Source!I85, 2), 2)</f>
        <v>0</v>
      </c>
      <c r="R150" s="10">
        <f>Source!X85</f>
        <v>0</v>
      </c>
      <c r="S150" s="10">
        <f>ROUND((Source!CA85/100)*ROUND((Source!AF85*Source!AV85)*Source!I85, 2), 2)</f>
        <v>0</v>
      </c>
      <c r="T150" s="10">
        <f>Source!Y85</f>
        <v>0</v>
      </c>
      <c r="U150" s="10">
        <f>ROUND((175/100)*ROUND((Source!AE85*Source!AV85)*Source!I85, 2), 2)</f>
        <v>0</v>
      </c>
      <c r="V150" s="10">
        <f>ROUND((108/100)*ROUND(Source!CS85*Source!I85, 2), 2)</f>
        <v>0</v>
      </c>
    </row>
    <row r="151" spans="1:22" ht="42.75">
      <c r="A151" s="20" t="str">
        <f>Source!E86</f>
        <v>13,5</v>
      </c>
      <c r="B151" s="21" t="str">
        <f>Source!F86</f>
        <v>коммерческое предложение</v>
      </c>
      <c r="C151" s="21" t="str">
        <f>Source!G86</f>
        <v>Кустарники декоративные с комом земли: Можжевельник Олд Голд, высота 0,3 м, диаметр 0,3 м</v>
      </c>
      <c r="D151" s="22" t="str">
        <f>Source!H86</f>
        <v>шт.</v>
      </c>
      <c r="E151" s="15">
        <f>Source!I86</f>
        <v>2</v>
      </c>
      <c r="F151" s="24">
        <f>Source!AK86</f>
        <v>1358.33</v>
      </c>
      <c r="G151" s="32" t="s">
        <v>3</v>
      </c>
      <c r="H151" s="15">
        <f>Source!AW86</f>
        <v>1</v>
      </c>
      <c r="I151" s="15">
        <f>IF(Source!BC86&lt;&gt; 0, Source!BC86, 1)</f>
        <v>1</v>
      </c>
      <c r="J151" s="29">
        <f>Source!O86</f>
        <v>2716.66</v>
      </c>
      <c r="K151" s="29"/>
      <c r="Q151" s="10">
        <f>ROUND((Source!BZ86/100)*ROUND((Source!AF86*Source!AV86)*Source!I86, 2), 2)</f>
        <v>0</v>
      </c>
      <c r="R151" s="10">
        <f>Source!X86</f>
        <v>0</v>
      </c>
      <c r="S151" s="10">
        <f>ROUND((Source!CA86/100)*ROUND((Source!AF86*Source!AV86)*Source!I86, 2), 2)</f>
        <v>0</v>
      </c>
      <c r="T151" s="10">
        <f>Source!Y86</f>
        <v>0</v>
      </c>
      <c r="U151" s="10">
        <f>ROUND((175/100)*ROUND((Source!AE86*Source!AV86)*Source!I86, 2), 2)</f>
        <v>0</v>
      </c>
      <c r="V151" s="10">
        <f>ROUND((108/100)*ROUND(Source!CS86*Source!I86, 2), 2)</f>
        <v>0</v>
      </c>
    </row>
    <row r="152" spans="1:22" ht="42.75">
      <c r="A152" s="20" t="str">
        <f>Source!E87</f>
        <v>13,6</v>
      </c>
      <c r="B152" s="21" t="str">
        <f>Source!F87</f>
        <v>коммерческое предложение</v>
      </c>
      <c r="C152" s="21" t="str">
        <f>Source!G87</f>
        <v>Кустарники декоративные с комом земли: Можжевельник Блю Эрроу, высота 0,3 м, диаметр 0,3 м</v>
      </c>
      <c r="D152" s="22" t="str">
        <f>Source!H87</f>
        <v>шт.</v>
      </c>
      <c r="E152" s="15">
        <f>Source!I87</f>
        <v>2</v>
      </c>
      <c r="F152" s="24">
        <f>Source!AK87</f>
        <v>1433.33</v>
      </c>
      <c r="G152" s="32" t="s">
        <v>3</v>
      </c>
      <c r="H152" s="15">
        <f>Source!AW87</f>
        <v>1</v>
      </c>
      <c r="I152" s="15">
        <f>IF(Source!BC87&lt;&gt; 0, Source!BC87, 1)</f>
        <v>1</v>
      </c>
      <c r="J152" s="29">
        <f>Source!O87</f>
        <v>2866.66</v>
      </c>
      <c r="K152" s="29"/>
      <c r="Q152" s="10">
        <f>ROUND((Source!BZ87/100)*ROUND((Source!AF87*Source!AV87)*Source!I87, 2), 2)</f>
        <v>0</v>
      </c>
      <c r="R152" s="10">
        <f>Source!X87</f>
        <v>0</v>
      </c>
      <c r="S152" s="10">
        <f>ROUND((Source!CA87/100)*ROUND((Source!AF87*Source!AV87)*Source!I87, 2), 2)</f>
        <v>0</v>
      </c>
      <c r="T152" s="10">
        <f>Source!Y87</f>
        <v>0</v>
      </c>
      <c r="U152" s="10">
        <f>ROUND((175/100)*ROUND((Source!AE87*Source!AV87)*Source!I87, 2), 2)</f>
        <v>0</v>
      </c>
      <c r="V152" s="10">
        <f>ROUND((108/100)*ROUND(Source!CS87*Source!I87, 2), 2)</f>
        <v>0</v>
      </c>
    </row>
    <row r="153" spans="1:22" ht="42.75">
      <c r="A153" s="20" t="str">
        <f>Source!E88</f>
        <v>13,7</v>
      </c>
      <c r="B153" s="21" t="str">
        <f>Source!F88</f>
        <v>коммерческое предложение</v>
      </c>
      <c r="C153" s="21" t="str">
        <f>Source!G88</f>
        <v>Кустарники декоративные с комом земли: Можжевельник Грей Овал, высота 0,3 м, диаметр 0,3 м</v>
      </c>
      <c r="D153" s="22" t="str">
        <f>Source!H88</f>
        <v>шт.</v>
      </c>
      <c r="E153" s="15">
        <f>Source!I88</f>
        <v>1</v>
      </c>
      <c r="F153" s="24">
        <f>Source!AK88</f>
        <v>1316.67</v>
      </c>
      <c r="G153" s="32" t="s">
        <v>3</v>
      </c>
      <c r="H153" s="15">
        <f>Source!AW88</f>
        <v>1</v>
      </c>
      <c r="I153" s="15">
        <f>IF(Source!BC88&lt;&gt; 0, Source!BC88, 1)</f>
        <v>1</v>
      </c>
      <c r="J153" s="29">
        <f>Source!O88</f>
        <v>1316.67</v>
      </c>
      <c r="K153" s="29"/>
      <c r="Q153" s="10">
        <f>ROUND((Source!BZ88/100)*ROUND((Source!AF88*Source!AV88)*Source!I88, 2), 2)</f>
        <v>0</v>
      </c>
      <c r="R153" s="10">
        <f>Source!X88</f>
        <v>0</v>
      </c>
      <c r="S153" s="10">
        <f>ROUND((Source!CA88/100)*ROUND((Source!AF88*Source!AV88)*Source!I88, 2), 2)</f>
        <v>0</v>
      </c>
      <c r="T153" s="10">
        <f>Source!Y88</f>
        <v>0</v>
      </c>
      <c r="U153" s="10">
        <f>ROUND((175/100)*ROUND((Source!AE88*Source!AV88)*Source!I88, 2), 2)</f>
        <v>0</v>
      </c>
      <c r="V153" s="10">
        <f>ROUND((108/100)*ROUND(Source!CS88*Source!I88, 2), 2)</f>
        <v>0</v>
      </c>
    </row>
    <row r="154" spans="1:22">
      <c r="A154" s="20"/>
      <c r="B154" s="21"/>
      <c r="C154" s="21" t="s">
        <v>580</v>
      </c>
      <c r="D154" s="22" t="s">
        <v>581</v>
      </c>
      <c r="E154" s="15">
        <f>Source!AT81</f>
        <v>70</v>
      </c>
      <c r="F154" s="24"/>
      <c r="G154" s="23"/>
      <c r="H154" s="15"/>
      <c r="I154" s="15"/>
      <c r="J154" s="29">
        <f>SUM(R141:R153)</f>
        <v>27452.66</v>
      </c>
      <c r="K154" s="29"/>
    </row>
    <row r="155" spans="1:22">
      <c r="A155" s="20"/>
      <c r="B155" s="21"/>
      <c r="C155" s="21" t="s">
        <v>582</v>
      </c>
      <c r="D155" s="22" t="s">
        <v>581</v>
      </c>
      <c r="E155" s="15">
        <f>Source!AU81</f>
        <v>10</v>
      </c>
      <c r="F155" s="24"/>
      <c r="G155" s="23"/>
      <c r="H155" s="15"/>
      <c r="I155" s="15"/>
      <c r="J155" s="29">
        <f>SUM(T141:T154)</f>
        <v>3921.81</v>
      </c>
      <c r="K155" s="29"/>
    </row>
    <row r="156" spans="1:22">
      <c r="A156" s="20"/>
      <c r="B156" s="21"/>
      <c r="C156" s="21" t="s">
        <v>583</v>
      </c>
      <c r="D156" s="22" t="s">
        <v>581</v>
      </c>
      <c r="E156" s="15">
        <f>108</f>
        <v>108</v>
      </c>
      <c r="F156" s="24"/>
      <c r="G156" s="23"/>
      <c r="H156" s="15"/>
      <c r="I156" s="15"/>
      <c r="J156" s="29">
        <f>SUM(V141:V155)</f>
        <v>3629.18</v>
      </c>
      <c r="K156" s="29"/>
    </row>
    <row r="157" spans="1:22">
      <c r="A157" s="20"/>
      <c r="B157" s="21"/>
      <c r="C157" s="21" t="s">
        <v>584</v>
      </c>
      <c r="D157" s="22" t="s">
        <v>585</v>
      </c>
      <c r="E157" s="15">
        <f>Source!AQ81</f>
        <v>7.08</v>
      </c>
      <c r="F157" s="24"/>
      <c r="G157" s="23" t="str">
        <f>Source!DI81</f>
        <v/>
      </c>
      <c r="H157" s="15">
        <f>Source!AV81</f>
        <v>1</v>
      </c>
      <c r="I157" s="15"/>
      <c r="J157" s="29"/>
      <c r="K157" s="29">
        <f>Source!U81</f>
        <v>162.13200000000001</v>
      </c>
    </row>
    <row r="158" spans="1:22" ht="15">
      <c r="A158" s="50"/>
      <c r="B158" s="50"/>
      <c r="C158" s="50"/>
      <c r="D158" s="53"/>
      <c r="E158" s="50"/>
      <c r="F158" s="50"/>
      <c r="G158" s="50"/>
      <c r="H158" s="50"/>
      <c r="I158" s="91">
        <f>J143+J144+J146+J154+J155+J156+SUM(J147:J153)</f>
        <v>279545.76</v>
      </c>
      <c r="J158" s="91"/>
      <c r="K158" s="31">
        <f>IF(Source!I81&lt;&gt;0, ROUND(I158/Source!I81, 2), 0)</f>
        <v>12207.24</v>
      </c>
      <c r="P158" s="51">
        <f>I158</f>
        <v>279545.76</v>
      </c>
    </row>
    <row r="159" spans="1:22" hidden="1"/>
    <row r="160" spans="1:22" ht="15" hidden="1">
      <c r="A160" s="95" t="str">
        <f>CONCATENATE("Итого по разделу: ",IF(Source!G90&lt;&gt;"Новый раздел", Source!G90, ""))</f>
        <v>Итого по разделу: Посадка кустарников - 229шт.</v>
      </c>
      <c r="B160" s="95"/>
      <c r="C160" s="95"/>
      <c r="D160" s="95"/>
      <c r="E160" s="95"/>
      <c r="F160" s="95"/>
      <c r="G160" s="95"/>
      <c r="H160" s="95"/>
      <c r="I160" s="93">
        <f>SUM(P108:P159)</f>
        <v>440399.62</v>
      </c>
      <c r="J160" s="94"/>
      <c r="K160" s="33"/>
    </row>
    <row r="161" spans="1:22" hidden="1"/>
    <row r="162" spans="1:22" hidden="1">
      <c r="C162" s="88" t="str">
        <f>Source!H118</f>
        <v>Итого</v>
      </c>
      <c r="D162" s="88"/>
      <c r="E162" s="88"/>
      <c r="F162" s="88"/>
      <c r="G162" s="88"/>
      <c r="H162" s="88"/>
      <c r="I162" s="92">
        <f>IF(Source!F118=0, "", Source!F118)</f>
        <v>440399.62</v>
      </c>
      <c r="J162" s="92"/>
    </row>
    <row r="163" spans="1:22" hidden="1">
      <c r="C163" s="88" t="str">
        <f>Source!H119</f>
        <v>НДС 20%</v>
      </c>
      <c r="D163" s="88"/>
      <c r="E163" s="88"/>
      <c r="F163" s="88"/>
      <c r="G163" s="88"/>
      <c r="H163" s="88"/>
      <c r="I163" s="92">
        <f>IF(Source!F119=0, "", Source!F119)</f>
        <v>88079.92</v>
      </c>
      <c r="J163" s="92"/>
    </row>
    <row r="164" spans="1:22" hidden="1">
      <c r="C164" s="88" t="str">
        <f>Source!H120</f>
        <v>Всего с НДС</v>
      </c>
      <c r="D164" s="88"/>
      <c r="E164" s="88"/>
      <c r="F164" s="88"/>
      <c r="G164" s="88"/>
      <c r="H164" s="88"/>
      <c r="I164" s="92">
        <f>IF(Source!F120=0, "", Source!F120)</f>
        <v>528479.54</v>
      </c>
      <c r="J164" s="92"/>
    </row>
    <row r="165" spans="1:22" hidden="1"/>
    <row r="166" spans="1:22" ht="15" hidden="1">
      <c r="A166" s="80" t="str">
        <f>CONCATENATE("Раздел: ",IF(Source!G122&lt;&gt;"Новый раздел", Source!G122, ""))</f>
        <v>Раздел: Посадка деревьев лиственных - 4шт.</v>
      </c>
      <c r="B166" s="80"/>
      <c r="C166" s="80"/>
      <c r="D166" s="80"/>
      <c r="E166" s="80"/>
      <c r="F166" s="80"/>
      <c r="G166" s="80"/>
      <c r="H166" s="80"/>
      <c r="I166" s="80"/>
      <c r="J166" s="80"/>
      <c r="K166" s="80"/>
    </row>
    <row r="167" spans="1:22" ht="71.25">
      <c r="A167" s="20" t="str">
        <f>Source!E126</f>
        <v>14</v>
      </c>
      <c r="B167" s="21" t="str">
        <f>Source!F126</f>
        <v>5.4-3103-1-20/1</v>
      </c>
      <c r="C167" s="21" t="str">
        <f>Source!G126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D167" s="22" t="str">
        <f>Source!H126</f>
        <v>10 ям</v>
      </c>
      <c r="E167" s="15">
        <f>Source!I126</f>
        <v>0.24</v>
      </c>
      <c r="F167" s="24"/>
      <c r="G167" s="23"/>
      <c r="H167" s="15"/>
      <c r="I167" s="15"/>
      <c r="J167" s="29"/>
      <c r="K167" s="29"/>
      <c r="Q167" s="10">
        <f>ROUND((Source!BZ126/100)*ROUND((Source!AF126*Source!AV126)*Source!I126, 2), 2)</f>
        <v>1045.75</v>
      </c>
      <c r="R167" s="10">
        <f>Source!X126</f>
        <v>1045.75</v>
      </c>
      <c r="S167" s="10">
        <f>ROUND((Source!CA126/100)*ROUND((Source!AF126*Source!AV126)*Source!I126, 2), 2)</f>
        <v>149.38999999999999</v>
      </c>
      <c r="T167" s="10">
        <f>Source!Y126</f>
        <v>149.38999999999999</v>
      </c>
      <c r="U167" s="10">
        <f>ROUND((175/100)*ROUND((Source!AE126*Source!AV126)*Source!I126, 2), 2)</f>
        <v>128.08000000000001</v>
      </c>
      <c r="V167" s="10">
        <f>ROUND((108/100)*ROUND(Source!CS126*Source!I126, 2), 2)</f>
        <v>79.05</v>
      </c>
    </row>
    <row r="168" spans="1:22">
      <c r="C168" s="49" t="str">
        <f>"Объем: "&amp;Source!I126&amp;"=(4*"&amp;"0,6)/"&amp;"10"</f>
        <v>Объем: 0,24=(4*0,6)/10</v>
      </c>
    </row>
    <row r="169" spans="1:22">
      <c r="A169" s="20"/>
      <c r="B169" s="21"/>
      <c r="C169" s="21" t="s">
        <v>577</v>
      </c>
      <c r="D169" s="22"/>
      <c r="E169" s="15"/>
      <c r="F169" s="24">
        <f>Source!AO126</f>
        <v>6224.69</v>
      </c>
      <c r="G169" s="23" t="str">
        <f>Source!DG126</f>
        <v/>
      </c>
      <c r="H169" s="15">
        <f>Source!AV126</f>
        <v>1</v>
      </c>
      <c r="I169" s="15">
        <f>IF(Source!BA126&lt;&gt; 0, Source!BA126, 1)</f>
        <v>1</v>
      </c>
      <c r="J169" s="29">
        <f>Source!S126</f>
        <v>1493.93</v>
      </c>
      <c r="K169" s="29"/>
    </row>
    <row r="170" spans="1:22">
      <c r="A170" s="20"/>
      <c r="B170" s="21"/>
      <c r="C170" s="21" t="s">
        <v>578</v>
      </c>
      <c r="D170" s="22"/>
      <c r="E170" s="15"/>
      <c r="F170" s="24">
        <f>Source!AM126</f>
        <v>552.27</v>
      </c>
      <c r="G170" s="23" t="str">
        <f>Source!DE126</f>
        <v/>
      </c>
      <c r="H170" s="15">
        <f>Source!AV126</f>
        <v>1</v>
      </c>
      <c r="I170" s="15">
        <f>IF(Source!BB126&lt;&gt; 0, Source!BB126, 1)</f>
        <v>1</v>
      </c>
      <c r="J170" s="29">
        <f>Source!Q126</f>
        <v>132.54</v>
      </c>
      <c r="K170" s="29"/>
    </row>
    <row r="171" spans="1:22">
      <c r="A171" s="20"/>
      <c r="B171" s="21"/>
      <c r="C171" s="21" t="s">
        <v>579</v>
      </c>
      <c r="D171" s="22"/>
      <c r="E171" s="15"/>
      <c r="F171" s="24">
        <f>Source!AN126</f>
        <v>304.97000000000003</v>
      </c>
      <c r="G171" s="23" t="str">
        <f>Source!DF126</f>
        <v/>
      </c>
      <c r="H171" s="15">
        <f>Source!AV126</f>
        <v>1</v>
      </c>
      <c r="I171" s="15">
        <f>IF(Source!BS126&lt;&gt; 0, Source!BS126, 1)</f>
        <v>1</v>
      </c>
      <c r="J171" s="27">
        <f>Source!R126</f>
        <v>73.19</v>
      </c>
      <c r="K171" s="29"/>
    </row>
    <row r="172" spans="1:22">
      <c r="A172" s="20"/>
      <c r="B172" s="21"/>
      <c r="C172" s="21" t="s">
        <v>586</v>
      </c>
      <c r="D172" s="22"/>
      <c r="E172" s="15"/>
      <c r="F172" s="24">
        <f>Source!AL126</f>
        <v>6374.45</v>
      </c>
      <c r="G172" s="23" t="str">
        <f>Source!DD126</f>
        <v/>
      </c>
      <c r="H172" s="15">
        <f>Source!AW126</f>
        <v>1</v>
      </c>
      <c r="I172" s="15">
        <f>IF(Source!BC126&lt;&gt; 0, Source!BC126, 1)</f>
        <v>1</v>
      </c>
      <c r="J172" s="29">
        <f>Source!P126</f>
        <v>1529.87</v>
      </c>
      <c r="K172" s="29"/>
    </row>
    <row r="173" spans="1:22">
      <c r="A173" s="20"/>
      <c r="B173" s="21"/>
      <c r="C173" s="21" t="s">
        <v>580</v>
      </c>
      <c r="D173" s="22" t="s">
        <v>581</v>
      </c>
      <c r="E173" s="15">
        <f>Source!AT126</f>
        <v>70</v>
      </c>
      <c r="F173" s="24"/>
      <c r="G173" s="23"/>
      <c r="H173" s="15"/>
      <c r="I173" s="15"/>
      <c r="J173" s="29">
        <f>SUM(R167:R172)</f>
        <v>1045.75</v>
      </c>
      <c r="K173" s="29"/>
    </row>
    <row r="174" spans="1:22">
      <c r="A174" s="20"/>
      <c r="B174" s="21"/>
      <c r="C174" s="21" t="s">
        <v>582</v>
      </c>
      <c r="D174" s="22" t="s">
        <v>581</v>
      </c>
      <c r="E174" s="15">
        <f>Source!AU126</f>
        <v>10</v>
      </c>
      <c r="F174" s="24"/>
      <c r="G174" s="23"/>
      <c r="H174" s="15"/>
      <c r="I174" s="15"/>
      <c r="J174" s="29">
        <f>SUM(T167:T173)</f>
        <v>149.38999999999999</v>
      </c>
      <c r="K174" s="29"/>
    </row>
    <row r="175" spans="1:22">
      <c r="A175" s="20"/>
      <c r="B175" s="21"/>
      <c r="C175" s="21" t="s">
        <v>583</v>
      </c>
      <c r="D175" s="22" t="s">
        <v>581</v>
      </c>
      <c r="E175" s="15">
        <f>108</f>
        <v>108</v>
      </c>
      <c r="F175" s="24"/>
      <c r="G175" s="23"/>
      <c r="H175" s="15"/>
      <c r="I175" s="15"/>
      <c r="J175" s="29">
        <f>SUM(V167:V174)</f>
        <v>79.05</v>
      </c>
      <c r="K175" s="29"/>
    </row>
    <row r="176" spans="1:22">
      <c r="A176" s="20"/>
      <c r="B176" s="21"/>
      <c r="C176" s="21" t="s">
        <v>584</v>
      </c>
      <c r="D176" s="22" t="s">
        <v>585</v>
      </c>
      <c r="E176" s="15">
        <f>Source!AQ126</f>
        <v>34.44</v>
      </c>
      <c r="F176" s="24"/>
      <c r="G176" s="23" t="str">
        <f>Source!DI126</f>
        <v/>
      </c>
      <c r="H176" s="15">
        <f>Source!AV126</f>
        <v>1</v>
      </c>
      <c r="I176" s="15"/>
      <c r="J176" s="29"/>
      <c r="K176" s="29">
        <f>Source!U126</f>
        <v>8.2655999999999992</v>
      </c>
    </row>
    <row r="177" spans="1:22" ht="15">
      <c r="A177" s="50"/>
      <c r="B177" s="50"/>
      <c r="C177" s="50"/>
      <c r="D177" s="53"/>
      <c r="E177" s="50"/>
      <c r="F177" s="50"/>
      <c r="G177" s="50"/>
      <c r="H177" s="50"/>
      <c r="I177" s="91">
        <f>J169+J170+J172+J173+J174+J175</f>
        <v>4430.5300000000007</v>
      </c>
      <c r="J177" s="91"/>
      <c r="K177" s="31">
        <f>IF(Source!I126&lt;&gt;0, ROUND(I177/Source!I126, 2), 0)</f>
        <v>18460.54</v>
      </c>
      <c r="P177" s="51">
        <f>I177</f>
        <v>4430.5300000000007</v>
      </c>
    </row>
    <row r="178" spans="1:22" ht="57">
      <c r="A178" s="20" t="str">
        <f>Source!E127</f>
        <v>15</v>
      </c>
      <c r="B178" s="21" t="str">
        <f>Source!F127</f>
        <v>5.4-3103-3-20/1</v>
      </c>
      <c r="C178" s="21" t="str">
        <f>Source!G127</f>
        <v>Подготовка стандартных посадочных мест вручную, с круглым комом земли размером 0,8х0,6 м с добавлением растительной земли до 100%</v>
      </c>
      <c r="D178" s="22" t="str">
        <f>Source!H127</f>
        <v>10 ям</v>
      </c>
      <c r="E178" s="15">
        <f>Source!I127</f>
        <v>0.16</v>
      </c>
      <c r="F178" s="24"/>
      <c r="G178" s="23"/>
      <c r="H178" s="15"/>
      <c r="I178" s="15"/>
      <c r="J178" s="29"/>
      <c r="K178" s="29"/>
      <c r="Q178" s="10">
        <f>ROUND((Source!BZ127/100)*ROUND((Source!AF127*Source!AV127)*Source!I127, 2), 2)</f>
        <v>1189.27</v>
      </c>
      <c r="R178" s="10">
        <f>Source!X127</f>
        <v>1189.27</v>
      </c>
      <c r="S178" s="10">
        <f>ROUND((Source!CA127/100)*ROUND((Source!AF127*Source!AV127)*Source!I127, 2), 2)</f>
        <v>169.9</v>
      </c>
      <c r="T178" s="10">
        <f>Source!Y127</f>
        <v>169.9</v>
      </c>
      <c r="U178" s="10">
        <f>ROUND((175/100)*ROUND((Source!AE127*Source!AV127)*Source!I127, 2), 2)</f>
        <v>0</v>
      </c>
      <c r="V178" s="10">
        <f>ROUND((108/100)*ROUND(Source!CS127*Source!I127, 2), 2)</f>
        <v>0</v>
      </c>
    </row>
    <row r="179" spans="1:22">
      <c r="C179" s="49" t="str">
        <f>"Объем: "&amp;Source!I127&amp;"=(4*"&amp;"0,4)/"&amp;"10"</f>
        <v>Объем: 0,16=(4*0,4)/10</v>
      </c>
    </row>
    <row r="180" spans="1:22">
      <c r="A180" s="20"/>
      <c r="B180" s="21"/>
      <c r="C180" s="21" t="s">
        <v>577</v>
      </c>
      <c r="D180" s="22"/>
      <c r="E180" s="15"/>
      <c r="F180" s="24">
        <f>Source!AO127</f>
        <v>10618.48</v>
      </c>
      <c r="G180" s="23" t="str">
        <f>Source!DG127</f>
        <v/>
      </c>
      <c r="H180" s="15">
        <f>Source!AV127</f>
        <v>1</v>
      </c>
      <c r="I180" s="15">
        <f>IF(Source!BA127&lt;&gt; 0, Source!BA127, 1)</f>
        <v>1</v>
      </c>
      <c r="J180" s="29">
        <f>Source!S127</f>
        <v>1698.96</v>
      </c>
      <c r="K180" s="29"/>
    </row>
    <row r="181" spans="1:22">
      <c r="A181" s="20"/>
      <c r="B181" s="21"/>
      <c r="C181" s="21" t="s">
        <v>586</v>
      </c>
      <c r="D181" s="22"/>
      <c r="E181" s="15"/>
      <c r="F181" s="24">
        <f>Source!AL127</f>
        <v>6374.45</v>
      </c>
      <c r="G181" s="23" t="str">
        <f>Source!DD127</f>
        <v/>
      </c>
      <c r="H181" s="15">
        <f>Source!AW127</f>
        <v>1</v>
      </c>
      <c r="I181" s="15">
        <f>IF(Source!BC127&lt;&gt; 0, Source!BC127, 1)</f>
        <v>1</v>
      </c>
      <c r="J181" s="29">
        <f>Source!P127</f>
        <v>1019.91</v>
      </c>
      <c r="K181" s="29"/>
    </row>
    <row r="182" spans="1:22">
      <c r="A182" s="20"/>
      <c r="B182" s="21"/>
      <c r="C182" s="21" t="s">
        <v>580</v>
      </c>
      <c r="D182" s="22" t="s">
        <v>581</v>
      </c>
      <c r="E182" s="15">
        <f>Source!AT127</f>
        <v>70</v>
      </c>
      <c r="F182" s="24"/>
      <c r="G182" s="23"/>
      <c r="H182" s="15"/>
      <c r="I182" s="15"/>
      <c r="J182" s="29">
        <f>SUM(R178:R181)</f>
        <v>1189.27</v>
      </c>
      <c r="K182" s="29"/>
    </row>
    <row r="183" spans="1:22">
      <c r="A183" s="20"/>
      <c r="B183" s="21"/>
      <c r="C183" s="21" t="s">
        <v>582</v>
      </c>
      <c r="D183" s="22" t="s">
        <v>581</v>
      </c>
      <c r="E183" s="15">
        <f>Source!AU127</f>
        <v>10</v>
      </c>
      <c r="F183" s="24"/>
      <c r="G183" s="23"/>
      <c r="H183" s="15"/>
      <c r="I183" s="15"/>
      <c r="J183" s="29">
        <f>SUM(T178:T182)</f>
        <v>169.9</v>
      </c>
      <c r="K183" s="29"/>
    </row>
    <row r="184" spans="1:22">
      <c r="A184" s="20"/>
      <c r="B184" s="21"/>
      <c r="C184" s="21" t="s">
        <v>584</v>
      </c>
      <c r="D184" s="22" t="s">
        <v>585</v>
      </c>
      <c r="E184" s="15">
        <f>Source!AQ127</f>
        <v>58.75</v>
      </c>
      <c r="F184" s="24"/>
      <c r="G184" s="23" t="str">
        <f>Source!DI127</f>
        <v/>
      </c>
      <c r="H184" s="15">
        <f>Source!AV127</f>
        <v>1</v>
      </c>
      <c r="I184" s="15"/>
      <c r="J184" s="29"/>
      <c r="K184" s="29">
        <f>Source!U127</f>
        <v>9.4</v>
      </c>
    </row>
    <row r="185" spans="1:22" ht="15">
      <c r="A185" s="50"/>
      <c r="B185" s="50"/>
      <c r="C185" s="50"/>
      <c r="D185" s="53"/>
      <c r="E185" s="50"/>
      <c r="F185" s="50"/>
      <c r="G185" s="50"/>
      <c r="H185" s="50"/>
      <c r="I185" s="91">
        <f>J180+J181+J182+J183</f>
        <v>4078.04</v>
      </c>
      <c r="J185" s="91"/>
      <c r="K185" s="31">
        <f>IF(Source!I127&lt;&gt;0, ROUND(I185/Source!I127, 2), 0)</f>
        <v>25487.75</v>
      </c>
      <c r="P185" s="51">
        <f>I185</f>
        <v>4078.04</v>
      </c>
    </row>
    <row r="186" spans="1:22" ht="99.75">
      <c r="A186" s="20" t="str">
        <f>Source!E128</f>
        <v>16</v>
      </c>
      <c r="B186" s="21" t="str">
        <f>Source!F128</f>
        <v>5.4-3503-1-1/1</v>
      </c>
      <c r="C186" s="21" t="str">
        <f>Source!G128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4дерева =4,52м3 - при слое 20 см покрываемая площадь 4,52м3/0,2м х 0,75)</v>
      </c>
      <c r="D186" s="22" t="str">
        <f>Source!H128</f>
        <v>100 м2</v>
      </c>
      <c r="E186" s="15">
        <f>Source!I128</f>
        <v>0.16950000000000001</v>
      </c>
      <c r="F186" s="24"/>
      <c r="G186" s="23"/>
      <c r="H186" s="15"/>
      <c r="I186" s="15"/>
      <c r="J186" s="29"/>
      <c r="K186" s="29"/>
      <c r="Q186" s="10">
        <f>ROUND((Source!BZ128/100)*ROUND((Source!AF128*Source!AV128)*Source!I128, 2), 2)</f>
        <v>0</v>
      </c>
      <c r="R186" s="10">
        <f>Source!X128</f>
        <v>0</v>
      </c>
      <c r="S186" s="10">
        <f>ROUND((Source!CA128/100)*ROUND((Source!AF128*Source!AV128)*Source!I128, 2), 2)</f>
        <v>0</v>
      </c>
      <c r="T186" s="10">
        <f>Source!Y128</f>
        <v>0</v>
      </c>
      <c r="U186" s="10">
        <f>ROUND((175/100)*ROUND((Source!AE128*Source!AV128)*Source!I128, 2), 2)</f>
        <v>33.06</v>
      </c>
      <c r="V186" s="10">
        <f>ROUND((108/100)*ROUND(Source!CS128*Source!I128, 2), 2)</f>
        <v>20.399999999999999</v>
      </c>
    </row>
    <row r="187" spans="1:22">
      <c r="C187" s="49" t="str">
        <f>"Объем: "&amp;Source!I128&amp;"=16,95/"&amp;"100"</f>
        <v>Объем: 0,1695=16,95/100</v>
      </c>
    </row>
    <row r="188" spans="1:22">
      <c r="A188" s="20"/>
      <c r="B188" s="21"/>
      <c r="C188" s="21" t="s">
        <v>578</v>
      </c>
      <c r="D188" s="22"/>
      <c r="E188" s="15"/>
      <c r="F188" s="24">
        <f>Source!AM128</f>
        <v>296.60000000000002</v>
      </c>
      <c r="G188" s="23" t="str">
        <f>Source!DE128</f>
        <v/>
      </c>
      <c r="H188" s="15">
        <f>Source!AV128</f>
        <v>1</v>
      </c>
      <c r="I188" s="15">
        <f>IF(Source!BB128&lt;&gt; 0, Source!BB128, 1)</f>
        <v>1</v>
      </c>
      <c r="J188" s="29">
        <f>Source!Q128</f>
        <v>50.27</v>
      </c>
      <c r="K188" s="29"/>
    </row>
    <row r="189" spans="1:22">
      <c r="A189" s="20"/>
      <c r="B189" s="21"/>
      <c r="C189" s="21" t="s">
        <v>579</v>
      </c>
      <c r="D189" s="22"/>
      <c r="E189" s="15"/>
      <c r="F189" s="24">
        <f>Source!AN128</f>
        <v>111.43</v>
      </c>
      <c r="G189" s="23" t="str">
        <f>Source!DF128</f>
        <v/>
      </c>
      <c r="H189" s="15">
        <f>Source!AV128</f>
        <v>1</v>
      </c>
      <c r="I189" s="15">
        <f>IF(Source!BS128&lt;&gt; 0, Source!BS128, 1)</f>
        <v>1</v>
      </c>
      <c r="J189" s="27">
        <f>Source!R128</f>
        <v>18.89</v>
      </c>
      <c r="K189" s="29"/>
    </row>
    <row r="190" spans="1:22">
      <c r="A190" s="20"/>
      <c r="B190" s="21"/>
      <c r="C190" s="21" t="s">
        <v>583</v>
      </c>
      <c r="D190" s="22" t="s">
        <v>581</v>
      </c>
      <c r="E190" s="15">
        <f>108</f>
        <v>108</v>
      </c>
      <c r="F190" s="24"/>
      <c r="G190" s="23"/>
      <c r="H190" s="15"/>
      <c r="I190" s="15"/>
      <c r="J190" s="29">
        <f>SUM(V186:V189)</f>
        <v>20.399999999999999</v>
      </c>
      <c r="K190" s="29"/>
    </row>
    <row r="191" spans="1:22" ht="15">
      <c r="A191" s="50"/>
      <c r="B191" s="50"/>
      <c r="C191" s="50"/>
      <c r="D191" s="53"/>
      <c r="E191" s="50"/>
      <c r="F191" s="50"/>
      <c r="G191" s="50"/>
      <c r="H191" s="50"/>
      <c r="I191" s="91">
        <f>J188+J190</f>
        <v>70.67</v>
      </c>
      <c r="J191" s="91"/>
      <c r="K191" s="31">
        <f>IF(Source!I128&lt;&gt;0, ROUND(I191/Source!I128, 2), 0)</f>
        <v>416.93</v>
      </c>
      <c r="P191" s="51">
        <f>I191</f>
        <v>70.67</v>
      </c>
    </row>
    <row r="192" spans="1:22" ht="71.25">
      <c r="A192" s="20" t="str">
        <f>Source!E129</f>
        <v>17</v>
      </c>
      <c r="B192" s="21" t="str">
        <f>Source!F129</f>
        <v>5.4-3503-1-2/1</v>
      </c>
      <c r="C192" s="21" t="str">
        <f>Source!G129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4,52м3/0,2м х 0,25)</v>
      </c>
      <c r="D192" s="22" t="str">
        <f>Source!H129</f>
        <v>100 м2</v>
      </c>
      <c r="E192" s="15">
        <f>Source!I129</f>
        <v>5.6500000000000002E-2</v>
      </c>
      <c r="F192" s="24"/>
      <c r="G192" s="23"/>
      <c r="H192" s="15"/>
      <c r="I192" s="15"/>
      <c r="J192" s="29"/>
      <c r="K192" s="29"/>
      <c r="Q192" s="10">
        <f>ROUND((Source!BZ129/100)*ROUND((Source!AF129*Source!AV129)*Source!I129, 2), 2)</f>
        <v>83.85</v>
      </c>
      <c r="R192" s="10">
        <f>Source!X129</f>
        <v>83.85</v>
      </c>
      <c r="S192" s="10">
        <f>ROUND((Source!CA129/100)*ROUND((Source!AF129*Source!AV129)*Source!I129, 2), 2)</f>
        <v>11.98</v>
      </c>
      <c r="T192" s="10">
        <f>Source!Y129</f>
        <v>11.98</v>
      </c>
      <c r="U192" s="10">
        <f>ROUND((175/100)*ROUND((Source!AE129*Source!AV129)*Source!I129, 2), 2)</f>
        <v>0</v>
      </c>
      <c r="V192" s="10">
        <f>ROUND((108/100)*ROUND(Source!CS129*Source!I129, 2), 2)</f>
        <v>0</v>
      </c>
    </row>
    <row r="193" spans="1:22">
      <c r="C193" s="49" t="str">
        <f>"Объем: "&amp;Source!I129&amp;"=5,65/"&amp;"100"</f>
        <v>Объем: 0,0565=5,65/100</v>
      </c>
    </row>
    <row r="194" spans="1:22">
      <c r="A194" s="20"/>
      <c r="B194" s="21"/>
      <c r="C194" s="21" t="s">
        <v>577</v>
      </c>
      <c r="D194" s="22"/>
      <c r="E194" s="15"/>
      <c r="F194" s="24">
        <f>Source!AO129</f>
        <v>2120.08</v>
      </c>
      <c r="G194" s="23" t="str">
        <f>Source!DG129</f>
        <v/>
      </c>
      <c r="H194" s="15">
        <f>Source!AV129</f>
        <v>1</v>
      </c>
      <c r="I194" s="15">
        <f>IF(Source!BA129&lt;&gt; 0, Source!BA129, 1)</f>
        <v>1</v>
      </c>
      <c r="J194" s="29">
        <f>Source!S129</f>
        <v>119.78</v>
      </c>
      <c r="K194" s="29"/>
    </row>
    <row r="195" spans="1:22">
      <c r="A195" s="20"/>
      <c r="B195" s="21"/>
      <c r="C195" s="21" t="s">
        <v>580</v>
      </c>
      <c r="D195" s="22" t="s">
        <v>581</v>
      </c>
      <c r="E195" s="15">
        <f>Source!AT129</f>
        <v>70</v>
      </c>
      <c r="F195" s="24"/>
      <c r="G195" s="23"/>
      <c r="H195" s="15"/>
      <c r="I195" s="15"/>
      <c r="J195" s="29">
        <f>SUM(R192:R194)</f>
        <v>83.85</v>
      </c>
      <c r="K195" s="29"/>
    </row>
    <row r="196" spans="1:22">
      <c r="A196" s="20"/>
      <c r="B196" s="21"/>
      <c r="C196" s="21" t="s">
        <v>582</v>
      </c>
      <c r="D196" s="22" t="s">
        <v>581</v>
      </c>
      <c r="E196" s="15">
        <f>Source!AU129</f>
        <v>10</v>
      </c>
      <c r="F196" s="24"/>
      <c r="G196" s="23"/>
      <c r="H196" s="15"/>
      <c r="I196" s="15"/>
      <c r="J196" s="29">
        <f>SUM(T192:T195)</f>
        <v>11.98</v>
      </c>
      <c r="K196" s="29"/>
    </row>
    <row r="197" spans="1:22">
      <c r="A197" s="20"/>
      <c r="B197" s="21"/>
      <c r="C197" s="21" t="s">
        <v>584</v>
      </c>
      <c r="D197" s="22" t="s">
        <v>585</v>
      </c>
      <c r="E197" s="15">
        <f>Source!AQ129</f>
        <v>11.73</v>
      </c>
      <c r="F197" s="24"/>
      <c r="G197" s="23" t="str">
        <f>Source!DI129</f>
        <v/>
      </c>
      <c r="H197" s="15">
        <f>Source!AV129</f>
        <v>1</v>
      </c>
      <c r="I197" s="15"/>
      <c r="J197" s="29"/>
      <c r="K197" s="29">
        <f>Source!U129</f>
        <v>0.66274500000000003</v>
      </c>
    </row>
    <row r="198" spans="1:22" ht="15">
      <c r="A198" s="50"/>
      <c r="B198" s="50"/>
      <c r="C198" s="50"/>
      <c r="D198" s="53"/>
      <c r="E198" s="50"/>
      <c r="F198" s="50"/>
      <c r="G198" s="50"/>
      <c r="H198" s="50"/>
      <c r="I198" s="91">
        <f>J194+J195+J196</f>
        <v>215.60999999999999</v>
      </c>
      <c r="J198" s="91"/>
      <c r="K198" s="31">
        <f>IF(Source!I129&lt;&gt;0, ROUND(I198/Source!I129, 2), 0)</f>
        <v>3816.11</v>
      </c>
      <c r="P198" s="51">
        <f>I198</f>
        <v>215.60999999999999</v>
      </c>
    </row>
    <row r="199" spans="1:22" ht="42.75">
      <c r="A199" s="20" t="str">
        <f>Source!E130</f>
        <v>18</v>
      </c>
      <c r="B199" s="21" t="str">
        <f>Source!F130</f>
        <v>5.4-3103-6-4/1</v>
      </c>
      <c r="C199" s="21" t="str">
        <f>Source!G130</f>
        <v>Посадка деревьев и кустарников с комом земли, диаметром 0,8 м и высотой 0,6 м (без стоимости деревьев и кустарников)</v>
      </c>
      <c r="D199" s="22" t="str">
        <f>Source!H130</f>
        <v>10 шт.</v>
      </c>
      <c r="E199" s="15">
        <f>Source!I130</f>
        <v>0.4</v>
      </c>
      <c r="F199" s="24"/>
      <c r="G199" s="23"/>
      <c r="H199" s="15"/>
      <c r="I199" s="15"/>
      <c r="J199" s="29"/>
      <c r="K199" s="29"/>
      <c r="Q199" s="10">
        <f>ROUND((Source!BZ130/100)*ROUND((Source!AF130*Source!AV130)*Source!I130, 2), 2)</f>
        <v>1377.04</v>
      </c>
      <c r="R199" s="10">
        <f>Source!X130</f>
        <v>1377.04</v>
      </c>
      <c r="S199" s="10">
        <f>ROUND((Source!CA130/100)*ROUND((Source!AF130*Source!AV130)*Source!I130, 2), 2)</f>
        <v>196.72</v>
      </c>
      <c r="T199" s="10">
        <f>Source!Y130</f>
        <v>196.72</v>
      </c>
      <c r="U199" s="10">
        <f>ROUND((175/100)*ROUND((Source!AE130*Source!AV130)*Source!I130, 2), 2)</f>
        <v>243.95</v>
      </c>
      <c r="V199" s="10">
        <f>ROUND((108/100)*ROUND(Source!CS130*Source!I130, 2), 2)</f>
        <v>150.55000000000001</v>
      </c>
    </row>
    <row r="200" spans="1:22">
      <c r="C200" s="49" t="str">
        <f>"Объем: "&amp;Source!I130&amp;"=4/"&amp;"10"</f>
        <v>Объем: 0,4=4/10</v>
      </c>
    </row>
    <row r="201" spans="1:22">
      <c r="A201" s="20"/>
      <c r="B201" s="21"/>
      <c r="C201" s="21" t="s">
        <v>577</v>
      </c>
      <c r="D201" s="22"/>
      <c r="E201" s="15"/>
      <c r="F201" s="24">
        <f>Source!AO130</f>
        <v>4918</v>
      </c>
      <c r="G201" s="23" t="str">
        <f>Source!DG130</f>
        <v/>
      </c>
      <c r="H201" s="15">
        <f>Source!AV130</f>
        <v>1</v>
      </c>
      <c r="I201" s="15">
        <f>IF(Source!BA130&lt;&gt; 0, Source!BA130, 1)</f>
        <v>1</v>
      </c>
      <c r="J201" s="29">
        <f>Source!S130</f>
        <v>1967.2</v>
      </c>
      <c r="K201" s="29"/>
    </row>
    <row r="202" spans="1:22">
      <c r="A202" s="20"/>
      <c r="B202" s="21"/>
      <c r="C202" s="21" t="s">
        <v>578</v>
      </c>
      <c r="D202" s="22"/>
      <c r="E202" s="15"/>
      <c r="F202" s="24">
        <f>Source!AM130</f>
        <v>1535.65</v>
      </c>
      <c r="G202" s="23" t="str">
        <f>Source!DE130</f>
        <v/>
      </c>
      <c r="H202" s="15">
        <f>Source!AV130</f>
        <v>1</v>
      </c>
      <c r="I202" s="15">
        <f>IF(Source!BB130&lt;&gt; 0, Source!BB130, 1)</f>
        <v>1</v>
      </c>
      <c r="J202" s="29">
        <f>Source!Q130</f>
        <v>614.26</v>
      </c>
      <c r="K202" s="29"/>
    </row>
    <row r="203" spans="1:22">
      <c r="A203" s="20"/>
      <c r="B203" s="21"/>
      <c r="C203" s="21" t="s">
        <v>579</v>
      </c>
      <c r="D203" s="22"/>
      <c r="E203" s="15"/>
      <c r="F203" s="24">
        <f>Source!AN130</f>
        <v>348.51</v>
      </c>
      <c r="G203" s="23" t="str">
        <f>Source!DF130</f>
        <v/>
      </c>
      <c r="H203" s="15">
        <f>Source!AV130</f>
        <v>1</v>
      </c>
      <c r="I203" s="15">
        <f>IF(Source!BS130&lt;&gt; 0, Source!BS130, 1)</f>
        <v>1</v>
      </c>
      <c r="J203" s="27">
        <f>Source!R130</f>
        <v>139.4</v>
      </c>
      <c r="K203" s="29"/>
    </row>
    <row r="204" spans="1:22">
      <c r="A204" s="20"/>
      <c r="B204" s="21"/>
      <c r="C204" s="21" t="s">
        <v>586</v>
      </c>
      <c r="D204" s="22"/>
      <c r="E204" s="15"/>
      <c r="F204" s="24">
        <f>Source!AL130</f>
        <v>830.02</v>
      </c>
      <c r="G204" s="23" t="str">
        <f>Source!DD130</f>
        <v/>
      </c>
      <c r="H204" s="15">
        <f>Source!AW130</f>
        <v>1</v>
      </c>
      <c r="I204" s="15">
        <f>IF(Source!BC130&lt;&gt; 0, Source!BC130, 1)</f>
        <v>1</v>
      </c>
      <c r="J204" s="29">
        <f>Source!P130</f>
        <v>332.01</v>
      </c>
      <c r="K204" s="29"/>
    </row>
    <row r="205" spans="1:22" ht="57">
      <c r="A205" s="20" t="str">
        <f>Source!E131</f>
        <v>18,1</v>
      </c>
      <c r="B205" s="21" t="str">
        <f>Source!F131</f>
        <v>коммерческое предложение</v>
      </c>
      <c r="C205" s="21" t="str">
        <f>Source!G131</f>
        <v>Деревья декоративные лиственных пород с комом земли, порода: Яблоня декоративная (шар), высота - 1,2 -1,4м, размер кома: диаметр-0,8 м, высота-0,6 м</v>
      </c>
      <c r="D205" s="22" t="str">
        <f>Source!H131</f>
        <v>шт.</v>
      </c>
      <c r="E205" s="15">
        <f>Source!I131</f>
        <v>4</v>
      </c>
      <c r="F205" s="24">
        <f>Source!AK131</f>
        <v>2833.33</v>
      </c>
      <c r="G205" s="32" t="s">
        <v>3</v>
      </c>
      <c r="H205" s="15">
        <f>Source!AW131</f>
        <v>1</v>
      </c>
      <c r="I205" s="15">
        <f>IF(Source!BC131&lt;&gt; 0, Source!BC131, 1)</f>
        <v>1</v>
      </c>
      <c r="J205" s="29">
        <f>Source!O131</f>
        <v>11333.32</v>
      </c>
      <c r="K205" s="29"/>
      <c r="Q205" s="10">
        <f>ROUND((Source!BZ131/100)*ROUND((Source!AF131*Source!AV131)*Source!I131, 2), 2)</f>
        <v>0</v>
      </c>
      <c r="R205" s="10">
        <f>Source!X131</f>
        <v>0</v>
      </c>
      <c r="S205" s="10">
        <f>ROUND((Source!CA131/100)*ROUND((Source!AF131*Source!AV131)*Source!I131, 2), 2)</f>
        <v>0</v>
      </c>
      <c r="T205" s="10">
        <f>Source!Y131</f>
        <v>0</v>
      </c>
      <c r="U205" s="10">
        <f>ROUND((175/100)*ROUND((Source!AE131*Source!AV131)*Source!I131, 2), 2)</f>
        <v>0</v>
      </c>
      <c r="V205" s="10">
        <f>ROUND((108/100)*ROUND(Source!CS131*Source!I131, 2), 2)</f>
        <v>0</v>
      </c>
    </row>
    <row r="206" spans="1:22">
      <c r="A206" s="20"/>
      <c r="B206" s="21"/>
      <c r="C206" s="21" t="s">
        <v>580</v>
      </c>
      <c r="D206" s="22" t="s">
        <v>581</v>
      </c>
      <c r="E206" s="15">
        <f>Source!AT130</f>
        <v>70</v>
      </c>
      <c r="F206" s="24"/>
      <c r="G206" s="23"/>
      <c r="H206" s="15"/>
      <c r="I206" s="15"/>
      <c r="J206" s="29">
        <f>SUM(R199:R205)</f>
        <v>1377.04</v>
      </c>
      <c r="K206" s="29"/>
    </row>
    <row r="207" spans="1:22">
      <c r="A207" s="20"/>
      <c r="B207" s="21"/>
      <c r="C207" s="21" t="s">
        <v>582</v>
      </c>
      <c r="D207" s="22" t="s">
        <v>581</v>
      </c>
      <c r="E207" s="15">
        <f>Source!AU130</f>
        <v>10</v>
      </c>
      <c r="F207" s="24"/>
      <c r="G207" s="23"/>
      <c r="H207" s="15"/>
      <c r="I207" s="15"/>
      <c r="J207" s="29">
        <f>SUM(T199:T206)</f>
        <v>196.72</v>
      </c>
      <c r="K207" s="29"/>
    </row>
    <row r="208" spans="1:22">
      <c r="A208" s="20"/>
      <c r="B208" s="21"/>
      <c r="C208" s="21" t="s">
        <v>583</v>
      </c>
      <c r="D208" s="22" t="s">
        <v>581</v>
      </c>
      <c r="E208" s="15">
        <f>108</f>
        <v>108</v>
      </c>
      <c r="F208" s="24"/>
      <c r="G208" s="23"/>
      <c r="H208" s="15"/>
      <c r="I208" s="15"/>
      <c r="J208" s="29">
        <f>SUM(V199:V207)</f>
        <v>150.55000000000001</v>
      </c>
      <c r="K208" s="29"/>
    </row>
    <row r="209" spans="1:22">
      <c r="A209" s="20"/>
      <c r="B209" s="21"/>
      <c r="C209" s="21" t="s">
        <v>584</v>
      </c>
      <c r="D209" s="22" t="s">
        <v>585</v>
      </c>
      <c r="E209" s="15">
        <f>Source!AQ130</f>
        <v>20.71</v>
      </c>
      <c r="F209" s="24"/>
      <c r="G209" s="23" t="str">
        <f>Source!DI130</f>
        <v/>
      </c>
      <c r="H209" s="15">
        <f>Source!AV130</f>
        <v>1</v>
      </c>
      <c r="I209" s="15"/>
      <c r="J209" s="29"/>
      <c r="K209" s="29">
        <f>Source!U130</f>
        <v>8.2840000000000007</v>
      </c>
    </row>
    <row r="210" spans="1:22" ht="15">
      <c r="A210" s="50"/>
      <c r="B210" s="50"/>
      <c r="C210" s="50"/>
      <c r="D210" s="53"/>
      <c r="E210" s="50"/>
      <c r="F210" s="50"/>
      <c r="G210" s="50"/>
      <c r="H210" s="50"/>
      <c r="I210" s="91">
        <f>J201+J202+J204+J206+J207+J208+SUM(J205:J205)</f>
        <v>15971.1</v>
      </c>
      <c r="J210" s="91"/>
      <c r="K210" s="31">
        <f>IF(Source!I130&lt;&gt;0, ROUND(I210/Source!I130, 2), 0)</f>
        <v>39927.75</v>
      </c>
      <c r="P210" s="51">
        <f>I210</f>
        <v>15971.1</v>
      </c>
    </row>
    <row r="211" spans="1:22" hidden="1"/>
    <row r="212" spans="1:22" ht="15" hidden="1">
      <c r="A212" s="95" t="str">
        <f>CONCATENATE("Итого по разделу: ",IF(Source!G133&lt;&gt;"Новый раздел", Source!G133, ""))</f>
        <v>Итого по разделу: Посадка деревьев лиственных - 4шт.</v>
      </c>
      <c r="B212" s="95"/>
      <c r="C212" s="95"/>
      <c r="D212" s="95"/>
      <c r="E212" s="95"/>
      <c r="F212" s="95"/>
      <c r="G212" s="95"/>
      <c r="H212" s="95"/>
      <c r="I212" s="93">
        <f>SUM(P166:P211)</f>
        <v>24765.95</v>
      </c>
      <c r="J212" s="94"/>
      <c r="K212" s="33"/>
    </row>
    <row r="213" spans="1:22" hidden="1"/>
    <row r="214" spans="1:22" hidden="1">
      <c r="C214" s="88" t="str">
        <f>Source!H161</f>
        <v>Итого</v>
      </c>
      <c r="D214" s="88"/>
      <c r="E214" s="88"/>
      <c r="F214" s="88"/>
      <c r="G214" s="88"/>
      <c r="H214" s="88"/>
      <c r="I214" s="92">
        <f>IF(Source!F161=0, "", Source!F161)</f>
        <v>24765.95</v>
      </c>
      <c r="J214" s="92"/>
    </row>
    <row r="215" spans="1:22" hidden="1">
      <c r="C215" s="88" t="str">
        <f>Source!H162</f>
        <v>НДС 20%</v>
      </c>
      <c r="D215" s="88"/>
      <c r="E215" s="88"/>
      <c r="F215" s="88"/>
      <c r="G215" s="88"/>
      <c r="H215" s="88"/>
      <c r="I215" s="92">
        <f>IF(Source!F162=0, "", Source!F162)</f>
        <v>4953.1899999999996</v>
      </c>
      <c r="J215" s="92"/>
    </row>
    <row r="216" spans="1:22" hidden="1">
      <c r="C216" s="88" t="str">
        <f>Source!H163</f>
        <v>Всего с НДС</v>
      </c>
      <c r="D216" s="88"/>
      <c r="E216" s="88"/>
      <c r="F216" s="88"/>
      <c r="G216" s="88"/>
      <c r="H216" s="88"/>
      <c r="I216" s="92">
        <f>IF(Source!F163=0, "", Source!F163)</f>
        <v>29719.14</v>
      </c>
      <c r="J216" s="92"/>
    </row>
    <row r="217" spans="1:22" hidden="1"/>
    <row r="218" spans="1:22" ht="15" hidden="1">
      <c r="A218" s="80" t="str">
        <f>CONCATENATE("Раздел: ",IF(Source!G165&lt;&gt;"Новый раздел", Source!G165, ""))</f>
        <v>Раздел: Посадка деревьев хвойных - 21шт.</v>
      </c>
      <c r="B218" s="80"/>
      <c r="C218" s="80"/>
      <c r="D218" s="80"/>
      <c r="E218" s="80"/>
      <c r="F218" s="80"/>
      <c r="G218" s="80"/>
      <c r="H218" s="80"/>
      <c r="I218" s="80"/>
      <c r="J218" s="80"/>
      <c r="K218" s="80"/>
    </row>
    <row r="219" spans="1:22" ht="71.25">
      <c r="A219" s="20" t="str">
        <f>Source!E169</f>
        <v>19</v>
      </c>
      <c r="B219" s="21" t="str">
        <f>Source!F169</f>
        <v>5.4-3103-1-20/1</v>
      </c>
      <c r="C219" s="21" t="str">
        <f>Source!G169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D219" s="22" t="str">
        <f>Source!H169</f>
        <v>10 ям</v>
      </c>
      <c r="E219" s="15">
        <f>Source!I169</f>
        <v>0.24</v>
      </c>
      <c r="F219" s="24"/>
      <c r="G219" s="23"/>
      <c r="H219" s="15"/>
      <c r="I219" s="15"/>
      <c r="J219" s="29"/>
      <c r="K219" s="29"/>
      <c r="Q219" s="10">
        <f>ROUND((Source!BZ169/100)*ROUND((Source!AF169*Source!AV169)*Source!I169, 2), 2)</f>
        <v>1045.75</v>
      </c>
      <c r="R219" s="10">
        <f>Source!X169</f>
        <v>1045.75</v>
      </c>
      <c r="S219" s="10">
        <f>ROUND((Source!CA169/100)*ROUND((Source!AF169*Source!AV169)*Source!I169, 2), 2)</f>
        <v>149.38999999999999</v>
      </c>
      <c r="T219" s="10">
        <f>Source!Y169</f>
        <v>149.38999999999999</v>
      </c>
      <c r="U219" s="10">
        <f>ROUND((175/100)*ROUND((Source!AE169*Source!AV169)*Source!I169, 2), 2)</f>
        <v>128.08000000000001</v>
      </c>
      <c r="V219" s="10">
        <f>ROUND((108/100)*ROUND(Source!CS169*Source!I169, 2), 2)</f>
        <v>79.05</v>
      </c>
    </row>
    <row r="220" spans="1:22">
      <c r="C220" s="49" t="str">
        <f>"Объем: "&amp;Source!I169&amp;"=(4*"&amp;"0,6)/"&amp;"10"</f>
        <v>Объем: 0,24=(4*0,6)/10</v>
      </c>
    </row>
    <row r="221" spans="1:22">
      <c r="A221" s="20"/>
      <c r="B221" s="21"/>
      <c r="C221" s="21" t="s">
        <v>577</v>
      </c>
      <c r="D221" s="22"/>
      <c r="E221" s="15"/>
      <c r="F221" s="24">
        <f>Source!AO169</f>
        <v>6224.69</v>
      </c>
      <c r="G221" s="23" t="str">
        <f>Source!DG169</f>
        <v/>
      </c>
      <c r="H221" s="15">
        <f>Source!AV169</f>
        <v>1</v>
      </c>
      <c r="I221" s="15">
        <f>IF(Source!BA169&lt;&gt; 0, Source!BA169, 1)</f>
        <v>1</v>
      </c>
      <c r="J221" s="29">
        <f>Source!S169</f>
        <v>1493.93</v>
      </c>
      <c r="K221" s="29"/>
    </row>
    <row r="222" spans="1:22">
      <c r="A222" s="20"/>
      <c r="B222" s="21"/>
      <c r="C222" s="21" t="s">
        <v>578</v>
      </c>
      <c r="D222" s="22"/>
      <c r="E222" s="15"/>
      <c r="F222" s="24">
        <f>Source!AM169</f>
        <v>552.27</v>
      </c>
      <c r="G222" s="23" t="str">
        <f>Source!DE169</f>
        <v/>
      </c>
      <c r="H222" s="15">
        <f>Source!AV169</f>
        <v>1</v>
      </c>
      <c r="I222" s="15">
        <f>IF(Source!BB169&lt;&gt; 0, Source!BB169, 1)</f>
        <v>1</v>
      </c>
      <c r="J222" s="29">
        <f>Source!Q169</f>
        <v>132.54</v>
      </c>
      <c r="K222" s="29"/>
    </row>
    <row r="223" spans="1:22">
      <c r="A223" s="20"/>
      <c r="B223" s="21"/>
      <c r="C223" s="21" t="s">
        <v>579</v>
      </c>
      <c r="D223" s="22"/>
      <c r="E223" s="15"/>
      <c r="F223" s="24">
        <f>Source!AN169</f>
        <v>304.97000000000003</v>
      </c>
      <c r="G223" s="23" t="str">
        <f>Source!DF169</f>
        <v/>
      </c>
      <c r="H223" s="15">
        <f>Source!AV169</f>
        <v>1</v>
      </c>
      <c r="I223" s="15">
        <f>IF(Source!BS169&lt;&gt; 0, Source!BS169, 1)</f>
        <v>1</v>
      </c>
      <c r="J223" s="27">
        <f>Source!R169</f>
        <v>73.19</v>
      </c>
      <c r="K223" s="29"/>
    </row>
    <row r="224" spans="1:22">
      <c r="A224" s="20"/>
      <c r="B224" s="21"/>
      <c r="C224" s="21" t="s">
        <v>586</v>
      </c>
      <c r="D224" s="22"/>
      <c r="E224" s="15"/>
      <c r="F224" s="24">
        <f>Source!AL169</f>
        <v>6374.45</v>
      </c>
      <c r="G224" s="23" t="str">
        <f>Source!DD169</f>
        <v/>
      </c>
      <c r="H224" s="15">
        <f>Source!AW169</f>
        <v>1</v>
      </c>
      <c r="I224" s="15">
        <f>IF(Source!BC169&lt;&gt; 0, Source!BC169, 1)</f>
        <v>1</v>
      </c>
      <c r="J224" s="29">
        <f>Source!P169</f>
        <v>1529.87</v>
      </c>
      <c r="K224" s="29"/>
    </row>
    <row r="225" spans="1:22">
      <c r="A225" s="20"/>
      <c r="B225" s="21"/>
      <c r="C225" s="21" t="s">
        <v>580</v>
      </c>
      <c r="D225" s="22" t="s">
        <v>581</v>
      </c>
      <c r="E225" s="15">
        <f>Source!AT169</f>
        <v>70</v>
      </c>
      <c r="F225" s="24"/>
      <c r="G225" s="23"/>
      <c r="H225" s="15"/>
      <c r="I225" s="15"/>
      <c r="J225" s="29">
        <f>SUM(R219:R224)</f>
        <v>1045.75</v>
      </c>
      <c r="K225" s="29"/>
    </row>
    <row r="226" spans="1:22">
      <c r="A226" s="20"/>
      <c r="B226" s="21"/>
      <c r="C226" s="21" t="s">
        <v>582</v>
      </c>
      <c r="D226" s="22" t="s">
        <v>581</v>
      </c>
      <c r="E226" s="15">
        <f>Source!AU169</f>
        <v>10</v>
      </c>
      <c r="F226" s="24"/>
      <c r="G226" s="23"/>
      <c r="H226" s="15"/>
      <c r="I226" s="15"/>
      <c r="J226" s="29">
        <f>SUM(T219:T225)</f>
        <v>149.38999999999999</v>
      </c>
      <c r="K226" s="29"/>
    </row>
    <row r="227" spans="1:22">
      <c r="A227" s="20"/>
      <c r="B227" s="21"/>
      <c r="C227" s="21" t="s">
        <v>583</v>
      </c>
      <c r="D227" s="22" t="s">
        <v>581</v>
      </c>
      <c r="E227" s="15">
        <f>108</f>
        <v>108</v>
      </c>
      <c r="F227" s="24"/>
      <c r="G227" s="23"/>
      <c r="H227" s="15"/>
      <c r="I227" s="15"/>
      <c r="J227" s="29">
        <f>SUM(V219:V226)</f>
        <v>79.05</v>
      </c>
      <c r="K227" s="29"/>
    </row>
    <row r="228" spans="1:22">
      <c r="A228" s="20"/>
      <c r="B228" s="21"/>
      <c r="C228" s="21" t="s">
        <v>584</v>
      </c>
      <c r="D228" s="22" t="s">
        <v>585</v>
      </c>
      <c r="E228" s="15">
        <f>Source!AQ169</f>
        <v>34.44</v>
      </c>
      <c r="F228" s="24"/>
      <c r="G228" s="23" t="str">
        <f>Source!DI169</f>
        <v/>
      </c>
      <c r="H228" s="15">
        <f>Source!AV169</f>
        <v>1</v>
      </c>
      <c r="I228" s="15"/>
      <c r="J228" s="29"/>
      <c r="K228" s="29">
        <f>Source!U169</f>
        <v>8.2655999999999992</v>
      </c>
    </row>
    <row r="229" spans="1:22" ht="15">
      <c r="A229" s="50"/>
      <c r="B229" s="50"/>
      <c r="C229" s="50"/>
      <c r="D229" s="53"/>
      <c r="E229" s="50"/>
      <c r="F229" s="50"/>
      <c r="G229" s="50"/>
      <c r="H229" s="50"/>
      <c r="I229" s="91">
        <f>J221+J222+J224+J225+J226+J227</f>
        <v>4430.5300000000007</v>
      </c>
      <c r="J229" s="91"/>
      <c r="K229" s="31">
        <f>IF(Source!I169&lt;&gt;0, ROUND(I229/Source!I169, 2), 0)</f>
        <v>18460.54</v>
      </c>
      <c r="P229" s="51">
        <f>I229</f>
        <v>4430.5300000000007</v>
      </c>
    </row>
    <row r="230" spans="1:22" ht="57">
      <c r="A230" s="20" t="str">
        <f>Source!E170</f>
        <v>20</v>
      </c>
      <c r="B230" s="21" t="str">
        <f>Source!F170</f>
        <v>5.4-3103-3-20/1</v>
      </c>
      <c r="C230" s="21" t="str">
        <f>Source!G170</f>
        <v>Подготовка стандартных посадочных мест вручную, с круглым комом земли размером 0,8х0,6 м с добавлением растительной земли до 100%</v>
      </c>
      <c r="D230" s="22" t="str">
        <f>Source!H170</f>
        <v>10 ям</v>
      </c>
      <c r="E230" s="15">
        <f>Source!I170</f>
        <v>0.16</v>
      </c>
      <c r="F230" s="24"/>
      <c r="G230" s="23"/>
      <c r="H230" s="15"/>
      <c r="I230" s="15"/>
      <c r="J230" s="29"/>
      <c r="K230" s="29"/>
      <c r="Q230" s="10">
        <f>ROUND((Source!BZ170/100)*ROUND((Source!AF170*Source!AV170)*Source!I170, 2), 2)</f>
        <v>1189.27</v>
      </c>
      <c r="R230" s="10">
        <f>Source!X170</f>
        <v>1189.27</v>
      </c>
      <c r="S230" s="10">
        <f>ROUND((Source!CA170/100)*ROUND((Source!AF170*Source!AV170)*Source!I170, 2), 2)</f>
        <v>169.9</v>
      </c>
      <c r="T230" s="10">
        <f>Source!Y170</f>
        <v>169.9</v>
      </c>
      <c r="U230" s="10">
        <f>ROUND((175/100)*ROUND((Source!AE170*Source!AV170)*Source!I170, 2), 2)</f>
        <v>0</v>
      </c>
      <c r="V230" s="10">
        <f>ROUND((108/100)*ROUND(Source!CS170*Source!I170, 2), 2)</f>
        <v>0</v>
      </c>
    </row>
    <row r="231" spans="1:22">
      <c r="C231" s="49" t="str">
        <f>"Объем: "&amp;Source!I170&amp;"=(4*"&amp;"0,4)/"&amp;"10"</f>
        <v>Объем: 0,16=(4*0,4)/10</v>
      </c>
    </row>
    <row r="232" spans="1:22">
      <c r="A232" s="20"/>
      <c r="B232" s="21"/>
      <c r="C232" s="21" t="s">
        <v>577</v>
      </c>
      <c r="D232" s="22"/>
      <c r="E232" s="15"/>
      <c r="F232" s="24">
        <f>Source!AO170</f>
        <v>10618.48</v>
      </c>
      <c r="G232" s="23" t="str">
        <f>Source!DG170</f>
        <v/>
      </c>
      <c r="H232" s="15">
        <f>Source!AV170</f>
        <v>1</v>
      </c>
      <c r="I232" s="15">
        <f>IF(Source!BA170&lt;&gt; 0, Source!BA170, 1)</f>
        <v>1</v>
      </c>
      <c r="J232" s="29">
        <f>Source!S170</f>
        <v>1698.96</v>
      </c>
      <c r="K232" s="29"/>
    </row>
    <row r="233" spans="1:22">
      <c r="A233" s="20"/>
      <c r="B233" s="21"/>
      <c r="C233" s="21" t="s">
        <v>586</v>
      </c>
      <c r="D233" s="22"/>
      <c r="E233" s="15"/>
      <c r="F233" s="24">
        <f>Source!AL170</f>
        <v>6374.45</v>
      </c>
      <c r="G233" s="23" t="str">
        <f>Source!DD170</f>
        <v/>
      </c>
      <c r="H233" s="15">
        <f>Source!AW170</f>
        <v>1</v>
      </c>
      <c r="I233" s="15">
        <f>IF(Source!BC170&lt;&gt; 0, Source!BC170, 1)</f>
        <v>1</v>
      </c>
      <c r="J233" s="29">
        <f>Source!P170</f>
        <v>1019.91</v>
      </c>
      <c r="K233" s="29"/>
    </row>
    <row r="234" spans="1:22">
      <c r="A234" s="20"/>
      <c r="B234" s="21"/>
      <c r="C234" s="21" t="s">
        <v>580</v>
      </c>
      <c r="D234" s="22" t="s">
        <v>581</v>
      </c>
      <c r="E234" s="15">
        <f>Source!AT170</f>
        <v>70</v>
      </c>
      <c r="F234" s="24"/>
      <c r="G234" s="23"/>
      <c r="H234" s="15"/>
      <c r="I234" s="15"/>
      <c r="J234" s="29">
        <f>SUM(R230:R233)</f>
        <v>1189.27</v>
      </c>
      <c r="K234" s="29"/>
    </row>
    <row r="235" spans="1:22">
      <c r="A235" s="20"/>
      <c r="B235" s="21"/>
      <c r="C235" s="21" t="s">
        <v>582</v>
      </c>
      <c r="D235" s="22" t="s">
        <v>581</v>
      </c>
      <c r="E235" s="15">
        <f>Source!AU170</f>
        <v>10</v>
      </c>
      <c r="F235" s="24"/>
      <c r="G235" s="23"/>
      <c r="H235" s="15"/>
      <c r="I235" s="15"/>
      <c r="J235" s="29">
        <f>SUM(T230:T234)</f>
        <v>169.9</v>
      </c>
      <c r="K235" s="29"/>
    </row>
    <row r="236" spans="1:22">
      <c r="A236" s="20"/>
      <c r="B236" s="21"/>
      <c r="C236" s="21" t="s">
        <v>584</v>
      </c>
      <c r="D236" s="22" t="s">
        <v>585</v>
      </c>
      <c r="E236" s="15">
        <f>Source!AQ170</f>
        <v>58.75</v>
      </c>
      <c r="F236" s="24"/>
      <c r="G236" s="23" t="str">
        <f>Source!DI170</f>
        <v/>
      </c>
      <c r="H236" s="15">
        <f>Source!AV170</f>
        <v>1</v>
      </c>
      <c r="I236" s="15"/>
      <c r="J236" s="29"/>
      <c r="K236" s="29">
        <f>Source!U170</f>
        <v>9.4</v>
      </c>
    </row>
    <row r="237" spans="1:22" ht="15">
      <c r="A237" s="50"/>
      <c r="B237" s="50"/>
      <c r="C237" s="50"/>
      <c r="D237" s="53"/>
      <c r="E237" s="50"/>
      <c r="F237" s="50"/>
      <c r="G237" s="50"/>
      <c r="H237" s="50"/>
      <c r="I237" s="91">
        <f>J232+J233+J234+J235</f>
        <v>4078.04</v>
      </c>
      <c r="J237" s="91"/>
      <c r="K237" s="31">
        <f>IF(Source!I170&lt;&gt;0, ROUND(I237/Source!I170, 2), 0)</f>
        <v>25487.75</v>
      </c>
      <c r="P237" s="51">
        <f>I237</f>
        <v>4078.04</v>
      </c>
    </row>
    <row r="238" spans="1:22" ht="99.75">
      <c r="A238" s="20" t="str">
        <f>Source!E171</f>
        <v>21</v>
      </c>
      <c r="B238" s="21" t="str">
        <f>Source!F171</f>
        <v>5.4-3503-1-1/1</v>
      </c>
      <c r="C238" s="21" t="str">
        <f>Source!G171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4дерева =4,52м3 - при слое 20 см покрываемая площадь 4,52м3/0,2м х 0,75)</v>
      </c>
      <c r="D238" s="22" t="str">
        <f>Source!H171</f>
        <v>100 м2</v>
      </c>
      <c r="E238" s="15">
        <f>Source!I171</f>
        <v>0.16950000000000001</v>
      </c>
      <c r="F238" s="24"/>
      <c r="G238" s="23"/>
      <c r="H238" s="15"/>
      <c r="I238" s="15"/>
      <c r="J238" s="29"/>
      <c r="K238" s="29"/>
      <c r="Q238" s="10">
        <f>ROUND((Source!BZ171/100)*ROUND((Source!AF171*Source!AV171)*Source!I171, 2), 2)</f>
        <v>0</v>
      </c>
      <c r="R238" s="10">
        <f>Source!X171</f>
        <v>0</v>
      </c>
      <c r="S238" s="10">
        <f>ROUND((Source!CA171/100)*ROUND((Source!AF171*Source!AV171)*Source!I171, 2), 2)</f>
        <v>0</v>
      </c>
      <c r="T238" s="10">
        <f>Source!Y171</f>
        <v>0</v>
      </c>
      <c r="U238" s="10">
        <f>ROUND((175/100)*ROUND((Source!AE171*Source!AV171)*Source!I171, 2), 2)</f>
        <v>33.06</v>
      </c>
      <c r="V238" s="10">
        <f>ROUND((108/100)*ROUND(Source!CS171*Source!I171, 2), 2)</f>
        <v>20.399999999999999</v>
      </c>
    </row>
    <row r="239" spans="1:22">
      <c r="C239" s="49" t="str">
        <f>"Объем: "&amp;Source!I171&amp;"=16,95/"&amp;"100"</f>
        <v>Объем: 0,1695=16,95/100</v>
      </c>
    </row>
    <row r="240" spans="1:22">
      <c r="A240" s="20"/>
      <c r="B240" s="21"/>
      <c r="C240" s="21" t="s">
        <v>578</v>
      </c>
      <c r="D240" s="22"/>
      <c r="E240" s="15"/>
      <c r="F240" s="24">
        <f>Source!AM171</f>
        <v>296.60000000000002</v>
      </c>
      <c r="G240" s="23" t="str">
        <f>Source!DE171</f>
        <v/>
      </c>
      <c r="H240" s="15">
        <f>Source!AV171</f>
        <v>1</v>
      </c>
      <c r="I240" s="15">
        <f>IF(Source!BB171&lt;&gt; 0, Source!BB171, 1)</f>
        <v>1</v>
      </c>
      <c r="J240" s="29">
        <f>Source!Q171</f>
        <v>50.27</v>
      </c>
      <c r="K240" s="29"/>
    </row>
    <row r="241" spans="1:22">
      <c r="A241" s="20"/>
      <c r="B241" s="21"/>
      <c r="C241" s="21" t="s">
        <v>579</v>
      </c>
      <c r="D241" s="22"/>
      <c r="E241" s="15"/>
      <c r="F241" s="24">
        <f>Source!AN171</f>
        <v>111.43</v>
      </c>
      <c r="G241" s="23" t="str">
        <f>Source!DF171</f>
        <v/>
      </c>
      <c r="H241" s="15">
        <f>Source!AV171</f>
        <v>1</v>
      </c>
      <c r="I241" s="15">
        <f>IF(Source!BS171&lt;&gt; 0, Source!BS171, 1)</f>
        <v>1</v>
      </c>
      <c r="J241" s="27">
        <f>Source!R171</f>
        <v>18.89</v>
      </c>
      <c r="K241" s="29"/>
    </row>
    <row r="242" spans="1:22">
      <c r="A242" s="20"/>
      <c r="B242" s="21"/>
      <c r="C242" s="21" t="s">
        <v>583</v>
      </c>
      <c r="D242" s="22" t="s">
        <v>581</v>
      </c>
      <c r="E242" s="15">
        <f>108</f>
        <v>108</v>
      </c>
      <c r="F242" s="24"/>
      <c r="G242" s="23"/>
      <c r="H242" s="15"/>
      <c r="I242" s="15"/>
      <c r="J242" s="29">
        <f>SUM(V238:V241)</f>
        <v>20.399999999999999</v>
      </c>
      <c r="K242" s="29"/>
    </row>
    <row r="243" spans="1:22" ht="15">
      <c r="A243" s="50"/>
      <c r="B243" s="50"/>
      <c r="C243" s="50"/>
      <c r="D243" s="53"/>
      <c r="E243" s="50"/>
      <c r="F243" s="50"/>
      <c r="G243" s="50"/>
      <c r="H243" s="50"/>
      <c r="I243" s="91">
        <f>J240+J242</f>
        <v>70.67</v>
      </c>
      <c r="J243" s="91"/>
      <c r="K243" s="31">
        <f>IF(Source!I171&lt;&gt;0, ROUND(I243/Source!I171, 2), 0)</f>
        <v>416.93</v>
      </c>
      <c r="P243" s="51">
        <f>I243</f>
        <v>70.67</v>
      </c>
    </row>
    <row r="244" spans="1:22" ht="71.25">
      <c r="A244" s="20" t="str">
        <f>Source!E172</f>
        <v>22</v>
      </c>
      <c r="B244" s="21" t="str">
        <f>Source!F172</f>
        <v>5.4-3503-1-2/1</v>
      </c>
      <c r="C244" s="21" t="str">
        <f>Source!G172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4,52м3/0,2м х 0,25)</v>
      </c>
      <c r="D244" s="22" t="str">
        <f>Source!H172</f>
        <v>100 м2</v>
      </c>
      <c r="E244" s="15">
        <f>Source!I172</f>
        <v>5.6500000000000002E-2</v>
      </c>
      <c r="F244" s="24"/>
      <c r="G244" s="23"/>
      <c r="H244" s="15"/>
      <c r="I244" s="15"/>
      <c r="J244" s="29"/>
      <c r="K244" s="29"/>
      <c r="Q244" s="10">
        <f>ROUND((Source!BZ172/100)*ROUND((Source!AF172*Source!AV172)*Source!I172, 2), 2)</f>
        <v>83.85</v>
      </c>
      <c r="R244" s="10">
        <f>Source!X172</f>
        <v>83.85</v>
      </c>
      <c r="S244" s="10">
        <f>ROUND((Source!CA172/100)*ROUND((Source!AF172*Source!AV172)*Source!I172, 2), 2)</f>
        <v>11.98</v>
      </c>
      <c r="T244" s="10">
        <f>Source!Y172</f>
        <v>11.98</v>
      </c>
      <c r="U244" s="10">
        <f>ROUND((175/100)*ROUND((Source!AE172*Source!AV172)*Source!I172, 2), 2)</f>
        <v>0</v>
      </c>
      <c r="V244" s="10">
        <f>ROUND((108/100)*ROUND(Source!CS172*Source!I172, 2), 2)</f>
        <v>0</v>
      </c>
    </row>
    <row r="245" spans="1:22">
      <c r="C245" s="49" t="str">
        <f>"Объем: "&amp;Source!I172&amp;"=5,65/"&amp;"100"</f>
        <v>Объем: 0,0565=5,65/100</v>
      </c>
    </row>
    <row r="246" spans="1:22">
      <c r="A246" s="20"/>
      <c r="B246" s="21"/>
      <c r="C246" s="21" t="s">
        <v>577</v>
      </c>
      <c r="D246" s="22"/>
      <c r="E246" s="15"/>
      <c r="F246" s="24">
        <f>Source!AO172</f>
        <v>2120.08</v>
      </c>
      <c r="G246" s="23" t="str">
        <f>Source!DG172</f>
        <v/>
      </c>
      <c r="H246" s="15">
        <f>Source!AV172</f>
        <v>1</v>
      </c>
      <c r="I246" s="15">
        <f>IF(Source!BA172&lt;&gt; 0, Source!BA172, 1)</f>
        <v>1</v>
      </c>
      <c r="J246" s="29">
        <f>Source!S172</f>
        <v>119.78</v>
      </c>
      <c r="K246" s="29"/>
    </row>
    <row r="247" spans="1:22">
      <c r="A247" s="20"/>
      <c r="B247" s="21"/>
      <c r="C247" s="21" t="s">
        <v>580</v>
      </c>
      <c r="D247" s="22" t="s">
        <v>581</v>
      </c>
      <c r="E247" s="15">
        <f>Source!AT172</f>
        <v>70</v>
      </c>
      <c r="F247" s="24"/>
      <c r="G247" s="23"/>
      <c r="H247" s="15"/>
      <c r="I247" s="15"/>
      <c r="J247" s="29">
        <f>SUM(R244:R246)</f>
        <v>83.85</v>
      </c>
      <c r="K247" s="29"/>
    </row>
    <row r="248" spans="1:22">
      <c r="A248" s="20"/>
      <c r="B248" s="21"/>
      <c r="C248" s="21" t="s">
        <v>582</v>
      </c>
      <c r="D248" s="22" t="s">
        <v>581</v>
      </c>
      <c r="E248" s="15">
        <f>Source!AU172</f>
        <v>10</v>
      </c>
      <c r="F248" s="24"/>
      <c r="G248" s="23"/>
      <c r="H248" s="15"/>
      <c r="I248" s="15"/>
      <c r="J248" s="29">
        <f>SUM(T244:T247)</f>
        <v>11.98</v>
      </c>
      <c r="K248" s="29"/>
    </row>
    <row r="249" spans="1:22">
      <c r="A249" s="20"/>
      <c r="B249" s="21"/>
      <c r="C249" s="21" t="s">
        <v>584</v>
      </c>
      <c r="D249" s="22" t="s">
        <v>585</v>
      </c>
      <c r="E249" s="15">
        <f>Source!AQ172</f>
        <v>11.73</v>
      </c>
      <c r="F249" s="24"/>
      <c r="G249" s="23" t="str">
        <f>Source!DI172</f>
        <v/>
      </c>
      <c r="H249" s="15">
        <f>Source!AV172</f>
        <v>1</v>
      </c>
      <c r="I249" s="15"/>
      <c r="J249" s="29"/>
      <c r="K249" s="29">
        <f>Source!U172</f>
        <v>0.66274500000000003</v>
      </c>
    </row>
    <row r="250" spans="1:22" ht="15">
      <c r="A250" s="50"/>
      <c r="B250" s="50"/>
      <c r="C250" s="50"/>
      <c r="D250" s="53"/>
      <c r="E250" s="50"/>
      <c r="F250" s="50"/>
      <c r="G250" s="50"/>
      <c r="H250" s="50"/>
      <c r="I250" s="91">
        <f>J246+J247+J248</f>
        <v>215.60999999999999</v>
      </c>
      <c r="J250" s="91"/>
      <c r="K250" s="31">
        <f>IF(Source!I172&lt;&gt;0, ROUND(I250/Source!I172, 2), 0)</f>
        <v>3816.11</v>
      </c>
      <c r="P250" s="51">
        <f>I250</f>
        <v>215.60999999999999</v>
      </c>
    </row>
    <row r="251" spans="1:22" ht="42.75">
      <c r="A251" s="20" t="str">
        <f>Source!E173</f>
        <v>23</v>
      </c>
      <c r="B251" s="21" t="str">
        <f>Source!F173</f>
        <v>5.4-3103-6-4/1</v>
      </c>
      <c r="C251" s="21" t="str">
        <f>Source!G173</f>
        <v>Посадка деревьев и кустарников с комом земли, диаметром 0,8 м и высотой 0,6 м (без стоимости деревьев и кустарников)</v>
      </c>
      <c r="D251" s="22" t="str">
        <f>Source!H173</f>
        <v>10 шт.</v>
      </c>
      <c r="E251" s="15">
        <f>Source!I173</f>
        <v>0.4</v>
      </c>
      <c r="F251" s="24"/>
      <c r="G251" s="23"/>
      <c r="H251" s="15"/>
      <c r="I251" s="15"/>
      <c r="J251" s="29"/>
      <c r="K251" s="29"/>
      <c r="Q251" s="10">
        <f>ROUND((Source!BZ173/100)*ROUND((Source!AF173*Source!AV173)*Source!I173, 2), 2)</f>
        <v>1377.04</v>
      </c>
      <c r="R251" s="10">
        <f>Source!X173</f>
        <v>1377.04</v>
      </c>
      <c r="S251" s="10">
        <f>ROUND((Source!CA173/100)*ROUND((Source!AF173*Source!AV173)*Source!I173, 2), 2)</f>
        <v>196.72</v>
      </c>
      <c r="T251" s="10">
        <f>Source!Y173</f>
        <v>196.72</v>
      </c>
      <c r="U251" s="10">
        <f>ROUND((175/100)*ROUND((Source!AE173*Source!AV173)*Source!I173, 2), 2)</f>
        <v>243.95</v>
      </c>
      <c r="V251" s="10">
        <f>ROUND((108/100)*ROUND(Source!CS173*Source!I173, 2), 2)</f>
        <v>150.55000000000001</v>
      </c>
    </row>
    <row r="252" spans="1:22">
      <c r="C252" s="49" t="str">
        <f>"Объем: "&amp;Source!I173&amp;"=4/"&amp;"10"</f>
        <v>Объем: 0,4=4/10</v>
      </c>
    </row>
    <row r="253" spans="1:22">
      <c r="A253" s="20"/>
      <c r="B253" s="21"/>
      <c r="C253" s="21" t="s">
        <v>577</v>
      </c>
      <c r="D253" s="22"/>
      <c r="E253" s="15"/>
      <c r="F253" s="24">
        <f>Source!AO173</f>
        <v>4918</v>
      </c>
      <c r="G253" s="23" t="str">
        <f>Source!DG173</f>
        <v/>
      </c>
      <c r="H253" s="15">
        <f>Source!AV173</f>
        <v>1</v>
      </c>
      <c r="I253" s="15">
        <f>IF(Source!BA173&lt;&gt; 0, Source!BA173, 1)</f>
        <v>1</v>
      </c>
      <c r="J253" s="29">
        <f>Source!S173</f>
        <v>1967.2</v>
      </c>
      <c r="K253" s="29"/>
    </row>
    <row r="254" spans="1:22">
      <c r="A254" s="20"/>
      <c r="B254" s="21"/>
      <c r="C254" s="21" t="s">
        <v>578</v>
      </c>
      <c r="D254" s="22"/>
      <c r="E254" s="15"/>
      <c r="F254" s="24">
        <f>Source!AM173</f>
        <v>1535.65</v>
      </c>
      <c r="G254" s="23" t="str">
        <f>Source!DE173</f>
        <v/>
      </c>
      <c r="H254" s="15">
        <f>Source!AV173</f>
        <v>1</v>
      </c>
      <c r="I254" s="15">
        <f>IF(Source!BB173&lt;&gt; 0, Source!BB173, 1)</f>
        <v>1</v>
      </c>
      <c r="J254" s="29">
        <f>Source!Q173</f>
        <v>614.26</v>
      </c>
      <c r="K254" s="29"/>
    </row>
    <row r="255" spans="1:22">
      <c r="A255" s="20"/>
      <c r="B255" s="21"/>
      <c r="C255" s="21" t="s">
        <v>579</v>
      </c>
      <c r="D255" s="22"/>
      <c r="E255" s="15"/>
      <c r="F255" s="24">
        <f>Source!AN173</f>
        <v>348.51</v>
      </c>
      <c r="G255" s="23" t="str">
        <f>Source!DF173</f>
        <v/>
      </c>
      <c r="H255" s="15">
        <f>Source!AV173</f>
        <v>1</v>
      </c>
      <c r="I255" s="15">
        <f>IF(Source!BS173&lt;&gt; 0, Source!BS173, 1)</f>
        <v>1</v>
      </c>
      <c r="J255" s="27">
        <f>Source!R173</f>
        <v>139.4</v>
      </c>
      <c r="K255" s="29"/>
    </row>
    <row r="256" spans="1:22">
      <c r="A256" s="20"/>
      <c r="B256" s="21"/>
      <c r="C256" s="21" t="s">
        <v>586</v>
      </c>
      <c r="D256" s="22"/>
      <c r="E256" s="15"/>
      <c r="F256" s="24">
        <f>Source!AL173</f>
        <v>830.02</v>
      </c>
      <c r="G256" s="23" t="str">
        <f>Source!DD173</f>
        <v/>
      </c>
      <c r="H256" s="15">
        <f>Source!AW173</f>
        <v>1</v>
      </c>
      <c r="I256" s="15">
        <f>IF(Source!BC173&lt;&gt; 0, Source!BC173, 1)</f>
        <v>1</v>
      </c>
      <c r="J256" s="29">
        <f>Source!P173</f>
        <v>332.01</v>
      </c>
      <c r="K256" s="29"/>
    </row>
    <row r="257" spans="1:22" ht="42.75">
      <c r="A257" s="20" t="str">
        <f>Source!E174</f>
        <v>23,1</v>
      </c>
      <c r="B257" s="21" t="str">
        <f>Source!F174</f>
        <v>комерческое предложение</v>
      </c>
      <c r="C257" s="21" t="str">
        <f>Source!G174</f>
        <v>Деревья хвойные садовых форм с комом земли, порода: Ель Глаука Глобоза высота - 1,8-2,2 м, размер кома 1,3х1,3х0,6 м</v>
      </c>
      <c r="D257" s="22" t="str">
        <f>Source!H174</f>
        <v>шт.</v>
      </c>
      <c r="E257" s="15">
        <f>Source!I174</f>
        <v>2</v>
      </c>
      <c r="F257" s="24">
        <f>Source!AK174</f>
        <v>13809.17</v>
      </c>
      <c r="G257" s="32" t="s">
        <v>3</v>
      </c>
      <c r="H257" s="15">
        <f>Source!AW174</f>
        <v>1</v>
      </c>
      <c r="I257" s="15">
        <f>IF(Source!BC174&lt;&gt; 0, Source!BC174, 1)</f>
        <v>1</v>
      </c>
      <c r="J257" s="29">
        <f>Source!O174</f>
        <v>27618.34</v>
      </c>
      <c r="K257" s="29"/>
      <c r="Q257" s="10">
        <f>ROUND((Source!BZ174/100)*ROUND((Source!AF174*Source!AV174)*Source!I174, 2), 2)</f>
        <v>0</v>
      </c>
      <c r="R257" s="10">
        <f>Source!X174</f>
        <v>0</v>
      </c>
      <c r="S257" s="10">
        <f>ROUND((Source!CA174/100)*ROUND((Source!AF174*Source!AV174)*Source!I174, 2), 2)</f>
        <v>0</v>
      </c>
      <c r="T257" s="10">
        <f>Source!Y174</f>
        <v>0</v>
      </c>
      <c r="U257" s="10">
        <f>ROUND((175/100)*ROUND((Source!AE174*Source!AV174)*Source!I174, 2), 2)</f>
        <v>0</v>
      </c>
      <c r="V257" s="10">
        <f>ROUND((108/100)*ROUND(Source!CS174*Source!I174, 2), 2)</f>
        <v>0</v>
      </c>
    </row>
    <row r="258" spans="1:22" ht="42.75">
      <c r="A258" s="20" t="str">
        <f>Source!E175</f>
        <v>23,2</v>
      </c>
      <c r="B258" s="21" t="str">
        <f>Source!F175</f>
        <v>комерческое предложение</v>
      </c>
      <c r="C258" s="21" t="str">
        <f>Source!G175</f>
        <v>Деревья хвойные садовых форм с комом земли, порода:  Сосна Нигра, высота - 1,8-2,2 м, размер кома 1,3х1,3х0,6 м</v>
      </c>
      <c r="D258" s="22" t="str">
        <f>Source!H175</f>
        <v>шт.</v>
      </c>
      <c r="E258" s="15">
        <f>Source!I175</f>
        <v>2</v>
      </c>
      <c r="F258" s="24">
        <f>Source!AK175</f>
        <v>7845.83</v>
      </c>
      <c r="G258" s="32" t="s">
        <v>3</v>
      </c>
      <c r="H258" s="15">
        <f>Source!AW175</f>
        <v>1</v>
      </c>
      <c r="I258" s="15">
        <f>IF(Source!BC175&lt;&gt; 0, Source!BC175, 1)</f>
        <v>1</v>
      </c>
      <c r="J258" s="29">
        <f>Source!O175</f>
        <v>15691.66</v>
      </c>
      <c r="K258" s="29"/>
      <c r="Q258" s="10">
        <f>ROUND((Source!BZ175/100)*ROUND((Source!AF175*Source!AV175)*Source!I175, 2), 2)</f>
        <v>0</v>
      </c>
      <c r="R258" s="10">
        <f>Source!X175</f>
        <v>0</v>
      </c>
      <c r="S258" s="10">
        <f>ROUND((Source!CA175/100)*ROUND((Source!AF175*Source!AV175)*Source!I175, 2), 2)</f>
        <v>0</v>
      </c>
      <c r="T258" s="10">
        <f>Source!Y175</f>
        <v>0</v>
      </c>
      <c r="U258" s="10">
        <f>ROUND((175/100)*ROUND((Source!AE175*Source!AV175)*Source!I175, 2), 2)</f>
        <v>0</v>
      </c>
      <c r="V258" s="10">
        <f>ROUND((108/100)*ROUND(Source!CS175*Source!I175, 2), 2)</f>
        <v>0</v>
      </c>
    </row>
    <row r="259" spans="1:22">
      <c r="A259" s="20"/>
      <c r="B259" s="21"/>
      <c r="C259" s="21" t="s">
        <v>580</v>
      </c>
      <c r="D259" s="22" t="s">
        <v>581</v>
      </c>
      <c r="E259" s="15">
        <f>Source!AT173</f>
        <v>70</v>
      </c>
      <c r="F259" s="24"/>
      <c r="G259" s="23"/>
      <c r="H259" s="15"/>
      <c r="I259" s="15"/>
      <c r="J259" s="29">
        <f>SUM(R251:R258)</f>
        <v>1377.04</v>
      </c>
      <c r="K259" s="29"/>
    </row>
    <row r="260" spans="1:22">
      <c r="A260" s="20"/>
      <c r="B260" s="21"/>
      <c r="C260" s="21" t="s">
        <v>582</v>
      </c>
      <c r="D260" s="22" t="s">
        <v>581</v>
      </c>
      <c r="E260" s="15">
        <f>Source!AU173</f>
        <v>10</v>
      </c>
      <c r="F260" s="24"/>
      <c r="G260" s="23"/>
      <c r="H260" s="15"/>
      <c r="I260" s="15"/>
      <c r="J260" s="29">
        <f>SUM(T251:T259)</f>
        <v>196.72</v>
      </c>
      <c r="K260" s="29"/>
    </row>
    <row r="261" spans="1:22">
      <c r="A261" s="20"/>
      <c r="B261" s="21"/>
      <c r="C261" s="21" t="s">
        <v>583</v>
      </c>
      <c r="D261" s="22" t="s">
        <v>581</v>
      </c>
      <c r="E261" s="15">
        <f>108</f>
        <v>108</v>
      </c>
      <c r="F261" s="24"/>
      <c r="G261" s="23"/>
      <c r="H261" s="15"/>
      <c r="I261" s="15"/>
      <c r="J261" s="29">
        <f>SUM(V251:V260)</f>
        <v>150.55000000000001</v>
      </c>
      <c r="K261" s="29"/>
    </row>
    <row r="262" spans="1:22">
      <c r="A262" s="20"/>
      <c r="B262" s="21"/>
      <c r="C262" s="21" t="s">
        <v>584</v>
      </c>
      <c r="D262" s="22" t="s">
        <v>585</v>
      </c>
      <c r="E262" s="15">
        <f>Source!AQ173</f>
        <v>20.71</v>
      </c>
      <c r="F262" s="24"/>
      <c r="G262" s="23" t="str">
        <f>Source!DI173</f>
        <v/>
      </c>
      <c r="H262" s="15">
        <f>Source!AV173</f>
        <v>1</v>
      </c>
      <c r="I262" s="15"/>
      <c r="J262" s="29"/>
      <c r="K262" s="29">
        <f>Source!U173</f>
        <v>8.2840000000000007</v>
      </c>
    </row>
    <row r="263" spans="1:22" ht="15">
      <c r="A263" s="50"/>
      <c r="B263" s="50"/>
      <c r="C263" s="50"/>
      <c r="D263" s="53"/>
      <c r="E263" s="50"/>
      <c r="F263" s="50"/>
      <c r="G263" s="50"/>
      <c r="H263" s="50"/>
      <c r="I263" s="91">
        <f>J253+J254+J256+J259+J260+J261+SUM(J257:J258)</f>
        <v>47947.78</v>
      </c>
      <c r="J263" s="91"/>
      <c r="K263" s="31">
        <f>IF(Source!I173&lt;&gt;0, ROUND(I263/Source!I173, 2), 0)</f>
        <v>119869.45</v>
      </c>
      <c r="P263" s="51">
        <f>I263</f>
        <v>47947.78</v>
      </c>
    </row>
    <row r="264" spans="1:22" ht="57">
      <c r="A264" s="20" t="str">
        <f>Source!E176</f>
        <v>24</v>
      </c>
      <c r="B264" s="21" t="str">
        <f>Source!F176</f>
        <v>5.4-3103-3-15/1</v>
      </c>
      <c r="C264" s="21" t="str">
        <f>Source!G176</f>
        <v>Подготовка стандартных посадочных мест вручную, с круглым комом земли размером 0,5х0,4 м с добавлением растительной земли до 100%</v>
      </c>
      <c r="D264" s="22" t="str">
        <f>Source!H176</f>
        <v>10 ям</v>
      </c>
      <c r="E264" s="15">
        <f>Source!I176</f>
        <v>0.68</v>
      </c>
      <c r="F264" s="24"/>
      <c r="G264" s="23"/>
      <c r="H264" s="15"/>
      <c r="I264" s="15"/>
      <c r="J264" s="29"/>
      <c r="K264" s="29"/>
      <c r="Q264" s="10">
        <f>ROUND((Source!BZ176/100)*ROUND((Source!AF176*Source!AV176)*Source!I176, 2), 2)</f>
        <v>1872.92</v>
      </c>
      <c r="R264" s="10">
        <f>Source!X176</f>
        <v>1872.92</v>
      </c>
      <c r="S264" s="10">
        <f>ROUND((Source!CA176/100)*ROUND((Source!AF176*Source!AV176)*Source!I176, 2), 2)</f>
        <v>267.56</v>
      </c>
      <c r="T264" s="10">
        <f>Source!Y176</f>
        <v>267.56</v>
      </c>
      <c r="U264" s="10">
        <f>ROUND((175/100)*ROUND((Source!AE176*Source!AV176)*Source!I176, 2), 2)</f>
        <v>0</v>
      </c>
      <c r="V264" s="10">
        <f>ROUND((108/100)*ROUND(Source!CS176*Source!I176, 2), 2)</f>
        <v>0</v>
      </c>
    </row>
    <row r="265" spans="1:22">
      <c r="C265" s="49" t="str">
        <f>"Объем: "&amp;Source!I176&amp;"=(17*"&amp;"0,4)/"&amp;"10"</f>
        <v>Объем: 0,68=(17*0,4)/10</v>
      </c>
    </row>
    <row r="266" spans="1:22">
      <c r="A266" s="20"/>
      <c r="B266" s="21"/>
      <c r="C266" s="21" t="s">
        <v>577</v>
      </c>
      <c r="D266" s="22"/>
      <c r="E266" s="15"/>
      <c r="F266" s="24">
        <f>Source!AO176</f>
        <v>3934.71</v>
      </c>
      <c r="G266" s="23" t="str">
        <f>Source!DG176</f>
        <v/>
      </c>
      <c r="H266" s="15">
        <f>Source!AV176</f>
        <v>1</v>
      </c>
      <c r="I266" s="15">
        <f>IF(Source!BA176&lt;&gt; 0, Source!BA176, 1)</f>
        <v>1</v>
      </c>
      <c r="J266" s="29">
        <f>Source!S176</f>
        <v>2675.6</v>
      </c>
      <c r="K266" s="29"/>
    </row>
    <row r="267" spans="1:22">
      <c r="A267" s="20"/>
      <c r="B267" s="21"/>
      <c r="C267" s="21" t="s">
        <v>586</v>
      </c>
      <c r="D267" s="22"/>
      <c r="E267" s="15"/>
      <c r="F267" s="24">
        <f>Source!AL176</f>
        <v>3309.51</v>
      </c>
      <c r="G267" s="23" t="str">
        <f>Source!DD176</f>
        <v/>
      </c>
      <c r="H267" s="15">
        <f>Source!AW176</f>
        <v>1</v>
      </c>
      <c r="I267" s="15">
        <f>IF(Source!BC176&lt;&gt; 0, Source!BC176, 1)</f>
        <v>1</v>
      </c>
      <c r="J267" s="29">
        <f>Source!P176</f>
        <v>2250.4699999999998</v>
      </c>
      <c r="K267" s="29"/>
    </row>
    <row r="268" spans="1:22">
      <c r="A268" s="20"/>
      <c r="B268" s="21"/>
      <c r="C268" s="21" t="s">
        <v>580</v>
      </c>
      <c r="D268" s="22" t="s">
        <v>581</v>
      </c>
      <c r="E268" s="15">
        <f>Source!AT176</f>
        <v>70</v>
      </c>
      <c r="F268" s="24"/>
      <c r="G268" s="23"/>
      <c r="H268" s="15"/>
      <c r="I268" s="15"/>
      <c r="J268" s="29">
        <f>SUM(R264:R267)</f>
        <v>1872.92</v>
      </c>
      <c r="K268" s="29"/>
    </row>
    <row r="269" spans="1:22">
      <c r="A269" s="20"/>
      <c r="B269" s="21"/>
      <c r="C269" s="21" t="s">
        <v>582</v>
      </c>
      <c r="D269" s="22" t="s">
        <v>581</v>
      </c>
      <c r="E269" s="15">
        <f>Source!AU176</f>
        <v>10</v>
      </c>
      <c r="F269" s="24"/>
      <c r="G269" s="23"/>
      <c r="H269" s="15"/>
      <c r="I269" s="15"/>
      <c r="J269" s="29">
        <f>SUM(T264:T268)</f>
        <v>267.56</v>
      </c>
      <c r="K269" s="29"/>
    </row>
    <row r="270" spans="1:22">
      <c r="A270" s="20"/>
      <c r="B270" s="21"/>
      <c r="C270" s="21" t="s">
        <v>584</v>
      </c>
      <c r="D270" s="22" t="s">
        <v>585</v>
      </c>
      <c r="E270" s="15">
        <f>Source!AQ176</f>
        <v>21.77</v>
      </c>
      <c r="F270" s="24"/>
      <c r="G270" s="23" t="str">
        <f>Source!DI176</f>
        <v/>
      </c>
      <c r="H270" s="15">
        <f>Source!AV176</f>
        <v>1</v>
      </c>
      <c r="I270" s="15"/>
      <c r="J270" s="29"/>
      <c r="K270" s="29">
        <f>Source!U176</f>
        <v>14.803600000000001</v>
      </c>
    </row>
    <row r="271" spans="1:22" ht="15">
      <c r="A271" s="50"/>
      <c r="B271" s="50"/>
      <c r="C271" s="50"/>
      <c r="D271" s="53"/>
      <c r="E271" s="50"/>
      <c r="F271" s="50"/>
      <c r="G271" s="50"/>
      <c r="H271" s="50"/>
      <c r="I271" s="91">
        <f>J266+J267+J268+J269</f>
        <v>7066.55</v>
      </c>
      <c r="J271" s="91"/>
      <c r="K271" s="31">
        <f>IF(Source!I176&lt;&gt;0, ROUND(I271/Source!I176, 2), 0)</f>
        <v>10391.99</v>
      </c>
      <c r="P271" s="51">
        <f>I271</f>
        <v>7066.55</v>
      </c>
    </row>
    <row r="272" spans="1:22" ht="71.25">
      <c r="A272" s="20" t="str">
        <f>Source!E177</f>
        <v>25</v>
      </c>
      <c r="B272" s="21" t="str">
        <f>Source!F177</f>
        <v>5.4-3103-1-15/1</v>
      </c>
      <c r="C272" s="21" t="str">
        <f>Source!G177</f>
        <v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100%</v>
      </c>
      <c r="D272" s="22" t="str">
        <f>Source!H177</f>
        <v>10 ям</v>
      </c>
      <c r="E272" s="15">
        <f>Source!I177</f>
        <v>1.02</v>
      </c>
      <c r="F272" s="24"/>
      <c r="G272" s="23"/>
      <c r="H272" s="15"/>
      <c r="I272" s="15"/>
      <c r="J272" s="29"/>
      <c r="K272" s="29"/>
      <c r="Q272" s="10">
        <f>ROUND((Source!BZ177/100)*ROUND((Source!AF177*Source!AV177)*Source!I177, 2), 2)</f>
        <v>2002.83</v>
      </c>
      <c r="R272" s="10">
        <f>Source!X177</f>
        <v>2002.83</v>
      </c>
      <c r="S272" s="10">
        <f>ROUND((Source!CA177/100)*ROUND((Source!AF177*Source!AV177)*Source!I177, 2), 2)</f>
        <v>286.12</v>
      </c>
      <c r="T272" s="10">
        <f>Source!Y177</f>
        <v>286.12</v>
      </c>
      <c r="U272" s="10">
        <f>ROUND((175/100)*ROUND((Source!AE177*Source!AV177)*Source!I177, 2), 2)</f>
        <v>186.36</v>
      </c>
      <c r="V272" s="10">
        <f>ROUND((108/100)*ROUND(Source!CS177*Source!I177, 2), 2)</f>
        <v>115.01</v>
      </c>
    </row>
    <row r="273" spans="1:22">
      <c r="C273" s="49" t="str">
        <f>"Объем: "&amp;Source!I177&amp;"=(17*"&amp;"0,6)/"&amp;"10"</f>
        <v>Объем: 1,02=(17*0,6)/10</v>
      </c>
    </row>
    <row r="274" spans="1:22">
      <c r="A274" s="20"/>
      <c r="B274" s="21"/>
      <c r="C274" s="21" t="s">
        <v>577</v>
      </c>
      <c r="D274" s="22"/>
      <c r="E274" s="15"/>
      <c r="F274" s="24">
        <f>Source!AO177</f>
        <v>2805.08</v>
      </c>
      <c r="G274" s="23" t="str">
        <f>Source!DG177</f>
        <v/>
      </c>
      <c r="H274" s="15">
        <f>Source!AV177</f>
        <v>1</v>
      </c>
      <c r="I274" s="15">
        <f>IF(Source!BA177&lt;&gt; 0, Source!BA177, 1)</f>
        <v>1</v>
      </c>
      <c r="J274" s="29">
        <f>Source!S177</f>
        <v>2861.18</v>
      </c>
      <c r="K274" s="29"/>
    </row>
    <row r="275" spans="1:22">
      <c r="A275" s="20"/>
      <c r="B275" s="21"/>
      <c r="C275" s="21" t="s">
        <v>578</v>
      </c>
      <c r="D275" s="22"/>
      <c r="E275" s="15"/>
      <c r="F275" s="24">
        <f>Source!AM177</f>
        <v>285.45</v>
      </c>
      <c r="G275" s="23" t="str">
        <f>Source!DE177</f>
        <v/>
      </c>
      <c r="H275" s="15">
        <f>Source!AV177</f>
        <v>1</v>
      </c>
      <c r="I275" s="15">
        <f>IF(Source!BB177&lt;&gt; 0, Source!BB177, 1)</f>
        <v>1</v>
      </c>
      <c r="J275" s="29">
        <f>Source!Q177</f>
        <v>291.16000000000003</v>
      </c>
      <c r="K275" s="29"/>
    </row>
    <row r="276" spans="1:22">
      <c r="A276" s="20"/>
      <c r="B276" s="21"/>
      <c r="C276" s="21" t="s">
        <v>579</v>
      </c>
      <c r="D276" s="22"/>
      <c r="E276" s="15"/>
      <c r="F276" s="24">
        <f>Source!AN177</f>
        <v>104.4</v>
      </c>
      <c r="G276" s="23" t="str">
        <f>Source!DF177</f>
        <v/>
      </c>
      <c r="H276" s="15">
        <f>Source!AV177</f>
        <v>1</v>
      </c>
      <c r="I276" s="15">
        <f>IF(Source!BS177&lt;&gt; 0, Source!BS177, 1)</f>
        <v>1</v>
      </c>
      <c r="J276" s="27">
        <f>Source!R177</f>
        <v>106.49</v>
      </c>
      <c r="K276" s="29"/>
    </row>
    <row r="277" spans="1:22">
      <c r="A277" s="20"/>
      <c r="B277" s="21"/>
      <c r="C277" s="21" t="s">
        <v>586</v>
      </c>
      <c r="D277" s="22"/>
      <c r="E277" s="15"/>
      <c r="F277" s="24">
        <f>Source!AL177</f>
        <v>3309.51</v>
      </c>
      <c r="G277" s="23" t="str">
        <f>Source!DD177</f>
        <v/>
      </c>
      <c r="H277" s="15">
        <f>Source!AW177</f>
        <v>1</v>
      </c>
      <c r="I277" s="15">
        <f>IF(Source!BC177&lt;&gt; 0, Source!BC177, 1)</f>
        <v>1</v>
      </c>
      <c r="J277" s="29">
        <f>Source!P177</f>
        <v>3375.7</v>
      </c>
      <c r="K277" s="29"/>
    </row>
    <row r="278" spans="1:22">
      <c r="A278" s="20"/>
      <c r="B278" s="21"/>
      <c r="C278" s="21" t="s">
        <v>580</v>
      </c>
      <c r="D278" s="22" t="s">
        <v>581</v>
      </c>
      <c r="E278" s="15">
        <f>Source!AT177</f>
        <v>70</v>
      </c>
      <c r="F278" s="24"/>
      <c r="G278" s="23"/>
      <c r="H278" s="15"/>
      <c r="I278" s="15"/>
      <c r="J278" s="29">
        <f>SUM(R272:R277)</f>
        <v>2002.83</v>
      </c>
      <c r="K278" s="29"/>
    </row>
    <row r="279" spans="1:22">
      <c r="A279" s="20"/>
      <c r="B279" s="21"/>
      <c r="C279" s="21" t="s">
        <v>582</v>
      </c>
      <c r="D279" s="22" t="s">
        <v>581</v>
      </c>
      <c r="E279" s="15">
        <f>Source!AU177</f>
        <v>10</v>
      </c>
      <c r="F279" s="24"/>
      <c r="G279" s="23"/>
      <c r="H279" s="15"/>
      <c r="I279" s="15"/>
      <c r="J279" s="29">
        <f>SUM(T272:T278)</f>
        <v>286.12</v>
      </c>
      <c r="K279" s="29"/>
    </row>
    <row r="280" spans="1:22">
      <c r="A280" s="20"/>
      <c r="B280" s="21"/>
      <c r="C280" s="21" t="s">
        <v>583</v>
      </c>
      <c r="D280" s="22" t="s">
        <v>581</v>
      </c>
      <c r="E280" s="15">
        <f>108</f>
        <v>108</v>
      </c>
      <c r="F280" s="24"/>
      <c r="G280" s="23"/>
      <c r="H280" s="15"/>
      <c r="I280" s="15"/>
      <c r="J280" s="29">
        <f>SUM(V272:V279)</f>
        <v>115.01</v>
      </c>
      <c r="K280" s="29"/>
    </row>
    <row r="281" spans="1:22">
      <c r="A281" s="20"/>
      <c r="B281" s="21"/>
      <c r="C281" s="21" t="s">
        <v>584</v>
      </c>
      <c r="D281" s="22" t="s">
        <v>585</v>
      </c>
      <c r="E281" s="15">
        <f>Source!AQ177</f>
        <v>15.52</v>
      </c>
      <c r="F281" s="24"/>
      <c r="G281" s="23" t="str">
        <f>Source!DI177</f>
        <v/>
      </c>
      <c r="H281" s="15">
        <f>Source!AV177</f>
        <v>1</v>
      </c>
      <c r="I281" s="15"/>
      <c r="J281" s="29"/>
      <c r="K281" s="29">
        <f>Source!U177</f>
        <v>15.830399999999999</v>
      </c>
    </row>
    <row r="282" spans="1:22" ht="15">
      <c r="A282" s="50"/>
      <c r="B282" s="50"/>
      <c r="C282" s="50"/>
      <c r="D282" s="53"/>
      <c r="E282" s="50"/>
      <c r="F282" s="50"/>
      <c r="G282" s="50"/>
      <c r="H282" s="50"/>
      <c r="I282" s="91">
        <f>J274+J275+J277+J278+J279+J280</f>
        <v>8932</v>
      </c>
      <c r="J282" s="91"/>
      <c r="K282" s="31">
        <f>IF(Source!I177&lt;&gt;0, ROUND(I282/Source!I177, 2), 0)</f>
        <v>8756.86</v>
      </c>
      <c r="P282" s="51">
        <f>I282</f>
        <v>8932</v>
      </c>
    </row>
    <row r="283" spans="1:22" ht="99.75">
      <c r="A283" s="20" t="str">
        <f>Source!E178</f>
        <v>26</v>
      </c>
      <c r="B283" s="21" t="str">
        <f>Source!F178</f>
        <v>5.4-3503-1-1/1</v>
      </c>
      <c r="C283" s="21" t="str">
        <f>Source!G178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табл.1 - 0,51м3 * 17кустов =8,67м3 - при слое 20 см покрываемая площадь 8,67м3/0,2м х 0,75)</v>
      </c>
      <c r="D283" s="22" t="str">
        <f>Source!H178</f>
        <v>100 м2</v>
      </c>
      <c r="E283" s="15">
        <f>Source!I178</f>
        <v>0.3251</v>
      </c>
      <c r="F283" s="24"/>
      <c r="G283" s="23"/>
      <c r="H283" s="15"/>
      <c r="I283" s="15"/>
      <c r="J283" s="29"/>
      <c r="K283" s="29"/>
      <c r="Q283" s="10">
        <f>ROUND((Source!BZ178/100)*ROUND((Source!AF178*Source!AV178)*Source!I178, 2), 2)</f>
        <v>0</v>
      </c>
      <c r="R283" s="10">
        <f>Source!X178</f>
        <v>0</v>
      </c>
      <c r="S283" s="10">
        <f>ROUND((Source!CA178/100)*ROUND((Source!AF178*Source!AV178)*Source!I178, 2), 2)</f>
        <v>0</v>
      </c>
      <c r="T283" s="10">
        <f>Source!Y178</f>
        <v>0</v>
      </c>
      <c r="U283" s="10">
        <f>ROUND((175/100)*ROUND((Source!AE178*Source!AV178)*Source!I178, 2), 2)</f>
        <v>63.4</v>
      </c>
      <c r="V283" s="10">
        <f>ROUND((108/100)*ROUND(Source!CS178*Source!I178, 2), 2)</f>
        <v>39.130000000000003</v>
      </c>
    </row>
    <row r="284" spans="1:22">
      <c r="C284" s="49" t="str">
        <f>"Объем: "&amp;Source!I178&amp;"=32,51/"&amp;"100"</f>
        <v>Объем: 0,3251=32,51/100</v>
      </c>
    </row>
    <row r="285" spans="1:22">
      <c r="A285" s="20"/>
      <c r="B285" s="21"/>
      <c r="C285" s="21" t="s">
        <v>578</v>
      </c>
      <c r="D285" s="22"/>
      <c r="E285" s="15"/>
      <c r="F285" s="24">
        <f>Source!AM178</f>
        <v>296.60000000000002</v>
      </c>
      <c r="G285" s="23" t="str">
        <f>Source!DE178</f>
        <v/>
      </c>
      <c r="H285" s="15">
        <f>Source!AV178</f>
        <v>1</v>
      </c>
      <c r="I285" s="15">
        <f>IF(Source!BB178&lt;&gt; 0, Source!BB178, 1)</f>
        <v>1</v>
      </c>
      <c r="J285" s="29">
        <f>Source!Q178</f>
        <v>96.42</v>
      </c>
      <c r="K285" s="29"/>
    </row>
    <row r="286" spans="1:22">
      <c r="A286" s="20"/>
      <c r="B286" s="21"/>
      <c r="C286" s="21" t="s">
        <v>579</v>
      </c>
      <c r="D286" s="22"/>
      <c r="E286" s="15"/>
      <c r="F286" s="24">
        <f>Source!AN178</f>
        <v>111.43</v>
      </c>
      <c r="G286" s="23" t="str">
        <f>Source!DF178</f>
        <v/>
      </c>
      <c r="H286" s="15">
        <f>Source!AV178</f>
        <v>1</v>
      </c>
      <c r="I286" s="15">
        <f>IF(Source!BS178&lt;&gt; 0, Source!BS178, 1)</f>
        <v>1</v>
      </c>
      <c r="J286" s="27">
        <f>Source!R178</f>
        <v>36.229999999999997</v>
      </c>
      <c r="K286" s="29"/>
    </row>
    <row r="287" spans="1:22">
      <c r="A287" s="20"/>
      <c r="B287" s="21"/>
      <c r="C287" s="21" t="s">
        <v>583</v>
      </c>
      <c r="D287" s="22" t="s">
        <v>581</v>
      </c>
      <c r="E287" s="15">
        <f>108</f>
        <v>108</v>
      </c>
      <c r="F287" s="24"/>
      <c r="G287" s="23"/>
      <c r="H287" s="15"/>
      <c r="I287" s="15"/>
      <c r="J287" s="29">
        <f>SUM(V283:V286)</f>
        <v>39.130000000000003</v>
      </c>
      <c r="K287" s="29"/>
    </row>
    <row r="288" spans="1:22" ht="15">
      <c r="A288" s="50"/>
      <c r="B288" s="50"/>
      <c r="C288" s="50"/>
      <c r="D288" s="53"/>
      <c r="E288" s="50"/>
      <c r="F288" s="50"/>
      <c r="G288" s="50"/>
      <c r="H288" s="50"/>
      <c r="I288" s="91">
        <f>J285+J287</f>
        <v>135.55000000000001</v>
      </c>
      <c r="J288" s="91"/>
      <c r="K288" s="31">
        <f>IF(Source!I178&lt;&gt;0, ROUND(I288/Source!I178, 2), 0)</f>
        <v>416.95</v>
      </c>
      <c r="P288" s="51">
        <f>I288</f>
        <v>135.55000000000001</v>
      </c>
    </row>
    <row r="289" spans="1:22" ht="71.25">
      <c r="A289" s="20" t="str">
        <f>Source!E179</f>
        <v>27</v>
      </c>
      <c r="B289" s="21" t="str">
        <f>Source!F179</f>
        <v>5.4-3503-1-2/1</v>
      </c>
      <c r="C289" s="21" t="str">
        <f>Source!G179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8,67м3/0,2м х 0,25)</v>
      </c>
      <c r="D289" s="22" t="str">
        <f>Source!H179</f>
        <v>100 м2</v>
      </c>
      <c r="E289" s="15">
        <f>Source!I179</f>
        <v>0.10829999999999999</v>
      </c>
      <c r="F289" s="24"/>
      <c r="G289" s="23"/>
      <c r="H289" s="15"/>
      <c r="I289" s="15"/>
      <c r="J289" s="29"/>
      <c r="K289" s="29"/>
      <c r="Q289" s="10">
        <f>ROUND((Source!BZ179/100)*ROUND((Source!AF179*Source!AV179)*Source!I179, 2), 2)</f>
        <v>160.72</v>
      </c>
      <c r="R289" s="10">
        <f>Source!X179</f>
        <v>160.72</v>
      </c>
      <c r="S289" s="10">
        <f>ROUND((Source!CA179/100)*ROUND((Source!AF179*Source!AV179)*Source!I179, 2), 2)</f>
        <v>22.96</v>
      </c>
      <c r="T289" s="10">
        <f>Source!Y179</f>
        <v>22.96</v>
      </c>
      <c r="U289" s="10">
        <f>ROUND((175/100)*ROUND((Source!AE179*Source!AV179)*Source!I179, 2), 2)</f>
        <v>0</v>
      </c>
      <c r="V289" s="10">
        <f>ROUND((108/100)*ROUND(Source!CS179*Source!I179, 2), 2)</f>
        <v>0</v>
      </c>
    </row>
    <row r="290" spans="1:22">
      <c r="C290" s="49" t="str">
        <f>"Объем: "&amp;Source!I179&amp;"=10,83/"&amp;"100"</f>
        <v>Объем: 0,1083=10,83/100</v>
      </c>
    </row>
    <row r="291" spans="1:22">
      <c r="A291" s="20"/>
      <c r="B291" s="21"/>
      <c r="C291" s="21" t="s">
        <v>577</v>
      </c>
      <c r="D291" s="22"/>
      <c r="E291" s="15"/>
      <c r="F291" s="24">
        <f>Source!AO179</f>
        <v>2120.08</v>
      </c>
      <c r="G291" s="23" t="str">
        <f>Source!DG179</f>
        <v/>
      </c>
      <c r="H291" s="15">
        <f>Source!AV179</f>
        <v>1</v>
      </c>
      <c r="I291" s="15">
        <f>IF(Source!BA179&lt;&gt; 0, Source!BA179, 1)</f>
        <v>1</v>
      </c>
      <c r="J291" s="29">
        <f>Source!S179</f>
        <v>229.6</v>
      </c>
      <c r="K291" s="29"/>
    </row>
    <row r="292" spans="1:22">
      <c r="A292" s="20"/>
      <c r="B292" s="21"/>
      <c r="C292" s="21" t="s">
        <v>580</v>
      </c>
      <c r="D292" s="22" t="s">
        <v>581</v>
      </c>
      <c r="E292" s="15">
        <f>Source!AT179</f>
        <v>70</v>
      </c>
      <c r="F292" s="24"/>
      <c r="G292" s="23"/>
      <c r="H292" s="15"/>
      <c r="I292" s="15"/>
      <c r="J292" s="29">
        <f>SUM(R289:R291)</f>
        <v>160.72</v>
      </c>
      <c r="K292" s="29"/>
    </row>
    <row r="293" spans="1:22">
      <c r="A293" s="20"/>
      <c r="B293" s="21"/>
      <c r="C293" s="21" t="s">
        <v>582</v>
      </c>
      <c r="D293" s="22" t="s">
        <v>581</v>
      </c>
      <c r="E293" s="15">
        <f>Source!AU179</f>
        <v>10</v>
      </c>
      <c r="F293" s="24"/>
      <c r="G293" s="23"/>
      <c r="H293" s="15"/>
      <c r="I293" s="15"/>
      <c r="J293" s="29">
        <f>SUM(T289:T292)</f>
        <v>22.96</v>
      </c>
      <c r="K293" s="29"/>
    </row>
    <row r="294" spans="1:22">
      <c r="A294" s="20"/>
      <c r="B294" s="21"/>
      <c r="C294" s="21" t="s">
        <v>584</v>
      </c>
      <c r="D294" s="22" t="s">
        <v>585</v>
      </c>
      <c r="E294" s="15">
        <f>Source!AQ179</f>
        <v>11.73</v>
      </c>
      <c r="F294" s="24"/>
      <c r="G294" s="23" t="str">
        <f>Source!DI179</f>
        <v/>
      </c>
      <c r="H294" s="15">
        <f>Source!AV179</f>
        <v>1</v>
      </c>
      <c r="I294" s="15"/>
      <c r="J294" s="29"/>
      <c r="K294" s="29">
        <f>Source!U179</f>
        <v>1.270359</v>
      </c>
    </row>
    <row r="295" spans="1:22" ht="15">
      <c r="A295" s="50"/>
      <c r="B295" s="50"/>
      <c r="C295" s="50"/>
      <c r="D295" s="53"/>
      <c r="E295" s="50"/>
      <c r="F295" s="50"/>
      <c r="G295" s="50"/>
      <c r="H295" s="50"/>
      <c r="I295" s="91">
        <f>J291+J292+J293</f>
        <v>413.28</v>
      </c>
      <c r="J295" s="91"/>
      <c r="K295" s="31">
        <f>IF(Source!I179&lt;&gt;0, ROUND(I295/Source!I179, 2), 0)</f>
        <v>3816.07</v>
      </c>
      <c r="P295" s="51">
        <f>I295</f>
        <v>413.28</v>
      </c>
    </row>
    <row r="296" spans="1:22" ht="42.75">
      <c r="A296" s="20" t="str">
        <f>Source!E180</f>
        <v>28</v>
      </c>
      <c r="B296" s="21" t="str">
        <f>Source!F180</f>
        <v>5.4-3103-6-3/1</v>
      </c>
      <c r="C296" s="21" t="str">
        <f>Source!G180</f>
        <v>Посадка деревьев и кустарников с комом земли, диаметром 0,5 м и высотой 0,4 м (без стоимости деревьев и кустарников)</v>
      </c>
      <c r="D296" s="22" t="str">
        <f>Source!H180</f>
        <v>10 шт.</v>
      </c>
      <c r="E296" s="15">
        <f>Source!I180</f>
        <v>1.7</v>
      </c>
      <c r="F296" s="24"/>
      <c r="G296" s="23"/>
      <c r="H296" s="15"/>
      <c r="I296" s="15"/>
      <c r="J296" s="29"/>
      <c r="K296" s="29"/>
      <c r="Q296" s="10">
        <f>ROUND((Source!BZ180/100)*ROUND((Source!AF180*Source!AV180)*Source!I180, 2), 2)</f>
        <v>4150.78</v>
      </c>
      <c r="R296" s="10">
        <f>Source!X180</f>
        <v>4150.78</v>
      </c>
      <c r="S296" s="10">
        <f>ROUND((Source!CA180/100)*ROUND((Source!AF180*Source!AV180)*Source!I180, 2), 2)</f>
        <v>592.97</v>
      </c>
      <c r="T296" s="10">
        <f>Source!Y180</f>
        <v>592.97</v>
      </c>
      <c r="U296" s="10">
        <f>ROUND((175/100)*ROUND((Source!AE180*Source!AV180)*Source!I180, 2), 2)</f>
        <v>900.39</v>
      </c>
      <c r="V296" s="10">
        <f>ROUND((108/100)*ROUND(Source!CS180*Source!I180, 2), 2)</f>
        <v>555.66999999999996</v>
      </c>
    </row>
    <row r="297" spans="1:22">
      <c r="C297" s="49" t="str">
        <f>"Объем: "&amp;Source!I180&amp;"=17/"&amp;"10"</f>
        <v>Объем: 1,7=17/10</v>
      </c>
    </row>
    <row r="298" spans="1:22">
      <c r="A298" s="20"/>
      <c r="B298" s="21"/>
      <c r="C298" s="21" t="s">
        <v>577</v>
      </c>
      <c r="D298" s="22"/>
      <c r="E298" s="15"/>
      <c r="F298" s="24">
        <f>Source!AO180</f>
        <v>3488.05</v>
      </c>
      <c r="G298" s="23" t="str">
        <f>Source!DG180</f>
        <v/>
      </c>
      <c r="H298" s="15">
        <f>Source!AV180</f>
        <v>1</v>
      </c>
      <c r="I298" s="15">
        <f>IF(Source!BA180&lt;&gt; 0, Source!BA180, 1)</f>
        <v>1</v>
      </c>
      <c r="J298" s="29">
        <f>Source!S180</f>
        <v>5929.69</v>
      </c>
      <c r="K298" s="29"/>
    </row>
    <row r="299" spans="1:22">
      <c r="A299" s="20"/>
      <c r="B299" s="21"/>
      <c r="C299" s="21" t="s">
        <v>578</v>
      </c>
      <c r="D299" s="22"/>
      <c r="E299" s="15"/>
      <c r="F299" s="24">
        <f>Source!AM180</f>
        <v>1333.59</v>
      </c>
      <c r="G299" s="23" t="str">
        <f>Source!DE180</f>
        <v/>
      </c>
      <c r="H299" s="15">
        <f>Source!AV180</f>
        <v>1</v>
      </c>
      <c r="I299" s="15">
        <f>IF(Source!BB180&lt;&gt; 0, Source!BB180, 1)</f>
        <v>1</v>
      </c>
      <c r="J299" s="29">
        <f>Source!Q180</f>
        <v>2267.1</v>
      </c>
      <c r="K299" s="29"/>
    </row>
    <row r="300" spans="1:22">
      <c r="A300" s="20"/>
      <c r="B300" s="21"/>
      <c r="C300" s="21" t="s">
        <v>579</v>
      </c>
      <c r="D300" s="22"/>
      <c r="E300" s="15"/>
      <c r="F300" s="24">
        <f>Source!AN180</f>
        <v>302.64999999999998</v>
      </c>
      <c r="G300" s="23" t="str">
        <f>Source!DF180</f>
        <v/>
      </c>
      <c r="H300" s="15">
        <f>Source!AV180</f>
        <v>1</v>
      </c>
      <c r="I300" s="15">
        <f>IF(Source!BS180&lt;&gt; 0, Source!BS180, 1)</f>
        <v>1</v>
      </c>
      <c r="J300" s="27">
        <f>Source!R180</f>
        <v>514.51</v>
      </c>
      <c r="K300" s="29"/>
    </row>
    <row r="301" spans="1:22">
      <c r="A301" s="20"/>
      <c r="B301" s="21"/>
      <c r="C301" s="21" t="s">
        <v>586</v>
      </c>
      <c r="D301" s="22"/>
      <c r="E301" s="15"/>
      <c r="F301" s="24">
        <f>Source!AL180</f>
        <v>815.92</v>
      </c>
      <c r="G301" s="23" t="str">
        <f>Source!DD180</f>
        <v/>
      </c>
      <c r="H301" s="15">
        <f>Source!AW180</f>
        <v>1</v>
      </c>
      <c r="I301" s="15">
        <f>IF(Source!BC180&lt;&gt; 0, Source!BC180, 1)</f>
        <v>1</v>
      </c>
      <c r="J301" s="29">
        <f>Source!P180</f>
        <v>1387.06</v>
      </c>
      <c r="K301" s="29"/>
    </row>
    <row r="302" spans="1:22" ht="42.75">
      <c r="A302" s="20" t="str">
        <f>Source!E181</f>
        <v>28,1</v>
      </c>
      <c r="B302" s="21" t="str">
        <f>Source!F181</f>
        <v>комерческое предложение</v>
      </c>
      <c r="C302" s="21" t="str">
        <f>Source!G181</f>
        <v>Деревья хвойные садовых форм с комом земли, порода:  Туя Брабант, высота - 1,2-1,4 м, размер кома 0,5м*0,4м</v>
      </c>
      <c r="D302" s="22" t="str">
        <f>Source!H181</f>
        <v>шт.</v>
      </c>
      <c r="E302" s="15">
        <f>Source!I181</f>
        <v>1</v>
      </c>
      <c r="F302" s="24">
        <f>Source!AK181</f>
        <v>3833.33</v>
      </c>
      <c r="G302" s="32" t="s">
        <v>3</v>
      </c>
      <c r="H302" s="15">
        <f>Source!AW181</f>
        <v>1</v>
      </c>
      <c r="I302" s="15">
        <f>IF(Source!BC181&lt;&gt; 0, Source!BC181, 1)</f>
        <v>1</v>
      </c>
      <c r="J302" s="29">
        <f>Source!O181</f>
        <v>3833.33</v>
      </c>
      <c r="K302" s="29"/>
      <c r="Q302" s="10">
        <f>ROUND((Source!BZ181/100)*ROUND((Source!AF181*Source!AV181)*Source!I181, 2), 2)</f>
        <v>0</v>
      </c>
      <c r="R302" s="10">
        <f>Source!X181</f>
        <v>0</v>
      </c>
      <c r="S302" s="10">
        <f>ROUND((Source!CA181/100)*ROUND((Source!AF181*Source!AV181)*Source!I181, 2), 2)</f>
        <v>0</v>
      </c>
      <c r="T302" s="10">
        <f>Source!Y181</f>
        <v>0</v>
      </c>
      <c r="U302" s="10">
        <f>ROUND((175/100)*ROUND((Source!AE181*Source!AV181)*Source!I181, 2), 2)</f>
        <v>0</v>
      </c>
      <c r="V302" s="10">
        <f>ROUND((108/100)*ROUND(Source!CS181*Source!I181, 2), 2)</f>
        <v>0</v>
      </c>
    </row>
    <row r="303" spans="1:22" ht="42.75">
      <c r="A303" s="20" t="str">
        <f>Source!E182</f>
        <v>28,2</v>
      </c>
      <c r="B303" s="21" t="str">
        <f>Source!F182</f>
        <v>комерческое предложение</v>
      </c>
      <c r="C303" s="21" t="str">
        <f>Source!G182</f>
        <v>Деревья хвойные садовых форм с комом земли, порода:  Туя Смарагд (шар) , высота - 0,6-0,8м, размер кома 0,5м*0,4м</v>
      </c>
      <c r="D303" s="22" t="str">
        <f>Source!H182</f>
        <v>шт.</v>
      </c>
      <c r="E303" s="15">
        <f>Source!I182</f>
        <v>6</v>
      </c>
      <c r="F303" s="24">
        <f>Source!AK182</f>
        <v>2250</v>
      </c>
      <c r="G303" s="32" t="s">
        <v>3</v>
      </c>
      <c r="H303" s="15">
        <f>Source!AW182</f>
        <v>1</v>
      </c>
      <c r="I303" s="15">
        <f>IF(Source!BC182&lt;&gt; 0, Source!BC182, 1)</f>
        <v>1</v>
      </c>
      <c r="J303" s="29">
        <f>Source!O182</f>
        <v>13500</v>
      </c>
      <c r="K303" s="29"/>
      <c r="Q303" s="10">
        <f>ROUND((Source!BZ182/100)*ROUND((Source!AF182*Source!AV182)*Source!I182, 2), 2)</f>
        <v>0</v>
      </c>
      <c r="R303" s="10">
        <f>Source!X182</f>
        <v>0</v>
      </c>
      <c r="S303" s="10">
        <f>ROUND((Source!CA182/100)*ROUND((Source!AF182*Source!AV182)*Source!I182, 2), 2)</f>
        <v>0</v>
      </c>
      <c r="T303" s="10">
        <f>Source!Y182</f>
        <v>0</v>
      </c>
      <c r="U303" s="10">
        <f>ROUND((175/100)*ROUND((Source!AE182*Source!AV182)*Source!I182, 2), 2)</f>
        <v>0</v>
      </c>
      <c r="V303" s="10">
        <f>ROUND((108/100)*ROUND(Source!CS182*Source!I182, 2), 2)</f>
        <v>0</v>
      </c>
    </row>
    <row r="304" spans="1:22" ht="42.75">
      <c r="A304" s="20" t="str">
        <f>Source!E183</f>
        <v>28,3</v>
      </c>
      <c r="B304" s="21" t="str">
        <f>Source!F183</f>
        <v>комерческое предложение</v>
      </c>
      <c r="C304" s="21" t="str">
        <f>Source!G183</f>
        <v>Деревья хвойные садовых форм с комом земли, порода:  Туя Вудварди, высота - 1,2-1,4 м, размер кома 0,5м*0,4м</v>
      </c>
      <c r="D304" s="22" t="str">
        <f>Source!H183</f>
        <v>шт.</v>
      </c>
      <c r="E304" s="15">
        <f>Source!I183</f>
        <v>3</v>
      </c>
      <c r="F304" s="24">
        <f>Source!AK183</f>
        <v>4250</v>
      </c>
      <c r="G304" s="32" t="s">
        <v>3</v>
      </c>
      <c r="H304" s="15">
        <f>Source!AW183</f>
        <v>1</v>
      </c>
      <c r="I304" s="15">
        <f>IF(Source!BC183&lt;&gt; 0, Source!BC183, 1)</f>
        <v>1</v>
      </c>
      <c r="J304" s="29">
        <f>Source!O183</f>
        <v>12750</v>
      </c>
      <c r="K304" s="29"/>
      <c r="Q304" s="10">
        <f>ROUND((Source!BZ183/100)*ROUND((Source!AF183*Source!AV183)*Source!I183, 2), 2)</f>
        <v>0</v>
      </c>
      <c r="R304" s="10">
        <f>Source!X183</f>
        <v>0</v>
      </c>
      <c r="S304" s="10">
        <f>ROUND((Source!CA183/100)*ROUND((Source!AF183*Source!AV183)*Source!I183, 2), 2)</f>
        <v>0</v>
      </c>
      <c r="T304" s="10">
        <f>Source!Y183</f>
        <v>0</v>
      </c>
      <c r="U304" s="10">
        <f>ROUND((175/100)*ROUND((Source!AE183*Source!AV183)*Source!I183, 2), 2)</f>
        <v>0</v>
      </c>
      <c r="V304" s="10">
        <f>ROUND((108/100)*ROUND(Source!CS183*Source!I183, 2), 2)</f>
        <v>0</v>
      </c>
    </row>
    <row r="305" spans="1:22" ht="42.75">
      <c r="A305" s="20" t="str">
        <f>Source!E184</f>
        <v>28,4</v>
      </c>
      <c r="B305" s="21" t="str">
        <f>Source!F184</f>
        <v>комерческое предложение</v>
      </c>
      <c r="C305" s="21" t="str">
        <f>Source!G184</f>
        <v>Деревья хвойные садовых форм с комом земли, порода:  Туя Глобоза (шар), высота - 1,2 м, размер кома 0,5м*0,4м</v>
      </c>
      <c r="D305" s="22" t="str">
        <f>Source!H184</f>
        <v>шт.</v>
      </c>
      <c r="E305" s="15">
        <f>Source!I184</f>
        <v>3</v>
      </c>
      <c r="F305" s="24">
        <f>Source!AK184</f>
        <v>3583.33</v>
      </c>
      <c r="G305" s="32" t="s">
        <v>3</v>
      </c>
      <c r="H305" s="15">
        <f>Source!AW184</f>
        <v>1</v>
      </c>
      <c r="I305" s="15">
        <f>IF(Source!BC184&lt;&gt; 0, Source!BC184, 1)</f>
        <v>1</v>
      </c>
      <c r="J305" s="29">
        <f>Source!O184</f>
        <v>10749.99</v>
      </c>
      <c r="K305" s="29"/>
      <c r="Q305" s="10">
        <f>ROUND((Source!BZ184/100)*ROUND((Source!AF184*Source!AV184)*Source!I184, 2), 2)</f>
        <v>0</v>
      </c>
      <c r="R305" s="10">
        <f>Source!X184</f>
        <v>0</v>
      </c>
      <c r="S305" s="10">
        <f>ROUND((Source!CA184/100)*ROUND((Source!AF184*Source!AV184)*Source!I184, 2), 2)</f>
        <v>0</v>
      </c>
      <c r="T305" s="10">
        <f>Source!Y184</f>
        <v>0</v>
      </c>
      <c r="U305" s="10">
        <f>ROUND((175/100)*ROUND((Source!AE184*Source!AV184)*Source!I184, 2), 2)</f>
        <v>0</v>
      </c>
      <c r="V305" s="10">
        <f>ROUND((108/100)*ROUND(Source!CS184*Source!I184, 2), 2)</f>
        <v>0</v>
      </c>
    </row>
    <row r="306" spans="1:22" ht="42.75">
      <c r="A306" s="20" t="str">
        <f>Source!E185</f>
        <v>28,5</v>
      </c>
      <c r="B306" s="21" t="str">
        <f>Source!F185</f>
        <v>комерческое предложение</v>
      </c>
      <c r="C306" s="21" t="str">
        <f>Source!G185</f>
        <v>Деревья хвойные садовых форм с комом земли, порода:  Туя Глаука Глобоза, высота - 1,2-1,4 м, размер кома 0,5м*0,4м</v>
      </c>
      <c r="D306" s="22" t="str">
        <f>Source!H185</f>
        <v>шт.</v>
      </c>
      <c r="E306" s="15">
        <f>Source!I185</f>
        <v>4</v>
      </c>
      <c r="F306" s="24">
        <f>Source!AK185</f>
        <v>3250</v>
      </c>
      <c r="G306" s="32" t="s">
        <v>3</v>
      </c>
      <c r="H306" s="15">
        <f>Source!AW185</f>
        <v>1</v>
      </c>
      <c r="I306" s="15">
        <f>IF(Source!BC185&lt;&gt; 0, Source!BC185, 1)</f>
        <v>1</v>
      </c>
      <c r="J306" s="29">
        <f>Source!O185</f>
        <v>13000</v>
      </c>
      <c r="K306" s="29"/>
      <c r="Q306" s="10">
        <f>ROUND((Source!BZ185/100)*ROUND((Source!AF185*Source!AV185)*Source!I185, 2), 2)</f>
        <v>0</v>
      </c>
      <c r="R306" s="10">
        <f>Source!X185</f>
        <v>0</v>
      </c>
      <c r="S306" s="10">
        <f>ROUND((Source!CA185/100)*ROUND((Source!AF185*Source!AV185)*Source!I185, 2), 2)</f>
        <v>0</v>
      </c>
      <c r="T306" s="10">
        <f>Source!Y185</f>
        <v>0</v>
      </c>
      <c r="U306" s="10">
        <f>ROUND((175/100)*ROUND((Source!AE185*Source!AV185)*Source!I185, 2), 2)</f>
        <v>0</v>
      </c>
      <c r="V306" s="10">
        <f>ROUND((108/100)*ROUND(Source!CS185*Source!I185, 2), 2)</f>
        <v>0</v>
      </c>
    </row>
    <row r="307" spans="1:22">
      <c r="A307" s="20"/>
      <c r="B307" s="21"/>
      <c r="C307" s="21" t="s">
        <v>580</v>
      </c>
      <c r="D307" s="22" t="s">
        <v>581</v>
      </c>
      <c r="E307" s="15">
        <f>Source!AT180</f>
        <v>70</v>
      </c>
      <c r="F307" s="24"/>
      <c r="G307" s="23"/>
      <c r="H307" s="15"/>
      <c r="I307" s="15"/>
      <c r="J307" s="29">
        <f>SUM(R296:R306)</f>
        <v>4150.78</v>
      </c>
      <c r="K307" s="29"/>
    </row>
    <row r="308" spans="1:22">
      <c r="A308" s="20"/>
      <c r="B308" s="21"/>
      <c r="C308" s="21" t="s">
        <v>582</v>
      </c>
      <c r="D308" s="22" t="s">
        <v>581</v>
      </c>
      <c r="E308" s="15">
        <f>Source!AU180</f>
        <v>10</v>
      </c>
      <c r="F308" s="24"/>
      <c r="G308" s="23"/>
      <c r="H308" s="15"/>
      <c r="I308" s="15"/>
      <c r="J308" s="29">
        <f>SUM(T296:T307)</f>
        <v>592.97</v>
      </c>
      <c r="K308" s="29"/>
    </row>
    <row r="309" spans="1:22">
      <c r="A309" s="20"/>
      <c r="B309" s="21"/>
      <c r="C309" s="21" t="s">
        <v>583</v>
      </c>
      <c r="D309" s="22" t="s">
        <v>581</v>
      </c>
      <c r="E309" s="15">
        <f>108</f>
        <v>108</v>
      </c>
      <c r="F309" s="24"/>
      <c r="G309" s="23"/>
      <c r="H309" s="15"/>
      <c r="I309" s="15"/>
      <c r="J309" s="29">
        <f>SUM(V296:V308)</f>
        <v>555.66999999999996</v>
      </c>
      <c r="K309" s="29"/>
    </row>
    <row r="310" spans="1:22">
      <c r="A310" s="20"/>
      <c r="B310" s="21"/>
      <c r="C310" s="21" t="s">
        <v>584</v>
      </c>
      <c r="D310" s="22" t="s">
        <v>585</v>
      </c>
      <c r="E310" s="15">
        <f>Source!AQ180</f>
        <v>14.42</v>
      </c>
      <c r="F310" s="24"/>
      <c r="G310" s="23" t="str">
        <f>Source!DI180</f>
        <v/>
      </c>
      <c r="H310" s="15">
        <f>Source!AV180</f>
        <v>1</v>
      </c>
      <c r="I310" s="15"/>
      <c r="J310" s="29"/>
      <c r="K310" s="29">
        <f>Source!U180</f>
        <v>24.513999999999999</v>
      </c>
    </row>
    <row r="311" spans="1:22" ht="15">
      <c r="A311" s="50"/>
      <c r="B311" s="50"/>
      <c r="C311" s="50"/>
      <c r="D311" s="53"/>
      <c r="E311" s="50"/>
      <c r="F311" s="50"/>
      <c r="G311" s="50"/>
      <c r="H311" s="50"/>
      <c r="I311" s="91">
        <f>J298+J299+J301+J307+J308+J309+SUM(J302:J306)</f>
        <v>68716.59</v>
      </c>
      <c r="J311" s="91"/>
      <c r="K311" s="31">
        <f>IF(Source!I180&lt;&gt;0, ROUND(I311/Source!I180, 2), 0)</f>
        <v>40421.519999999997</v>
      </c>
      <c r="P311" s="51">
        <f>I311</f>
        <v>68716.59</v>
      </c>
    </row>
    <row r="312" spans="1:22" hidden="1"/>
    <row r="313" spans="1:22" ht="15" hidden="1">
      <c r="A313" s="95" t="str">
        <f>CONCATENATE("Итого по разделу: ",IF(Source!G187&lt;&gt;"Новый раздел", Source!G187, ""))</f>
        <v>Итого по разделу: Посадка деревьев хвойных - 21шт.</v>
      </c>
      <c r="B313" s="95"/>
      <c r="C313" s="95"/>
      <c r="D313" s="95"/>
      <c r="E313" s="95"/>
      <c r="F313" s="95"/>
      <c r="G313" s="95"/>
      <c r="H313" s="95"/>
      <c r="I313" s="93">
        <f>SUM(P218:P312)</f>
        <v>142006.59999999998</v>
      </c>
      <c r="J313" s="94"/>
      <c r="K313" s="33"/>
    </row>
    <row r="314" spans="1:22" hidden="1"/>
    <row r="315" spans="1:22" hidden="1">
      <c r="C315" s="88" t="str">
        <f>Source!H215</f>
        <v>Итого</v>
      </c>
      <c r="D315" s="88"/>
      <c r="E315" s="88"/>
      <c r="F315" s="88"/>
      <c r="G315" s="88"/>
      <c r="H315" s="88"/>
      <c r="I315" s="92">
        <f>IF(Source!F215=0, "", Source!F215)</f>
        <v>142006.6</v>
      </c>
      <c r="J315" s="92"/>
    </row>
    <row r="316" spans="1:22" hidden="1">
      <c r="C316" s="88" t="str">
        <f>Source!H216</f>
        <v>НДС 20%</v>
      </c>
      <c r="D316" s="88"/>
      <c r="E316" s="88"/>
      <c r="F316" s="88"/>
      <c r="G316" s="88"/>
      <c r="H316" s="88"/>
      <c r="I316" s="92">
        <f>IF(Source!F216=0, "", Source!F216)</f>
        <v>28401.32</v>
      </c>
      <c r="J316" s="92"/>
    </row>
    <row r="317" spans="1:22" hidden="1">
      <c r="C317" s="88" t="str">
        <f>Source!H217</f>
        <v>Всего с НДС</v>
      </c>
      <c r="D317" s="88"/>
      <c r="E317" s="88"/>
      <c r="F317" s="88"/>
      <c r="G317" s="88"/>
      <c r="H317" s="88"/>
      <c r="I317" s="92">
        <f>IF(Source!F217=0, "", Source!F217)</f>
        <v>170407.92</v>
      </c>
      <c r="J317" s="92"/>
    </row>
    <row r="318" spans="1:22" hidden="1"/>
    <row r="319" spans="1:22" ht="15" hidden="1">
      <c r="A319" s="80" t="str">
        <f>CONCATENATE("Раздел: ",IF(Source!G219&lt;&gt;"Новый раздел", Source!G219, ""))</f>
        <v>Раздел: Декоративное украшение территори озеленения</v>
      </c>
      <c r="B319" s="80"/>
      <c r="C319" s="80"/>
      <c r="D319" s="80"/>
      <c r="E319" s="80"/>
      <c r="F319" s="80"/>
      <c r="G319" s="80"/>
      <c r="H319" s="80"/>
      <c r="I319" s="80"/>
      <c r="J319" s="80"/>
      <c r="K319" s="80"/>
    </row>
    <row r="320" spans="1:22" ht="28.5">
      <c r="A320" s="20" t="str">
        <f>Source!E223</f>
        <v>29</v>
      </c>
      <c r="B320" s="21" t="str">
        <f>Source!F223</f>
        <v>5.4-1201-2-1/1</v>
      </c>
      <c r="C320" s="21" t="str">
        <f>Source!G223</f>
        <v>Укрытие цветников и газонов мульчирующими материалами вручную, толщина слоя 2 см</v>
      </c>
      <c r="D320" s="22" t="str">
        <f>Source!H223</f>
        <v>100 м2</v>
      </c>
      <c r="E320" s="15">
        <f>Source!I223</f>
        <v>0.35</v>
      </c>
      <c r="F320" s="24"/>
      <c r="G320" s="23"/>
      <c r="H320" s="15"/>
      <c r="I320" s="15"/>
      <c r="J320" s="29"/>
      <c r="K320" s="29"/>
      <c r="Q320" s="10">
        <f>ROUND((Source!BZ223/100)*ROUND((Source!AF223*Source!AV223)*Source!I223, 2), 2)</f>
        <v>97.08</v>
      </c>
      <c r="R320" s="10">
        <f>Source!X223</f>
        <v>97.08</v>
      </c>
      <c r="S320" s="10">
        <f>ROUND((Source!CA223/100)*ROUND((Source!AF223*Source!AV223)*Source!I223, 2), 2)</f>
        <v>13.87</v>
      </c>
      <c r="T320" s="10">
        <f>Source!Y223</f>
        <v>13.87</v>
      </c>
      <c r="U320" s="10">
        <f>ROUND((175/100)*ROUND((Source!AE223*Source!AV223)*Source!I223, 2), 2)</f>
        <v>0</v>
      </c>
      <c r="V320" s="10">
        <f>ROUND((108/100)*ROUND(Source!CS223*Source!I223, 2), 2)</f>
        <v>0</v>
      </c>
    </row>
    <row r="321" spans="1:22">
      <c r="C321" s="49" t="str">
        <f>"Объем: "&amp;Source!I223&amp;"=35/"&amp;"100"</f>
        <v>Объем: 0,35=35/100</v>
      </c>
    </row>
    <row r="322" spans="1:22">
      <c r="A322" s="20"/>
      <c r="B322" s="21"/>
      <c r="C322" s="21" t="s">
        <v>577</v>
      </c>
      <c r="D322" s="22"/>
      <c r="E322" s="15"/>
      <c r="F322" s="24">
        <f>Source!AO223</f>
        <v>396.23</v>
      </c>
      <c r="G322" s="23" t="str">
        <f>Source!DG223</f>
        <v/>
      </c>
      <c r="H322" s="15">
        <f>Source!AV223</f>
        <v>1</v>
      </c>
      <c r="I322" s="15">
        <f>IF(Source!BA223&lt;&gt; 0, Source!BA223, 1)</f>
        <v>1</v>
      </c>
      <c r="J322" s="29">
        <f>Source!S223</f>
        <v>138.68</v>
      </c>
      <c r="K322" s="29"/>
    </row>
    <row r="323" spans="1:22">
      <c r="A323" s="20"/>
      <c r="B323" s="21"/>
      <c r="C323" s="21" t="s">
        <v>586</v>
      </c>
      <c r="D323" s="22"/>
      <c r="E323" s="15"/>
      <c r="F323" s="24">
        <f>Source!AL223</f>
        <v>5242.8</v>
      </c>
      <c r="G323" s="23" t="str">
        <f>Source!DD223</f>
        <v/>
      </c>
      <c r="H323" s="15">
        <f>Source!AW223</f>
        <v>1</v>
      </c>
      <c r="I323" s="15">
        <f>IF(Source!BC223&lt;&gt; 0, Source!BC223, 1)</f>
        <v>1</v>
      </c>
      <c r="J323" s="29">
        <f>Source!P223</f>
        <v>1834.98</v>
      </c>
      <c r="K323" s="29"/>
    </row>
    <row r="324" spans="1:22">
      <c r="A324" s="20"/>
      <c r="B324" s="21"/>
      <c r="C324" s="21" t="s">
        <v>580</v>
      </c>
      <c r="D324" s="22" t="s">
        <v>581</v>
      </c>
      <c r="E324" s="15">
        <f>Source!AT223</f>
        <v>70</v>
      </c>
      <c r="F324" s="24"/>
      <c r="G324" s="23"/>
      <c r="H324" s="15"/>
      <c r="I324" s="15"/>
      <c r="J324" s="29">
        <f>SUM(R320:R323)</f>
        <v>97.08</v>
      </c>
      <c r="K324" s="29"/>
    </row>
    <row r="325" spans="1:22">
      <c r="A325" s="20"/>
      <c r="B325" s="21"/>
      <c r="C325" s="21" t="s">
        <v>582</v>
      </c>
      <c r="D325" s="22" t="s">
        <v>581</v>
      </c>
      <c r="E325" s="15">
        <f>Source!AU223</f>
        <v>10</v>
      </c>
      <c r="F325" s="24"/>
      <c r="G325" s="23"/>
      <c r="H325" s="15"/>
      <c r="I325" s="15"/>
      <c r="J325" s="29">
        <f>SUM(T320:T324)</f>
        <v>13.87</v>
      </c>
      <c r="K325" s="29"/>
    </row>
    <row r="326" spans="1:22">
      <c r="A326" s="20"/>
      <c r="B326" s="21"/>
      <c r="C326" s="21" t="s">
        <v>584</v>
      </c>
      <c r="D326" s="22" t="s">
        <v>585</v>
      </c>
      <c r="E326" s="15">
        <f>Source!AQ223</f>
        <v>1.96</v>
      </c>
      <c r="F326" s="24"/>
      <c r="G326" s="23" t="str">
        <f>Source!DI223</f>
        <v/>
      </c>
      <c r="H326" s="15">
        <f>Source!AV223</f>
        <v>1</v>
      </c>
      <c r="I326" s="15"/>
      <c r="J326" s="29"/>
      <c r="K326" s="29">
        <f>Source!U223</f>
        <v>0.68599999999999994</v>
      </c>
    </row>
    <row r="327" spans="1:22" ht="15">
      <c r="A327" s="50"/>
      <c r="B327" s="50"/>
      <c r="C327" s="50"/>
      <c r="D327" s="53"/>
      <c r="E327" s="50"/>
      <c r="F327" s="50"/>
      <c r="G327" s="50"/>
      <c r="H327" s="50"/>
      <c r="I327" s="91">
        <f>J322+J323+J324+J325</f>
        <v>2084.61</v>
      </c>
      <c r="J327" s="91"/>
      <c r="K327" s="31">
        <f>IF(Source!I223&lt;&gt;0, ROUND(I327/Source!I223, 2), 0)</f>
        <v>5956.03</v>
      </c>
      <c r="P327" s="51">
        <f>I327</f>
        <v>2084.61</v>
      </c>
    </row>
    <row r="328" spans="1:22" ht="42.75">
      <c r="A328" s="20" t="str">
        <f>Source!E224</f>
        <v>30</v>
      </c>
      <c r="B328" s="21" t="str">
        <f>Source!F224</f>
        <v>5.4-1201-2-3/1</v>
      </c>
      <c r="C328" s="21" t="str">
        <f>Source!G224</f>
        <v>Укрытие цветников и газонов мульчирующими материалами вручную, добавлять на каждый 1 см толщины слоя сверх 2 см</v>
      </c>
      <c r="D328" s="22" t="str">
        <f>Source!H224</f>
        <v>100 м2</v>
      </c>
      <c r="E328" s="15">
        <f>Source!I224</f>
        <v>0.35</v>
      </c>
      <c r="F328" s="24"/>
      <c r="G328" s="23"/>
      <c r="H328" s="15"/>
      <c r="I328" s="15"/>
      <c r="J328" s="29"/>
      <c r="K328" s="29"/>
      <c r="Q328" s="10">
        <f>ROUND((Source!BZ224/100)*ROUND((Source!AF224*Source!AV224)*Source!I224, 2), 2)</f>
        <v>112.92</v>
      </c>
      <c r="R328" s="10">
        <f>Source!X224</f>
        <v>112.92</v>
      </c>
      <c r="S328" s="10">
        <f>ROUND((Source!CA224/100)*ROUND((Source!AF224*Source!AV224)*Source!I224, 2), 2)</f>
        <v>16.13</v>
      </c>
      <c r="T328" s="10">
        <f>Source!Y224</f>
        <v>16.13</v>
      </c>
      <c r="U328" s="10">
        <f>ROUND((175/100)*ROUND((Source!AE224*Source!AV224)*Source!I224, 2), 2)</f>
        <v>0</v>
      </c>
      <c r="V328" s="10">
        <f>ROUND((108/100)*ROUND(Source!CS224*Source!I224, 2), 2)</f>
        <v>0</v>
      </c>
    </row>
    <row r="329" spans="1:22">
      <c r="C329" s="49" t="str">
        <f>"Объем: "&amp;Source!I224&amp;"=35/"&amp;"100"</f>
        <v>Объем: 0,35=35/100</v>
      </c>
    </row>
    <row r="330" spans="1:22">
      <c r="A330" s="20"/>
      <c r="B330" s="21"/>
      <c r="C330" s="21" t="s">
        <v>577</v>
      </c>
      <c r="D330" s="22"/>
      <c r="E330" s="15"/>
      <c r="F330" s="24">
        <f>Source!AO224</f>
        <v>153.63</v>
      </c>
      <c r="G330" s="23" t="str">
        <f>Source!DG224</f>
        <v>*3</v>
      </c>
      <c r="H330" s="15">
        <f>Source!AV224</f>
        <v>1</v>
      </c>
      <c r="I330" s="15">
        <f>IF(Source!BA224&lt;&gt; 0, Source!BA224, 1)</f>
        <v>1</v>
      </c>
      <c r="J330" s="29">
        <f>Source!S224</f>
        <v>161.31</v>
      </c>
      <c r="K330" s="29"/>
    </row>
    <row r="331" spans="1:22">
      <c r="A331" s="20"/>
      <c r="B331" s="21"/>
      <c r="C331" s="21" t="s">
        <v>586</v>
      </c>
      <c r="D331" s="22"/>
      <c r="E331" s="15"/>
      <c r="F331" s="24">
        <f>Source!AL224</f>
        <v>2621.4</v>
      </c>
      <c r="G331" s="23" t="str">
        <f>Source!DD224</f>
        <v>*3</v>
      </c>
      <c r="H331" s="15">
        <f>Source!AW224</f>
        <v>1</v>
      </c>
      <c r="I331" s="15">
        <f>IF(Source!BC224&lt;&gt; 0, Source!BC224, 1)</f>
        <v>1</v>
      </c>
      <c r="J331" s="29">
        <f>Source!P224</f>
        <v>2752.47</v>
      </c>
      <c r="K331" s="29"/>
    </row>
    <row r="332" spans="1:22">
      <c r="A332" s="20"/>
      <c r="B332" s="21"/>
      <c r="C332" s="21" t="s">
        <v>580</v>
      </c>
      <c r="D332" s="22" t="s">
        <v>581</v>
      </c>
      <c r="E332" s="15">
        <f>Source!AT224</f>
        <v>70</v>
      </c>
      <c r="F332" s="24"/>
      <c r="G332" s="23"/>
      <c r="H332" s="15"/>
      <c r="I332" s="15"/>
      <c r="J332" s="29">
        <f>SUM(R328:R331)</f>
        <v>112.92</v>
      </c>
      <c r="K332" s="29"/>
    </row>
    <row r="333" spans="1:22">
      <c r="A333" s="20"/>
      <c r="B333" s="21"/>
      <c r="C333" s="21" t="s">
        <v>582</v>
      </c>
      <c r="D333" s="22" t="s">
        <v>581</v>
      </c>
      <c r="E333" s="15">
        <f>Source!AU224</f>
        <v>10</v>
      </c>
      <c r="F333" s="24"/>
      <c r="G333" s="23"/>
      <c r="H333" s="15"/>
      <c r="I333" s="15"/>
      <c r="J333" s="29">
        <f>SUM(T328:T332)</f>
        <v>16.13</v>
      </c>
      <c r="K333" s="29"/>
    </row>
    <row r="334" spans="1:22">
      <c r="A334" s="20"/>
      <c r="B334" s="21"/>
      <c r="C334" s="21" t="s">
        <v>584</v>
      </c>
      <c r="D334" s="22" t="s">
        <v>585</v>
      </c>
      <c r="E334" s="15">
        <f>Source!AQ224</f>
        <v>0.85</v>
      </c>
      <c r="F334" s="24"/>
      <c r="G334" s="23" t="str">
        <f>Source!DI224</f>
        <v>*3</v>
      </c>
      <c r="H334" s="15">
        <f>Source!AV224</f>
        <v>1</v>
      </c>
      <c r="I334" s="15"/>
      <c r="J334" s="29"/>
      <c r="K334" s="29">
        <f>Source!U224</f>
        <v>0.89249999999999985</v>
      </c>
    </row>
    <row r="335" spans="1:22" ht="15">
      <c r="A335" s="50"/>
      <c r="B335" s="50"/>
      <c r="C335" s="50"/>
      <c r="D335" s="53"/>
      <c r="E335" s="50"/>
      <c r="F335" s="50"/>
      <c r="G335" s="50"/>
      <c r="H335" s="50"/>
      <c r="I335" s="91">
        <f>J330+J331+J332+J333</f>
        <v>3042.83</v>
      </c>
      <c r="J335" s="91"/>
      <c r="K335" s="31">
        <f>IF(Source!I224&lt;&gt;0, ROUND(I335/Source!I224, 2), 0)</f>
        <v>8693.7999999999993</v>
      </c>
      <c r="P335" s="51">
        <f>I335</f>
        <v>3042.83</v>
      </c>
    </row>
    <row r="336" spans="1:22" ht="28.5">
      <c r="A336" s="20" t="str">
        <f>Source!E225</f>
        <v>31</v>
      </c>
      <c r="B336" s="21" t="str">
        <f>Source!F225</f>
        <v>5.3-3103-9-3/1</v>
      </c>
      <c r="C336" s="21" t="str">
        <f>Source!G225</f>
        <v>Устройство бордюра из мелкоштучных камней, установленных на ребро, для клумб</v>
      </c>
      <c r="D336" s="22" t="str">
        <f>Source!H225</f>
        <v>100 м</v>
      </c>
      <c r="E336" s="15">
        <f>Source!I225</f>
        <v>0.5</v>
      </c>
      <c r="F336" s="24"/>
      <c r="G336" s="23"/>
      <c r="H336" s="15"/>
      <c r="I336" s="15"/>
      <c r="J336" s="29"/>
      <c r="K336" s="29"/>
      <c r="Q336" s="10">
        <f>ROUND((Source!BZ225/100)*ROUND((Source!AF225*Source!AV225)*Source!I225, 2), 2)</f>
        <v>8799.92</v>
      </c>
      <c r="R336" s="10">
        <f>Source!X225</f>
        <v>8799.92</v>
      </c>
      <c r="S336" s="10">
        <f>ROUND((Source!CA225/100)*ROUND((Source!AF225*Source!AV225)*Source!I225, 2), 2)</f>
        <v>1257.1300000000001</v>
      </c>
      <c r="T336" s="10">
        <f>Source!Y225</f>
        <v>1257.1300000000001</v>
      </c>
      <c r="U336" s="10">
        <f>ROUND((175/100)*ROUND((Source!AE225*Source!AV225)*Source!I225, 2), 2)</f>
        <v>409.8</v>
      </c>
      <c r="V336" s="10">
        <f>ROUND((108/100)*ROUND(Source!CS225*Source!I225, 2), 2)</f>
        <v>252.9</v>
      </c>
    </row>
    <row r="337" spans="1:16">
      <c r="C337" s="49" t="str">
        <f>"Объем: "&amp;Source!I225&amp;"=50/"&amp;"100"</f>
        <v>Объем: 0,5=50/100</v>
      </c>
    </row>
    <row r="338" spans="1:16">
      <c r="A338" s="20"/>
      <c r="B338" s="21"/>
      <c r="C338" s="21" t="s">
        <v>577</v>
      </c>
      <c r="D338" s="22"/>
      <c r="E338" s="15"/>
      <c r="F338" s="24">
        <f>Source!AO225</f>
        <v>25142.639999999999</v>
      </c>
      <c r="G338" s="23" t="str">
        <f>Source!DG225</f>
        <v/>
      </c>
      <c r="H338" s="15">
        <f>Source!AV225</f>
        <v>1</v>
      </c>
      <c r="I338" s="15">
        <f>IF(Source!BA225&lt;&gt; 0, Source!BA225, 1)</f>
        <v>1</v>
      </c>
      <c r="J338" s="29">
        <f>Source!S225</f>
        <v>12571.32</v>
      </c>
      <c r="K338" s="29"/>
    </row>
    <row r="339" spans="1:16">
      <c r="A339" s="20"/>
      <c r="B339" s="21"/>
      <c r="C339" s="21" t="s">
        <v>578</v>
      </c>
      <c r="D339" s="22"/>
      <c r="E339" s="15"/>
      <c r="F339" s="24">
        <f>Source!AM225</f>
        <v>762.81</v>
      </c>
      <c r="G339" s="23" t="str">
        <f>Source!DE225</f>
        <v/>
      </c>
      <c r="H339" s="15">
        <f>Source!AV225</f>
        <v>1</v>
      </c>
      <c r="I339" s="15">
        <f>IF(Source!BB225&lt;&gt; 0, Source!BB225, 1)</f>
        <v>1</v>
      </c>
      <c r="J339" s="29">
        <f>Source!Q225</f>
        <v>381.41</v>
      </c>
      <c r="K339" s="29"/>
    </row>
    <row r="340" spans="1:16">
      <c r="A340" s="20"/>
      <c r="B340" s="21"/>
      <c r="C340" s="21" t="s">
        <v>579</v>
      </c>
      <c r="D340" s="22"/>
      <c r="E340" s="15"/>
      <c r="F340" s="24">
        <f>Source!AN225</f>
        <v>468.34</v>
      </c>
      <c r="G340" s="23" t="str">
        <f>Source!DF225</f>
        <v/>
      </c>
      <c r="H340" s="15">
        <f>Source!AV225</f>
        <v>1</v>
      </c>
      <c r="I340" s="15">
        <f>IF(Source!BS225&lt;&gt; 0, Source!BS225, 1)</f>
        <v>1</v>
      </c>
      <c r="J340" s="27">
        <f>Source!R225</f>
        <v>234.17</v>
      </c>
      <c r="K340" s="29"/>
    </row>
    <row r="341" spans="1:16">
      <c r="A341" s="20"/>
      <c r="B341" s="21"/>
      <c r="C341" s="21" t="s">
        <v>586</v>
      </c>
      <c r="D341" s="22"/>
      <c r="E341" s="15"/>
      <c r="F341" s="24">
        <f>Source!AL225</f>
        <v>79886.62</v>
      </c>
      <c r="G341" s="23" t="str">
        <f>Source!DD225</f>
        <v/>
      </c>
      <c r="H341" s="15">
        <f>Source!AW225</f>
        <v>1</v>
      </c>
      <c r="I341" s="15">
        <f>IF(Source!BC225&lt;&gt; 0, Source!BC225, 1)</f>
        <v>1</v>
      </c>
      <c r="J341" s="29">
        <f>Source!P225</f>
        <v>39943.31</v>
      </c>
      <c r="K341" s="29"/>
    </row>
    <row r="342" spans="1:16">
      <c r="A342" s="20"/>
      <c r="B342" s="21"/>
      <c r="C342" s="21" t="s">
        <v>580</v>
      </c>
      <c r="D342" s="22" t="s">
        <v>581</v>
      </c>
      <c r="E342" s="15">
        <f>Source!AT225</f>
        <v>70</v>
      </c>
      <c r="F342" s="24"/>
      <c r="G342" s="23"/>
      <c r="H342" s="15"/>
      <c r="I342" s="15"/>
      <c r="J342" s="29">
        <f>SUM(R336:R341)</f>
        <v>8799.92</v>
      </c>
      <c r="K342" s="29"/>
    </row>
    <row r="343" spans="1:16">
      <c r="A343" s="20"/>
      <c r="B343" s="21"/>
      <c r="C343" s="21" t="s">
        <v>582</v>
      </c>
      <c r="D343" s="22" t="s">
        <v>581</v>
      </c>
      <c r="E343" s="15">
        <f>Source!AU225</f>
        <v>10</v>
      </c>
      <c r="F343" s="24"/>
      <c r="G343" s="23"/>
      <c r="H343" s="15"/>
      <c r="I343" s="15"/>
      <c r="J343" s="29">
        <f>SUM(T336:T342)</f>
        <v>1257.1300000000001</v>
      </c>
      <c r="K343" s="29"/>
    </row>
    <row r="344" spans="1:16">
      <c r="A344" s="20"/>
      <c r="B344" s="21"/>
      <c r="C344" s="21" t="s">
        <v>583</v>
      </c>
      <c r="D344" s="22" t="s">
        <v>581</v>
      </c>
      <c r="E344" s="15">
        <f>108</f>
        <v>108</v>
      </c>
      <c r="F344" s="24"/>
      <c r="G344" s="23"/>
      <c r="H344" s="15"/>
      <c r="I344" s="15"/>
      <c r="J344" s="29">
        <f>SUM(V336:V343)</f>
        <v>252.9</v>
      </c>
      <c r="K344" s="29"/>
    </row>
    <row r="345" spans="1:16">
      <c r="A345" s="20"/>
      <c r="B345" s="21"/>
      <c r="C345" s="21" t="s">
        <v>584</v>
      </c>
      <c r="D345" s="22" t="s">
        <v>585</v>
      </c>
      <c r="E345" s="15">
        <f>Source!AQ225</f>
        <v>124.37</v>
      </c>
      <c r="F345" s="24"/>
      <c r="G345" s="23" t="str">
        <f>Source!DI225</f>
        <v/>
      </c>
      <c r="H345" s="15">
        <f>Source!AV225</f>
        <v>1</v>
      </c>
      <c r="I345" s="15"/>
      <c r="J345" s="29"/>
      <c r="K345" s="29">
        <f>Source!U225</f>
        <v>62.185000000000002</v>
      </c>
    </row>
    <row r="346" spans="1:16" ht="15">
      <c r="A346" s="50"/>
      <c r="B346" s="50"/>
      <c r="C346" s="50"/>
      <c r="D346" s="53"/>
      <c r="E346" s="50"/>
      <c r="F346" s="50"/>
      <c r="G346" s="50"/>
      <c r="H346" s="50"/>
      <c r="I346" s="91">
        <f>J338+J339+J341+J342+J343+J344</f>
        <v>63205.989999999991</v>
      </c>
      <c r="J346" s="91"/>
      <c r="K346" s="31">
        <f>IF(Source!I225&lt;&gt;0, ROUND(I346/Source!I225, 2), 0)</f>
        <v>126411.98</v>
      </c>
      <c r="P346" s="51">
        <f>I346</f>
        <v>63205.989999999991</v>
      </c>
    </row>
    <row r="347" spans="1:16" hidden="1"/>
    <row r="348" spans="1:16" ht="15" hidden="1">
      <c r="A348" s="95" t="str">
        <f>CONCATENATE("Итого по разделу: ",IF(Source!G227&lt;&gt;"Новый раздел", Source!G227, ""))</f>
        <v>Итого по разделу: Декоративное украшение территори озеленения</v>
      </c>
      <c r="B348" s="95"/>
      <c r="C348" s="95"/>
      <c r="D348" s="95"/>
      <c r="E348" s="95"/>
      <c r="F348" s="95"/>
      <c r="G348" s="95"/>
      <c r="H348" s="95"/>
      <c r="I348" s="93">
        <f>SUM(P319:P347)</f>
        <v>68333.429999999993</v>
      </c>
      <c r="J348" s="94"/>
      <c r="K348" s="33"/>
    </row>
    <row r="349" spans="1:16" hidden="1"/>
    <row r="350" spans="1:16" hidden="1">
      <c r="C350" s="88" t="str">
        <f>Source!H255</f>
        <v>Итого</v>
      </c>
      <c r="D350" s="88"/>
      <c r="E350" s="88"/>
      <c r="F350" s="88"/>
      <c r="G350" s="88"/>
      <c r="H350" s="88"/>
      <c r="I350" s="92">
        <f>IF(Source!F255=0, "", Source!F255)</f>
        <v>68333.429999999993</v>
      </c>
      <c r="J350" s="92"/>
    </row>
    <row r="351" spans="1:16" hidden="1">
      <c r="C351" s="88" t="str">
        <f>Source!H256</f>
        <v>НДС 20%</v>
      </c>
      <c r="D351" s="88"/>
      <c r="E351" s="88"/>
      <c r="F351" s="88"/>
      <c r="G351" s="88"/>
      <c r="H351" s="88"/>
      <c r="I351" s="92">
        <f>IF(Source!F256=0, "", Source!F256)</f>
        <v>13666.69</v>
      </c>
      <c r="J351" s="92"/>
    </row>
    <row r="352" spans="1:16" hidden="1">
      <c r="C352" s="88" t="str">
        <f>Source!H257</f>
        <v>Всего с НДС</v>
      </c>
      <c r="D352" s="88"/>
      <c r="E352" s="88"/>
      <c r="F352" s="88"/>
      <c r="G352" s="88"/>
      <c r="H352" s="88"/>
      <c r="I352" s="92">
        <f>IF(Source!F257=0, "", Source!F257)</f>
        <v>82000.12</v>
      </c>
      <c r="J352" s="92"/>
    </row>
    <row r="353" spans="1:22" hidden="1"/>
    <row r="354" spans="1:22" ht="15" hidden="1">
      <c r="A354" s="80" t="str">
        <f>CONCATENATE("Раздел: ",IF(Source!G259&lt;&gt;"Новый раздел", Source!G259, ""))</f>
        <v>Раздел: Ремонт газона (посевной) - 550м2 ( вокруг цветника с кустами и деревьями)</v>
      </c>
      <c r="B354" s="80"/>
      <c r="C354" s="80"/>
      <c r="D354" s="80"/>
      <c r="E354" s="80"/>
      <c r="F354" s="80"/>
      <c r="G354" s="80"/>
      <c r="H354" s="80"/>
      <c r="I354" s="80"/>
      <c r="J354" s="80"/>
      <c r="K354" s="80"/>
    </row>
    <row r="355" spans="1:22" ht="57">
      <c r="A355" s="20" t="str">
        <f>Source!E263</f>
        <v>32</v>
      </c>
      <c r="B355" s="21" t="str">
        <f>Source!F263</f>
        <v>5.4-3203-3-3/1</v>
      </c>
      <c r="C355" s="21" t="str">
        <f>Source!G263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D355" s="22" t="str">
        <f>Source!H263</f>
        <v>100 м2</v>
      </c>
      <c r="E355" s="15">
        <f>Source!I263</f>
        <v>4.125</v>
      </c>
      <c r="F355" s="24"/>
      <c r="G355" s="23"/>
      <c r="H355" s="15"/>
      <c r="I355" s="15"/>
      <c r="J355" s="29"/>
      <c r="K355" s="29"/>
      <c r="Q355" s="10">
        <f>ROUND((Source!BZ263/100)*ROUND((Source!AF263*Source!AV263)*Source!I263, 2), 2)</f>
        <v>16454.77</v>
      </c>
      <c r="R355" s="10">
        <f>Source!X263</f>
        <v>16454.77</v>
      </c>
      <c r="S355" s="10">
        <f>ROUND((Source!CA263/100)*ROUND((Source!AF263*Source!AV263)*Source!I263, 2), 2)</f>
        <v>2350.6799999999998</v>
      </c>
      <c r="T355" s="10">
        <f>Source!Y263</f>
        <v>2350.6799999999998</v>
      </c>
      <c r="U355" s="10">
        <f>ROUND((175/100)*ROUND((Source!AE263*Source!AV263)*Source!I263, 2), 2)</f>
        <v>160.47999999999999</v>
      </c>
      <c r="V355" s="10">
        <f>ROUND((108/100)*ROUND(Source!CS263*Source!I263, 2), 2)</f>
        <v>99.04</v>
      </c>
    </row>
    <row r="356" spans="1:22">
      <c r="C356" s="49" t="str">
        <f>"Объем: "&amp;Source!I263&amp;"=550*"&amp;"0,75/"&amp;"100"</f>
        <v>Объем: 4,125=550*0,75/100</v>
      </c>
    </row>
    <row r="357" spans="1:22">
      <c r="A357" s="20"/>
      <c r="B357" s="21"/>
      <c r="C357" s="21" t="s">
        <v>577</v>
      </c>
      <c r="D357" s="22"/>
      <c r="E357" s="15"/>
      <c r="F357" s="24">
        <f>Source!AO263</f>
        <v>5698.62</v>
      </c>
      <c r="G357" s="23" t="str">
        <f>Source!DG263</f>
        <v/>
      </c>
      <c r="H357" s="15">
        <f>Source!AV263</f>
        <v>1</v>
      </c>
      <c r="I357" s="15">
        <f>IF(Source!BA263&lt;&gt; 0, Source!BA263, 1)</f>
        <v>1</v>
      </c>
      <c r="J357" s="29">
        <f>Source!S263</f>
        <v>23506.81</v>
      </c>
      <c r="K357" s="29"/>
    </row>
    <row r="358" spans="1:22">
      <c r="A358" s="20"/>
      <c r="B358" s="21"/>
      <c r="C358" s="21" t="s">
        <v>578</v>
      </c>
      <c r="D358" s="22"/>
      <c r="E358" s="15"/>
      <c r="F358" s="24">
        <f>Source!AM263</f>
        <v>60.76</v>
      </c>
      <c r="G358" s="23" t="str">
        <f>Source!DE263</f>
        <v/>
      </c>
      <c r="H358" s="15">
        <f>Source!AV263</f>
        <v>1</v>
      </c>
      <c r="I358" s="15">
        <f>IF(Source!BB263&lt;&gt; 0, Source!BB263, 1)</f>
        <v>1</v>
      </c>
      <c r="J358" s="29">
        <f>Source!Q263</f>
        <v>250.64</v>
      </c>
      <c r="K358" s="29"/>
    </row>
    <row r="359" spans="1:22">
      <c r="A359" s="20"/>
      <c r="B359" s="21"/>
      <c r="C359" s="21" t="s">
        <v>579</v>
      </c>
      <c r="D359" s="22"/>
      <c r="E359" s="15"/>
      <c r="F359" s="24">
        <f>Source!AN263</f>
        <v>22.23</v>
      </c>
      <c r="G359" s="23" t="str">
        <f>Source!DF263</f>
        <v/>
      </c>
      <c r="H359" s="15">
        <f>Source!AV263</f>
        <v>1</v>
      </c>
      <c r="I359" s="15">
        <f>IF(Source!BS263&lt;&gt; 0, Source!BS263, 1)</f>
        <v>1</v>
      </c>
      <c r="J359" s="27">
        <f>Source!R263</f>
        <v>91.7</v>
      </c>
      <c r="K359" s="29"/>
    </row>
    <row r="360" spans="1:22">
      <c r="A360" s="20"/>
      <c r="B360" s="21"/>
      <c r="C360" s="21" t="s">
        <v>586</v>
      </c>
      <c r="D360" s="22"/>
      <c r="E360" s="15"/>
      <c r="F360" s="24">
        <f>Source!AL263</f>
        <v>11305.05</v>
      </c>
      <c r="G360" s="23" t="str">
        <f>Source!DD263</f>
        <v/>
      </c>
      <c r="H360" s="15">
        <f>Source!AW263</f>
        <v>1</v>
      </c>
      <c r="I360" s="15">
        <f>IF(Source!BC263&lt;&gt; 0, Source!BC263, 1)</f>
        <v>1</v>
      </c>
      <c r="J360" s="29">
        <f>Source!P263</f>
        <v>46633.33</v>
      </c>
      <c r="K360" s="29"/>
    </row>
    <row r="361" spans="1:22">
      <c r="A361" s="20"/>
      <c r="B361" s="21"/>
      <c r="C361" s="21" t="s">
        <v>580</v>
      </c>
      <c r="D361" s="22" t="s">
        <v>581</v>
      </c>
      <c r="E361" s="15">
        <f>Source!AT263</f>
        <v>70</v>
      </c>
      <c r="F361" s="24"/>
      <c r="G361" s="23"/>
      <c r="H361" s="15"/>
      <c r="I361" s="15"/>
      <c r="J361" s="29">
        <f>SUM(R355:R360)</f>
        <v>16454.77</v>
      </c>
      <c r="K361" s="29"/>
    </row>
    <row r="362" spans="1:22">
      <c r="A362" s="20"/>
      <c r="B362" s="21"/>
      <c r="C362" s="21" t="s">
        <v>582</v>
      </c>
      <c r="D362" s="22" t="s">
        <v>581</v>
      </c>
      <c r="E362" s="15">
        <f>Source!AU263</f>
        <v>10</v>
      </c>
      <c r="F362" s="24"/>
      <c r="G362" s="23"/>
      <c r="H362" s="15"/>
      <c r="I362" s="15"/>
      <c r="J362" s="29">
        <f>SUM(T355:T361)</f>
        <v>2350.6799999999998</v>
      </c>
      <c r="K362" s="29"/>
    </row>
    <row r="363" spans="1:22">
      <c r="A363" s="20"/>
      <c r="B363" s="21"/>
      <c r="C363" s="21" t="s">
        <v>583</v>
      </c>
      <c r="D363" s="22" t="s">
        <v>581</v>
      </c>
      <c r="E363" s="15">
        <f>108</f>
        <v>108</v>
      </c>
      <c r="F363" s="24"/>
      <c r="G363" s="23"/>
      <c r="H363" s="15"/>
      <c r="I363" s="15"/>
      <c r="J363" s="29">
        <f>SUM(V355:V362)</f>
        <v>99.04</v>
      </c>
      <c r="K363" s="29"/>
    </row>
    <row r="364" spans="1:22">
      <c r="A364" s="20"/>
      <c r="B364" s="21"/>
      <c r="C364" s="21" t="s">
        <v>584</v>
      </c>
      <c r="D364" s="22" t="s">
        <v>585</v>
      </c>
      <c r="E364" s="15">
        <f>Source!AQ263</f>
        <v>30.8</v>
      </c>
      <c r="F364" s="24"/>
      <c r="G364" s="23" t="str">
        <f>Source!DI263</f>
        <v/>
      </c>
      <c r="H364" s="15">
        <f>Source!AV263</f>
        <v>1</v>
      </c>
      <c r="I364" s="15"/>
      <c r="J364" s="29"/>
      <c r="K364" s="29">
        <f>Source!U263</f>
        <v>127.05</v>
      </c>
    </row>
    <row r="365" spans="1:22" ht="15">
      <c r="A365" s="50"/>
      <c r="B365" s="50"/>
      <c r="C365" s="50"/>
      <c r="D365" s="53"/>
      <c r="E365" s="50"/>
      <c r="F365" s="50"/>
      <c r="G365" s="50"/>
      <c r="H365" s="50"/>
      <c r="I365" s="91">
        <f>J357+J358+J360+J361+J362+J363</f>
        <v>89295.26999999999</v>
      </c>
      <c r="J365" s="91"/>
      <c r="K365" s="31">
        <f>IF(Source!I263&lt;&gt;0, ROUND(I365/Source!I263, 2), 0)</f>
        <v>21647.34</v>
      </c>
      <c r="P365" s="51">
        <f>I365</f>
        <v>89295.26999999999</v>
      </c>
    </row>
    <row r="366" spans="1:22" ht="42.75">
      <c r="A366" s="20" t="str">
        <f>Source!E264</f>
        <v>33</v>
      </c>
      <c r="B366" s="21" t="str">
        <f>Source!F264</f>
        <v>5.4-3203-3-4/1</v>
      </c>
      <c r="C366" s="21" t="str">
        <f>Source!G264</f>
        <v>Подготовка почвы для устройства партерного и обыкновенного газонов с внесением растительной земли слоем 15 см вручную</v>
      </c>
      <c r="D366" s="22" t="str">
        <f>Source!H264</f>
        <v>100 м2</v>
      </c>
      <c r="E366" s="15">
        <f>Source!I264</f>
        <v>1.375</v>
      </c>
      <c r="F366" s="24"/>
      <c r="G366" s="23"/>
      <c r="H366" s="15"/>
      <c r="I366" s="15"/>
      <c r="J366" s="29"/>
      <c r="K366" s="29"/>
      <c r="Q366" s="10">
        <f>ROUND((Source!BZ264/100)*ROUND((Source!AF264*Source!AV264)*Source!I264, 2), 2)</f>
        <v>8191.76</v>
      </c>
      <c r="R366" s="10">
        <f>Source!X264</f>
        <v>8191.76</v>
      </c>
      <c r="S366" s="10">
        <f>ROUND((Source!CA264/100)*ROUND((Source!AF264*Source!AV264)*Source!I264, 2), 2)</f>
        <v>1170.25</v>
      </c>
      <c r="T366" s="10">
        <f>Source!Y264</f>
        <v>1170.25</v>
      </c>
      <c r="U366" s="10">
        <f>ROUND((175/100)*ROUND((Source!AE264*Source!AV264)*Source!I264, 2), 2)</f>
        <v>0</v>
      </c>
      <c r="V366" s="10">
        <f>ROUND((108/100)*ROUND(Source!CS264*Source!I264, 2), 2)</f>
        <v>0</v>
      </c>
    </row>
    <row r="367" spans="1:22">
      <c r="C367" s="49" t="str">
        <f>"Объем: "&amp;Source!I264&amp;"=550*"&amp;"0,25/"&amp;"100"</f>
        <v>Объем: 1,375=550*0,25/100</v>
      </c>
    </row>
    <row r="368" spans="1:22">
      <c r="A368" s="20"/>
      <c r="B368" s="21"/>
      <c r="C368" s="21" t="s">
        <v>577</v>
      </c>
      <c r="D368" s="22"/>
      <c r="E368" s="15"/>
      <c r="F368" s="24">
        <f>Source!AO264</f>
        <v>8510.92</v>
      </c>
      <c r="G368" s="23" t="str">
        <f>Source!DG264</f>
        <v/>
      </c>
      <c r="H368" s="15">
        <f>Source!AV264</f>
        <v>1</v>
      </c>
      <c r="I368" s="15">
        <f>IF(Source!BA264&lt;&gt; 0, Source!BA264, 1)</f>
        <v>1</v>
      </c>
      <c r="J368" s="29">
        <f>Source!S264</f>
        <v>11702.52</v>
      </c>
      <c r="K368" s="29"/>
    </row>
    <row r="369" spans="1:22">
      <c r="A369" s="20"/>
      <c r="B369" s="21"/>
      <c r="C369" s="21" t="s">
        <v>586</v>
      </c>
      <c r="D369" s="22"/>
      <c r="E369" s="15"/>
      <c r="F369" s="24">
        <f>Source!AL264</f>
        <v>11305.05</v>
      </c>
      <c r="G369" s="23" t="str">
        <f>Source!DD264</f>
        <v/>
      </c>
      <c r="H369" s="15">
        <f>Source!AW264</f>
        <v>1</v>
      </c>
      <c r="I369" s="15">
        <f>IF(Source!BC264&lt;&gt; 0, Source!BC264, 1)</f>
        <v>1</v>
      </c>
      <c r="J369" s="29">
        <f>Source!P264</f>
        <v>15544.44</v>
      </c>
      <c r="K369" s="29"/>
    </row>
    <row r="370" spans="1:22">
      <c r="A370" s="20"/>
      <c r="B370" s="21"/>
      <c r="C370" s="21" t="s">
        <v>580</v>
      </c>
      <c r="D370" s="22" t="s">
        <v>581</v>
      </c>
      <c r="E370" s="15">
        <f>Source!AT264</f>
        <v>70</v>
      </c>
      <c r="F370" s="24"/>
      <c r="G370" s="23"/>
      <c r="H370" s="15"/>
      <c r="I370" s="15"/>
      <c r="J370" s="29">
        <f>SUM(R366:R369)</f>
        <v>8191.76</v>
      </c>
      <c r="K370" s="29"/>
    </row>
    <row r="371" spans="1:22">
      <c r="A371" s="20"/>
      <c r="B371" s="21"/>
      <c r="C371" s="21" t="s">
        <v>582</v>
      </c>
      <c r="D371" s="22" t="s">
        <v>581</v>
      </c>
      <c r="E371" s="15">
        <f>Source!AU264</f>
        <v>10</v>
      </c>
      <c r="F371" s="24"/>
      <c r="G371" s="23"/>
      <c r="H371" s="15"/>
      <c r="I371" s="15"/>
      <c r="J371" s="29">
        <f>SUM(T366:T370)</f>
        <v>1170.25</v>
      </c>
      <c r="K371" s="29"/>
    </row>
    <row r="372" spans="1:22">
      <c r="A372" s="20"/>
      <c r="B372" s="21"/>
      <c r="C372" s="21" t="s">
        <v>584</v>
      </c>
      <c r="D372" s="22" t="s">
        <v>585</v>
      </c>
      <c r="E372" s="15">
        <f>Source!AQ264</f>
        <v>46</v>
      </c>
      <c r="F372" s="24"/>
      <c r="G372" s="23" t="str">
        <f>Source!DI264</f>
        <v/>
      </c>
      <c r="H372" s="15">
        <f>Source!AV264</f>
        <v>1</v>
      </c>
      <c r="I372" s="15"/>
      <c r="J372" s="29"/>
      <c r="K372" s="29">
        <f>Source!U264</f>
        <v>63.25</v>
      </c>
    </row>
    <row r="373" spans="1:22" ht="15">
      <c r="A373" s="50"/>
      <c r="B373" s="50"/>
      <c r="C373" s="50"/>
      <c r="D373" s="53"/>
      <c r="E373" s="50"/>
      <c r="F373" s="50"/>
      <c r="G373" s="50"/>
      <c r="H373" s="50"/>
      <c r="I373" s="91">
        <f>J368+J369+J370+J371</f>
        <v>36608.97</v>
      </c>
      <c r="J373" s="91"/>
      <c r="K373" s="31">
        <f>IF(Source!I264&lt;&gt;0, ROUND(I373/Source!I264, 2), 0)</f>
        <v>26624.71</v>
      </c>
      <c r="P373" s="51">
        <f>I373</f>
        <v>36608.97</v>
      </c>
    </row>
    <row r="374" spans="1:22" ht="57">
      <c r="A374" s="20" t="str">
        <f>Source!E265</f>
        <v>34</v>
      </c>
      <c r="B374" s="21" t="str">
        <f>Source!F265</f>
        <v>5.4-3203-3-5/1</v>
      </c>
      <c r="C374" s="21" t="str">
        <f>Source!G265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D374" s="22" t="str">
        <f>Source!H265</f>
        <v>100 м2</v>
      </c>
      <c r="E374" s="15">
        <f>Source!I265</f>
        <v>-5.5</v>
      </c>
      <c r="F374" s="24"/>
      <c r="G374" s="23"/>
      <c r="H374" s="15"/>
      <c r="I374" s="15"/>
      <c r="J374" s="29"/>
      <c r="K374" s="29"/>
      <c r="Q374" s="10">
        <f>ROUND((Source!BZ265/100)*ROUND((Source!AF265*Source!AV265)*Source!I265, 2), 2)</f>
        <v>-4480.55</v>
      </c>
      <c r="R374" s="10">
        <f>Source!X265</f>
        <v>-4480.55</v>
      </c>
      <c r="S374" s="10">
        <f>ROUND((Source!CA265/100)*ROUND((Source!AF265*Source!AV265)*Source!I265, 2), 2)</f>
        <v>-640.08000000000004</v>
      </c>
      <c r="T374" s="10">
        <f>Source!Y265</f>
        <v>-640.08000000000004</v>
      </c>
      <c r="U374" s="10">
        <f>ROUND((175/100)*ROUND((Source!AE265*Source!AV265)*Source!I265, 2), 2)</f>
        <v>0</v>
      </c>
      <c r="V374" s="10">
        <f>ROUND((108/100)*ROUND(Source!CS265*Source!I265, 2), 2)</f>
        <v>0</v>
      </c>
    </row>
    <row r="375" spans="1:22">
      <c r="C375" s="49" t="str">
        <f>"Объем: "&amp;Source!I265&amp;"=-"&amp;"550/"&amp;"100"</f>
        <v>Объем: -5,5=-550/100</v>
      </c>
    </row>
    <row r="376" spans="1:22">
      <c r="A376" s="20"/>
      <c r="B376" s="21"/>
      <c r="C376" s="21" t="s">
        <v>577</v>
      </c>
      <c r="D376" s="22"/>
      <c r="E376" s="15"/>
      <c r="F376" s="24">
        <f>Source!AO265</f>
        <v>1163.78</v>
      </c>
      <c r="G376" s="23" t="str">
        <f>Source!DG265</f>
        <v/>
      </c>
      <c r="H376" s="15">
        <f>Source!AV265</f>
        <v>1</v>
      </c>
      <c r="I376" s="15">
        <f>IF(Source!BA265&lt;&gt; 0, Source!BA265, 1)</f>
        <v>1</v>
      </c>
      <c r="J376" s="29">
        <f>Source!S265</f>
        <v>-6400.79</v>
      </c>
      <c r="K376" s="29"/>
    </row>
    <row r="377" spans="1:22">
      <c r="A377" s="20"/>
      <c r="B377" s="21"/>
      <c r="C377" s="21" t="s">
        <v>586</v>
      </c>
      <c r="D377" s="22"/>
      <c r="E377" s="15"/>
      <c r="F377" s="24">
        <f>Source!AL265</f>
        <v>3768.35</v>
      </c>
      <c r="G377" s="23" t="str">
        <f>Source!DD265</f>
        <v/>
      </c>
      <c r="H377" s="15">
        <f>Source!AW265</f>
        <v>1</v>
      </c>
      <c r="I377" s="15">
        <f>IF(Source!BC265&lt;&gt; 0, Source!BC265, 1)</f>
        <v>1</v>
      </c>
      <c r="J377" s="29">
        <f>Source!P265</f>
        <v>-20725.93</v>
      </c>
      <c r="K377" s="29"/>
    </row>
    <row r="378" spans="1:22">
      <c r="A378" s="20"/>
      <c r="B378" s="21"/>
      <c r="C378" s="21" t="s">
        <v>580</v>
      </c>
      <c r="D378" s="22" t="s">
        <v>581</v>
      </c>
      <c r="E378" s="15">
        <f>Source!AT265</f>
        <v>70</v>
      </c>
      <c r="F378" s="24"/>
      <c r="G378" s="23"/>
      <c r="H378" s="15"/>
      <c r="I378" s="15"/>
      <c r="J378" s="29">
        <f>SUM(R374:R377)</f>
        <v>-4480.55</v>
      </c>
      <c r="K378" s="29"/>
    </row>
    <row r="379" spans="1:22">
      <c r="A379" s="20"/>
      <c r="B379" s="21"/>
      <c r="C379" s="21" t="s">
        <v>582</v>
      </c>
      <c r="D379" s="22" t="s">
        <v>581</v>
      </c>
      <c r="E379" s="15">
        <f>Source!AU265</f>
        <v>10</v>
      </c>
      <c r="F379" s="24"/>
      <c r="G379" s="23"/>
      <c r="H379" s="15"/>
      <c r="I379" s="15"/>
      <c r="J379" s="29">
        <f>SUM(T374:T378)</f>
        <v>-640.08000000000004</v>
      </c>
      <c r="K379" s="29"/>
    </row>
    <row r="380" spans="1:22">
      <c r="A380" s="20"/>
      <c r="B380" s="21"/>
      <c r="C380" s="21" t="s">
        <v>584</v>
      </c>
      <c r="D380" s="22" t="s">
        <v>585</v>
      </c>
      <c r="E380" s="15">
        <f>Source!AQ265</f>
        <v>6.29</v>
      </c>
      <c r="F380" s="24"/>
      <c r="G380" s="23" t="str">
        <f>Source!DI265</f>
        <v/>
      </c>
      <c r="H380" s="15">
        <f>Source!AV265</f>
        <v>1</v>
      </c>
      <c r="I380" s="15"/>
      <c r="J380" s="29"/>
      <c r="K380" s="29">
        <f>Source!U265</f>
        <v>-34.594999999999999</v>
      </c>
    </row>
    <row r="381" spans="1:22" ht="15">
      <c r="A381" s="50"/>
      <c r="B381" s="50"/>
      <c r="C381" s="50"/>
      <c r="D381" s="53"/>
      <c r="E381" s="50"/>
      <c r="F381" s="50"/>
      <c r="G381" s="50"/>
      <c r="H381" s="50"/>
      <c r="I381" s="91">
        <f>J376+J377+J378+J379</f>
        <v>-32247.350000000002</v>
      </c>
      <c r="J381" s="91"/>
      <c r="K381" s="31">
        <f>IF(Source!I265&lt;&gt;0, ROUND(I381/Source!I265, 2), 0)</f>
        <v>5863.15</v>
      </c>
      <c r="P381" s="51">
        <f>I381</f>
        <v>-32247.350000000002</v>
      </c>
    </row>
    <row r="382" spans="1:22" ht="28.5">
      <c r="A382" s="20" t="str">
        <f>Source!E266</f>
        <v>35</v>
      </c>
      <c r="B382" s="21" t="str">
        <f>Source!F266</f>
        <v>5.4-3203-3-6/1</v>
      </c>
      <c r="C382" s="21" t="str">
        <f>Source!G266</f>
        <v>Посев газонов партерных, мавританских, и обыкновенных вручную</v>
      </c>
      <c r="D382" s="22" t="str">
        <f>Source!H266</f>
        <v>100 м2</v>
      </c>
      <c r="E382" s="15">
        <f>Source!I266</f>
        <v>5.5</v>
      </c>
      <c r="F382" s="24"/>
      <c r="G382" s="23"/>
      <c r="H382" s="15"/>
      <c r="I382" s="15"/>
      <c r="J382" s="29"/>
      <c r="K382" s="29"/>
      <c r="Q382" s="10">
        <f>ROUND((Source!BZ266/100)*ROUND((Source!AF266*Source!AV266)*Source!I266, 2), 2)</f>
        <v>4701.05</v>
      </c>
      <c r="R382" s="10">
        <f>Source!X266</f>
        <v>4701.05</v>
      </c>
      <c r="S382" s="10">
        <f>ROUND((Source!CA266/100)*ROUND((Source!AF266*Source!AV266)*Source!I266, 2), 2)</f>
        <v>671.58</v>
      </c>
      <c r="T382" s="10">
        <f>Source!Y266</f>
        <v>671.58</v>
      </c>
      <c r="U382" s="10">
        <f>ROUND((175/100)*ROUND((Source!AE266*Source!AV266)*Source!I266, 2), 2)</f>
        <v>0</v>
      </c>
      <c r="V382" s="10">
        <f>ROUND((108/100)*ROUND(Source!CS266*Source!I266, 2), 2)</f>
        <v>0</v>
      </c>
    </row>
    <row r="383" spans="1:22">
      <c r="C383" s="49" t="str">
        <f>"Объем: "&amp;Source!I266&amp;"=550/"&amp;"100"</f>
        <v>Объем: 5,5=550/100</v>
      </c>
    </row>
    <row r="384" spans="1:22">
      <c r="A384" s="20"/>
      <c r="B384" s="21"/>
      <c r="C384" s="21" t="s">
        <v>577</v>
      </c>
      <c r="D384" s="22"/>
      <c r="E384" s="15"/>
      <c r="F384" s="24">
        <f>Source!AO266</f>
        <v>1221.05</v>
      </c>
      <c r="G384" s="23" t="str">
        <f>Source!DG266</f>
        <v/>
      </c>
      <c r="H384" s="15">
        <f>Source!AV266</f>
        <v>1</v>
      </c>
      <c r="I384" s="15">
        <f>IF(Source!BA266&lt;&gt; 0, Source!BA266, 1)</f>
        <v>1</v>
      </c>
      <c r="J384" s="29">
        <f>Source!S266</f>
        <v>6715.78</v>
      </c>
      <c r="K384" s="29"/>
    </row>
    <row r="385" spans="1:32">
      <c r="A385" s="20"/>
      <c r="B385" s="21"/>
      <c r="C385" s="21" t="s">
        <v>586</v>
      </c>
      <c r="D385" s="22"/>
      <c r="E385" s="15"/>
      <c r="F385" s="24">
        <f>Source!AL266</f>
        <v>1564.86</v>
      </c>
      <c r="G385" s="23" t="str">
        <f>Source!DD266</f>
        <v/>
      </c>
      <c r="H385" s="15">
        <f>Source!AW266</f>
        <v>1</v>
      </c>
      <c r="I385" s="15">
        <f>IF(Source!BC266&lt;&gt; 0, Source!BC266, 1)</f>
        <v>1</v>
      </c>
      <c r="J385" s="29">
        <f>Source!P266</f>
        <v>8606.73</v>
      </c>
      <c r="K385" s="29"/>
    </row>
    <row r="386" spans="1:32">
      <c r="A386" s="20"/>
      <c r="B386" s="21"/>
      <c r="C386" s="21" t="s">
        <v>580</v>
      </c>
      <c r="D386" s="22" t="s">
        <v>581</v>
      </c>
      <c r="E386" s="15">
        <f>Source!AT266</f>
        <v>70</v>
      </c>
      <c r="F386" s="24"/>
      <c r="G386" s="23"/>
      <c r="H386" s="15"/>
      <c r="I386" s="15"/>
      <c r="J386" s="29">
        <f>SUM(R382:R385)</f>
        <v>4701.05</v>
      </c>
      <c r="K386" s="29"/>
    </row>
    <row r="387" spans="1:32">
      <c r="A387" s="20"/>
      <c r="B387" s="21"/>
      <c r="C387" s="21" t="s">
        <v>582</v>
      </c>
      <c r="D387" s="22" t="s">
        <v>581</v>
      </c>
      <c r="E387" s="15">
        <f>Source!AU266</f>
        <v>10</v>
      </c>
      <c r="F387" s="24"/>
      <c r="G387" s="23"/>
      <c r="H387" s="15"/>
      <c r="I387" s="15"/>
      <c r="J387" s="29">
        <f>SUM(T382:T386)</f>
        <v>671.58</v>
      </c>
      <c r="K387" s="29"/>
    </row>
    <row r="388" spans="1:32">
      <c r="A388" s="20"/>
      <c r="B388" s="21"/>
      <c r="C388" s="21" t="s">
        <v>584</v>
      </c>
      <c r="D388" s="22" t="s">
        <v>585</v>
      </c>
      <c r="E388" s="15">
        <f>Source!AQ266</f>
        <v>6.04</v>
      </c>
      <c r="F388" s="24"/>
      <c r="G388" s="23" t="str">
        <f>Source!DI266</f>
        <v/>
      </c>
      <c r="H388" s="15">
        <f>Source!AV266</f>
        <v>1</v>
      </c>
      <c r="I388" s="15"/>
      <c r="J388" s="29"/>
      <c r="K388" s="29">
        <f>Source!U266</f>
        <v>33.22</v>
      </c>
    </row>
    <row r="389" spans="1:32" ht="15">
      <c r="A389" s="50"/>
      <c r="B389" s="50"/>
      <c r="C389" s="50"/>
      <c r="D389" s="53"/>
      <c r="E389" s="50"/>
      <c r="F389" s="50"/>
      <c r="G389" s="50"/>
      <c r="H389" s="50"/>
      <c r="I389" s="91">
        <f>J384+J385+J386+J387</f>
        <v>20695.14</v>
      </c>
      <c r="J389" s="91"/>
      <c r="K389" s="31">
        <f>IF(Source!I266&lt;&gt;0, ROUND(I389/Source!I266, 2), 0)</f>
        <v>3762.75</v>
      </c>
      <c r="P389" s="51">
        <f>I389</f>
        <v>20695.14</v>
      </c>
    </row>
    <row r="390" spans="1:32" hidden="1"/>
    <row r="391" spans="1:32" ht="15" hidden="1">
      <c r="A391" s="95" t="str">
        <f>CONCATENATE("Итого по разделу: ",IF(Source!G268&lt;&gt;"Новый раздел", Source!G268, ""))</f>
        <v>Итого по разделу: Ремонт газона (посевной) - 550м2 ( вокруг цветника с кустами и деревьями)</v>
      </c>
      <c r="B391" s="95"/>
      <c r="C391" s="95"/>
      <c r="D391" s="95"/>
      <c r="E391" s="95"/>
      <c r="F391" s="95"/>
      <c r="G391" s="95"/>
      <c r="H391" s="95"/>
      <c r="I391" s="93">
        <f>SUM(P354:P390)</f>
        <v>114352.02999999998</v>
      </c>
      <c r="J391" s="94"/>
      <c r="K391" s="33"/>
      <c r="AF391" s="34" t="str">
        <f>CONCATENATE("Итого по разделу: ",IF(Source!G268&lt;&gt;"Новый раздел", Source!G268, ""))</f>
        <v>Итого по разделу: Ремонт газона (посевной) - 550м2 ( вокруг цветника с кустами и деревьями)</v>
      </c>
    </row>
    <row r="392" spans="1:32" hidden="1"/>
    <row r="393" spans="1:32" hidden="1">
      <c r="C393" s="88" t="str">
        <f>Source!H296</f>
        <v>Итого</v>
      </c>
      <c r="D393" s="88"/>
      <c r="E393" s="88"/>
      <c r="F393" s="88"/>
      <c r="G393" s="88"/>
      <c r="H393" s="88"/>
      <c r="I393" s="92">
        <f>IF(Source!F296=0, "", Source!F296)</f>
        <v>114352.03</v>
      </c>
      <c r="J393" s="92"/>
    </row>
    <row r="394" spans="1:32" hidden="1">
      <c r="C394" s="88" t="str">
        <f>Source!H297</f>
        <v>НДС 20%</v>
      </c>
      <c r="D394" s="88"/>
      <c r="E394" s="88"/>
      <c r="F394" s="88"/>
      <c r="G394" s="88"/>
      <c r="H394" s="88"/>
      <c r="I394" s="92">
        <f>IF(Source!F297=0, "", Source!F297)</f>
        <v>22870.41</v>
      </c>
      <c r="J394" s="92"/>
    </row>
    <row r="395" spans="1:32" hidden="1">
      <c r="C395" s="88" t="str">
        <f>Source!H298</f>
        <v>Всего с НДС</v>
      </c>
      <c r="D395" s="88"/>
      <c r="E395" s="88"/>
      <c r="F395" s="88"/>
      <c r="G395" s="88"/>
      <c r="H395" s="88"/>
      <c r="I395" s="92">
        <f>IF(Source!F298=0, "", Source!F298)</f>
        <v>137222.44</v>
      </c>
      <c r="J395" s="92"/>
    </row>
    <row r="396" spans="1:32" hidden="1"/>
    <row r="397" spans="1:32" ht="15" hidden="1">
      <c r="A397" s="80" t="str">
        <f>CONCATENATE("Раздел: ",IF(Source!G300&lt;&gt;"Новый раздел", Source!G300, ""))</f>
        <v>Раздел: Стелла " Чертаново Центральное"</v>
      </c>
      <c r="B397" s="80"/>
      <c r="C397" s="80"/>
      <c r="D397" s="80"/>
      <c r="E397" s="80"/>
      <c r="F397" s="80"/>
      <c r="G397" s="80"/>
      <c r="H397" s="80"/>
      <c r="I397" s="80"/>
      <c r="J397" s="80"/>
      <c r="K397" s="80"/>
    </row>
    <row r="398" spans="1:32" ht="57">
      <c r="A398" s="20" t="str">
        <f>Source!E304</f>
        <v>36</v>
      </c>
      <c r="B398" s="21" t="str">
        <f>Source!F304</f>
        <v>2.49-3201-14-1/1</v>
      </c>
      <c r="C398" s="21" t="str">
        <f>Source!G304</f>
        <v>Разработка грунта вручную в траншеях глубиной до 2 м без креплений с откосами, группа грунтов 1-3  ( 2,6м2*0,3м*0,1 (10%) ) с последующей планировкой прилегающей территории</v>
      </c>
      <c r="D398" s="22" t="str">
        <f>Source!H304</f>
        <v>100 м3</v>
      </c>
      <c r="E398" s="15">
        <f>Source!I304</f>
        <v>8.0000000000000004E-4</v>
      </c>
      <c r="F398" s="24"/>
      <c r="G398" s="23"/>
      <c r="H398" s="15"/>
      <c r="I398" s="15"/>
      <c r="J398" s="29"/>
      <c r="K398" s="29"/>
      <c r="Q398" s="10">
        <f>ROUND((Source!BZ304/100)*ROUND((Source!AF304*Source!AV304)*Source!I304, 2), 2)</f>
        <v>23.49</v>
      </c>
      <c r="R398" s="10">
        <f>Source!X304</f>
        <v>23.49</v>
      </c>
      <c r="S398" s="10">
        <f>ROUND((Source!CA304/100)*ROUND((Source!AF304*Source!AV304)*Source!I304, 2), 2)</f>
        <v>3.36</v>
      </c>
      <c r="T398" s="10">
        <f>Source!Y304</f>
        <v>3.36</v>
      </c>
      <c r="U398" s="10">
        <f>ROUND((175/100)*ROUND((Source!AE304*Source!AV304)*Source!I304, 2), 2)</f>
        <v>0</v>
      </c>
      <c r="V398" s="10">
        <f>ROUND((108/100)*ROUND(Source!CS304*Source!I304, 2), 2)</f>
        <v>0</v>
      </c>
    </row>
    <row r="399" spans="1:32">
      <c r="C399" s="49" t="str">
        <f>"Объем: "&amp;Source!I304&amp;"=0,08/"&amp;"100"</f>
        <v>Объем: 0,0008=0,08/100</v>
      </c>
    </row>
    <row r="400" spans="1:32">
      <c r="A400" s="20"/>
      <c r="B400" s="21"/>
      <c r="C400" s="21" t="s">
        <v>577</v>
      </c>
      <c r="D400" s="22"/>
      <c r="E400" s="15"/>
      <c r="F400" s="24">
        <f>Source!AO304</f>
        <v>41951.1</v>
      </c>
      <c r="G400" s="23" t="str">
        <f>Source!DG304</f>
        <v/>
      </c>
      <c r="H400" s="15">
        <f>Source!AV304</f>
        <v>1</v>
      </c>
      <c r="I400" s="15">
        <f>IF(Source!BA304&lt;&gt; 0, Source!BA304, 1)</f>
        <v>1</v>
      </c>
      <c r="J400" s="29">
        <f>Source!S304</f>
        <v>33.56</v>
      </c>
      <c r="K400" s="29"/>
    </row>
    <row r="401" spans="1:22">
      <c r="A401" s="20"/>
      <c r="B401" s="21"/>
      <c r="C401" s="21" t="s">
        <v>580</v>
      </c>
      <c r="D401" s="22" t="s">
        <v>581</v>
      </c>
      <c r="E401" s="15">
        <f>Source!AT304</f>
        <v>70</v>
      </c>
      <c r="F401" s="24"/>
      <c r="G401" s="23"/>
      <c r="H401" s="15"/>
      <c r="I401" s="15"/>
      <c r="J401" s="29">
        <f>SUM(R398:R400)</f>
        <v>23.49</v>
      </c>
      <c r="K401" s="29"/>
    </row>
    <row r="402" spans="1:22">
      <c r="A402" s="20"/>
      <c r="B402" s="21"/>
      <c r="C402" s="21" t="s">
        <v>582</v>
      </c>
      <c r="D402" s="22" t="s">
        <v>581</v>
      </c>
      <c r="E402" s="15">
        <f>Source!AU304</f>
        <v>10</v>
      </c>
      <c r="F402" s="24"/>
      <c r="G402" s="23"/>
      <c r="H402" s="15"/>
      <c r="I402" s="15"/>
      <c r="J402" s="29">
        <f>SUM(T398:T401)</f>
        <v>3.36</v>
      </c>
      <c r="K402" s="29"/>
    </row>
    <row r="403" spans="1:22">
      <c r="A403" s="20"/>
      <c r="B403" s="21"/>
      <c r="C403" s="21" t="s">
        <v>584</v>
      </c>
      <c r="D403" s="22" t="s">
        <v>585</v>
      </c>
      <c r="E403" s="15">
        <f>Source!AQ304</f>
        <v>221.6</v>
      </c>
      <c r="F403" s="24"/>
      <c r="G403" s="23" t="str">
        <f>Source!DI304</f>
        <v/>
      </c>
      <c r="H403" s="15">
        <f>Source!AV304</f>
        <v>1</v>
      </c>
      <c r="I403" s="15"/>
      <c r="J403" s="29"/>
      <c r="K403" s="29">
        <f>Source!U304</f>
        <v>0.17727999999999999</v>
      </c>
    </row>
    <row r="404" spans="1:22" ht="15">
      <c r="A404" s="50"/>
      <c r="B404" s="50"/>
      <c r="C404" s="50"/>
      <c r="D404" s="53"/>
      <c r="E404" s="50"/>
      <c r="F404" s="50"/>
      <c r="G404" s="50"/>
      <c r="H404" s="50"/>
      <c r="I404" s="91">
        <f>J400+J401+J402</f>
        <v>60.41</v>
      </c>
      <c r="J404" s="91"/>
      <c r="K404" s="31">
        <f>IF(Source!I304&lt;&gt;0, ROUND(I404/Source!I304, 2), 0)</f>
        <v>75512.5</v>
      </c>
      <c r="P404" s="51">
        <f>I404</f>
        <v>60.41</v>
      </c>
    </row>
    <row r="405" spans="1:22" ht="57">
      <c r="A405" s="20" t="str">
        <f>Source!E305</f>
        <v>37</v>
      </c>
      <c r="B405" s="21" t="str">
        <f>Source!F305</f>
        <v>2.49-3101-3-3/1</v>
      </c>
      <c r="C405" s="21" t="str">
        <f>Source!G305</f>
        <v>Разработка грунта с погрузкой на автомобили-самосвалы экскаваторами с ковшом вместимостью 0,5 м3, группа грунтов 1-3 ( 2,6м2*0,3м*0,9(90%))</v>
      </c>
      <c r="D405" s="22" t="str">
        <f>Source!H305</f>
        <v>100 м3</v>
      </c>
      <c r="E405" s="15">
        <f>Source!I305</f>
        <v>7.0000000000000001E-3</v>
      </c>
      <c r="F405" s="24"/>
      <c r="G405" s="23"/>
      <c r="H405" s="15"/>
      <c r="I405" s="15"/>
      <c r="J405" s="29"/>
      <c r="K405" s="29"/>
      <c r="Q405" s="10">
        <f>ROUND((Source!BZ305/100)*ROUND((Source!AF305*Source!AV305)*Source!I305, 2), 2)</f>
        <v>1.41</v>
      </c>
      <c r="R405" s="10">
        <f>Source!X305</f>
        <v>1.41</v>
      </c>
      <c r="S405" s="10">
        <f>ROUND((Source!CA305/100)*ROUND((Source!AF305*Source!AV305)*Source!I305, 2), 2)</f>
        <v>0.2</v>
      </c>
      <c r="T405" s="10">
        <f>Source!Y305</f>
        <v>0.2</v>
      </c>
      <c r="U405" s="10">
        <f>ROUND((175/100)*ROUND((Source!AE305*Source!AV305)*Source!I305, 2), 2)</f>
        <v>42.07</v>
      </c>
      <c r="V405" s="10">
        <f>ROUND((108/100)*ROUND(Source!CS305*Source!I305, 2), 2)</f>
        <v>25.96</v>
      </c>
    </row>
    <row r="406" spans="1:22">
      <c r="C406" s="49" t="str">
        <f>"Объем: "&amp;Source!I305&amp;"=0,7/"&amp;"100"</f>
        <v>Объем: 0,007=0,7/100</v>
      </c>
    </row>
    <row r="407" spans="1:22">
      <c r="A407" s="20"/>
      <c r="B407" s="21"/>
      <c r="C407" s="21" t="s">
        <v>577</v>
      </c>
      <c r="D407" s="22"/>
      <c r="E407" s="15"/>
      <c r="F407" s="24">
        <f>Source!AO305</f>
        <v>287.38</v>
      </c>
      <c r="G407" s="23" t="str">
        <f>Source!DG305</f>
        <v/>
      </c>
      <c r="H407" s="15">
        <f>Source!AV305</f>
        <v>1</v>
      </c>
      <c r="I407" s="15">
        <f>IF(Source!BA305&lt;&gt; 0, Source!BA305, 1)</f>
        <v>1</v>
      </c>
      <c r="J407" s="29">
        <f>Source!S305</f>
        <v>2.0099999999999998</v>
      </c>
      <c r="K407" s="29"/>
    </row>
    <row r="408" spans="1:22">
      <c r="A408" s="20"/>
      <c r="B408" s="21"/>
      <c r="C408" s="21" t="s">
        <v>578</v>
      </c>
      <c r="D408" s="22"/>
      <c r="E408" s="15"/>
      <c r="F408" s="24">
        <f>Source!AM305</f>
        <v>8779.01</v>
      </c>
      <c r="G408" s="23" t="str">
        <f>Source!DE305</f>
        <v/>
      </c>
      <c r="H408" s="15">
        <f>Source!AV305</f>
        <v>1</v>
      </c>
      <c r="I408" s="15">
        <f>IF(Source!BB305&lt;&gt; 0, Source!BB305, 1)</f>
        <v>1</v>
      </c>
      <c r="J408" s="29">
        <f>Source!Q305</f>
        <v>61.45</v>
      </c>
      <c r="K408" s="29"/>
    </row>
    <row r="409" spans="1:22">
      <c r="A409" s="20"/>
      <c r="B409" s="21"/>
      <c r="C409" s="21" t="s">
        <v>579</v>
      </c>
      <c r="D409" s="22"/>
      <c r="E409" s="15"/>
      <c r="F409" s="24">
        <f>Source!AN305</f>
        <v>3433.88</v>
      </c>
      <c r="G409" s="23" t="str">
        <f>Source!DF305</f>
        <v/>
      </c>
      <c r="H409" s="15">
        <f>Source!AV305</f>
        <v>1</v>
      </c>
      <c r="I409" s="15">
        <f>IF(Source!BS305&lt;&gt; 0, Source!BS305, 1)</f>
        <v>1</v>
      </c>
      <c r="J409" s="27">
        <f>Source!R305</f>
        <v>24.04</v>
      </c>
      <c r="K409" s="29"/>
    </row>
    <row r="410" spans="1:22">
      <c r="A410" s="20"/>
      <c r="B410" s="21"/>
      <c r="C410" s="21" t="s">
        <v>580</v>
      </c>
      <c r="D410" s="22" t="s">
        <v>581</v>
      </c>
      <c r="E410" s="15">
        <f>Source!AT305</f>
        <v>70</v>
      </c>
      <c r="F410" s="24"/>
      <c r="G410" s="23"/>
      <c r="H410" s="15"/>
      <c r="I410" s="15"/>
      <c r="J410" s="29">
        <f>SUM(R405:R409)</f>
        <v>1.41</v>
      </c>
      <c r="K410" s="29"/>
    </row>
    <row r="411" spans="1:22">
      <c r="A411" s="20"/>
      <c r="B411" s="21"/>
      <c r="C411" s="21" t="s">
        <v>582</v>
      </c>
      <c r="D411" s="22" t="s">
        <v>581</v>
      </c>
      <c r="E411" s="15">
        <f>Source!AU305</f>
        <v>10</v>
      </c>
      <c r="F411" s="24"/>
      <c r="G411" s="23"/>
      <c r="H411" s="15"/>
      <c r="I411" s="15"/>
      <c r="J411" s="29">
        <f>SUM(T405:T410)</f>
        <v>0.2</v>
      </c>
      <c r="K411" s="29"/>
    </row>
    <row r="412" spans="1:22">
      <c r="A412" s="20"/>
      <c r="B412" s="21"/>
      <c r="C412" s="21" t="s">
        <v>583</v>
      </c>
      <c r="D412" s="22" t="s">
        <v>581</v>
      </c>
      <c r="E412" s="15">
        <f>108</f>
        <v>108</v>
      </c>
      <c r="F412" s="24"/>
      <c r="G412" s="23"/>
      <c r="H412" s="15"/>
      <c r="I412" s="15"/>
      <c r="J412" s="29">
        <f>SUM(V405:V411)</f>
        <v>25.96</v>
      </c>
      <c r="K412" s="29"/>
    </row>
    <row r="413" spans="1:22">
      <c r="A413" s="20"/>
      <c r="B413" s="21"/>
      <c r="C413" s="21" t="s">
        <v>584</v>
      </c>
      <c r="D413" s="22" t="s">
        <v>585</v>
      </c>
      <c r="E413" s="15">
        <f>Source!AQ305</f>
        <v>1.59</v>
      </c>
      <c r="F413" s="24"/>
      <c r="G413" s="23" t="str">
        <f>Source!DI305</f>
        <v/>
      </c>
      <c r="H413" s="15">
        <f>Source!AV305</f>
        <v>1</v>
      </c>
      <c r="I413" s="15"/>
      <c r="J413" s="29"/>
      <c r="K413" s="29">
        <f>Source!U305</f>
        <v>1.1130000000000001E-2</v>
      </c>
    </row>
    <row r="414" spans="1:22" ht="15">
      <c r="A414" s="50"/>
      <c r="B414" s="50"/>
      <c r="C414" s="50"/>
      <c r="D414" s="53"/>
      <c r="E414" s="50"/>
      <c r="F414" s="50"/>
      <c r="G414" s="50"/>
      <c r="H414" s="50"/>
      <c r="I414" s="91">
        <f>J407+J408+J410+J411+J412</f>
        <v>91.03</v>
      </c>
      <c r="J414" s="91"/>
      <c r="K414" s="31">
        <f>IF(Source!I305&lt;&gt;0, ROUND(I414/Source!I305, 2), 0)</f>
        <v>13004.29</v>
      </c>
      <c r="P414" s="51">
        <f>I414</f>
        <v>91.03</v>
      </c>
    </row>
    <row r="415" spans="1:22" ht="85.5">
      <c r="A415" s="20" t="str">
        <f>Source!E306</f>
        <v>38</v>
      </c>
      <c r="B415" s="21" t="str">
        <f>Source!F306</f>
        <v>5.4-3503-1-1/1</v>
      </c>
      <c r="C415" s="21" t="str">
        <f>Source!G306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(при слое 20 см покрываемая площадь 0,7м3/0,2м х 0,75)</v>
      </c>
      <c r="D415" s="22" t="str">
        <f>Source!H306</f>
        <v>100 м2</v>
      </c>
      <c r="E415" s="15">
        <f>Source!I306</f>
        <v>2.5999999999999999E-2</v>
      </c>
      <c r="F415" s="24"/>
      <c r="G415" s="23"/>
      <c r="H415" s="15"/>
      <c r="I415" s="15"/>
      <c r="J415" s="29"/>
      <c r="K415" s="29"/>
      <c r="Q415" s="10">
        <f>ROUND((Source!BZ306/100)*ROUND((Source!AF306*Source!AV306)*Source!I306, 2), 2)</f>
        <v>0</v>
      </c>
      <c r="R415" s="10">
        <f>Source!X306</f>
        <v>0</v>
      </c>
      <c r="S415" s="10">
        <f>ROUND((Source!CA306/100)*ROUND((Source!AF306*Source!AV306)*Source!I306, 2), 2)</f>
        <v>0</v>
      </c>
      <c r="T415" s="10">
        <f>Source!Y306</f>
        <v>0</v>
      </c>
      <c r="U415" s="10">
        <f>ROUND((175/100)*ROUND((Source!AE306*Source!AV306)*Source!I306, 2), 2)</f>
        <v>5.08</v>
      </c>
      <c r="V415" s="10">
        <f>ROUND((108/100)*ROUND(Source!CS306*Source!I306, 2), 2)</f>
        <v>3.13</v>
      </c>
    </row>
    <row r="416" spans="1:22">
      <c r="C416" s="49" t="str">
        <f>"Объем: "&amp;Source!I306&amp;"=2,6/"&amp;"100"</f>
        <v>Объем: 0,026=2,6/100</v>
      </c>
    </row>
    <row r="417" spans="1:22">
      <c r="A417" s="20"/>
      <c r="B417" s="21"/>
      <c r="C417" s="21" t="s">
        <v>578</v>
      </c>
      <c r="D417" s="22"/>
      <c r="E417" s="15"/>
      <c r="F417" s="24">
        <f>Source!AM306</f>
        <v>296.60000000000002</v>
      </c>
      <c r="G417" s="23" t="str">
        <f>Source!DE306</f>
        <v/>
      </c>
      <c r="H417" s="15">
        <f>Source!AV306</f>
        <v>1</v>
      </c>
      <c r="I417" s="15">
        <f>IF(Source!BB306&lt;&gt; 0, Source!BB306, 1)</f>
        <v>1</v>
      </c>
      <c r="J417" s="29">
        <f>Source!Q306</f>
        <v>7.71</v>
      </c>
      <c r="K417" s="29"/>
    </row>
    <row r="418" spans="1:22">
      <c r="A418" s="20"/>
      <c r="B418" s="21"/>
      <c r="C418" s="21" t="s">
        <v>579</v>
      </c>
      <c r="D418" s="22"/>
      <c r="E418" s="15"/>
      <c r="F418" s="24">
        <f>Source!AN306</f>
        <v>111.43</v>
      </c>
      <c r="G418" s="23" t="str">
        <f>Source!DF306</f>
        <v/>
      </c>
      <c r="H418" s="15">
        <f>Source!AV306</f>
        <v>1</v>
      </c>
      <c r="I418" s="15">
        <f>IF(Source!BS306&lt;&gt; 0, Source!BS306, 1)</f>
        <v>1</v>
      </c>
      <c r="J418" s="27">
        <f>Source!R306</f>
        <v>2.9</v>
      </c>
      <c r="K418" s="29"/>
    </row>
    <row r="419" spans="1:22">
      <c r="A419" s="20"/>
      <c r="B419" s="21"/>
      <c r="C419" s="21" t="s">
        <v>583</v>
      </c>
      <c r="D419" s="22" t="s">
        <v>581</v>
      </c>
      <c r="E419" s="15">
        <f>108</f>
        <v>108</v>
      </c>
      <c r="F419" s="24"/>
      <c r="G419" s="23"/>
      <c r="H419" s="15"/>
      <c r="I419" s="15"/>
      <c r="J419" s="29">
        <f>SUM(V415:V418)</f>
        <v>3.13</v>
      </c>
      <c r="K419" s="29"/>
    </row>
    <row r="420" spans="1:22" ht="15">
      <c r="A420" s="50"/>
      <c r="B420" s="50"/>
      <c r="C420" s="50"/>
      <c r="D420" s="53"/>
      <c r="E420" s="50"/>
      <c r="F420" s="50"/>
      <c r="G420" s="50"/>
      <c r="H420" s="50"/>
      <c r="I420" s="91">
        <f>J417+J419</f>
        <v>10.84</v>
      </c>
      <c r="J420" s="91"/>
      <c r="K420" s="31">
        <f>IF(Source!I306&lt;&gt;0, ROUND(I420/Source!I306, 2), 0)</f>
        <v>416.92</v>
      </c>
      <c r="P420" s="51">
        <f>I420</f>
        <v>10.84</v>
      </c>
    </row>
    <row r="421" spans="1:22" ht="71.25">
      <c r="A421" s="20" t="str">
        <f>Source!E307</f>
        <v>39</v>
      </c>
      <c r="B421" s="21" t="str">
        <f>Source!F307</f>
        <v>5.4-3503-1-2/1</v>
      </c>
      <c r="C421" s="21" t="str">
        <f>Source!G307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0,7м3/0,2м х 0,25)</v>
      </c>
      <c r="D421" s="22" t="str">
        <f>Source!H307</f>
        <v>100 м2</v>
      </c>
      <c r="E421" s="15">
        <f>Source!I307</f>
        <v>8.9999999999999993E-3</v>
      </c>
      <c r="F421" s="24"/>
      <c r="G421" s="23"/>
      <c r="H421" s="15"/>
      <c r="I421" s="15"/>
      <c r="J421" s="29"/>
      <c r="K421" s="29"/>
      <c r="Q421" s="10">
        <f>ROUND((Source!BZ307/100)*ROUND((Source!AF307*Source!AV307)*Source!I307, 2), 2)</f>
        <v>13.36</v>
      </c>
      <c r="R421" s="10">
        <f>Source!X307</f>
        <v>13.36</v>
      </c>
      <c r="S421" s="10">
        <f>ROUND((Source!CA307/100)*ROUND((Source!AF307*Source!AV307)*Source!I307, 2), 2)</f>
        <v>1.91</v>
      </c>
      <c r="T421" s="10">
        <f>Source!Y307</f>
        <v>1.91</v>
      </c>
      <c r="U421" s="10">
        <f>ROUND((175/100)*ROUND((Source!AE307*Source!AV307)*Source!I307, 2), 2)</f>
        <v>0</v>
      </c>
      <c r="V421" s="10">
        <f>ROUND((108/100)*ROUND(Source!CS307*Source!I307, 2), 2)</f>
        <v>0</v>
      </c>
    </row>
    <row r="422" spans="1:22">
      <c r="C422" s="49" t="str">
        <f>"Объем: "&amp;Source!I307&amp;"=0,9/"&amp;"100"</f>
        <v>Объем: 0,009=0,9/100</v>
      </c>
    </row>
    <row r="423" spans="1:22">
      <c r="A423" s="20"/>
      <c r="B423" s="21"/>
      <c r="C423" s="21" t="s">
        <v>577</v>
      </c>
      <c r="D423" s="22"/>
      <c r="E423" s="15"/>
      <c r="F423" s="24">
        <f>Source!AO307</f>
        <v>2120.08</v>
      </c>
      <c r="G423" s="23" t="str">
        <f>Source!DG307</f>
        <v/>
      </c>
      <c r="H423" s="15">
        <f>Source!AV307</f>
        <v>1</v>
      </c>
      <c r="I423" s="15">
        <f>IF(Source!BA307&lt;&gt; 0, Source!BA307, 1)</f>
        <v>1</v>
      </c>
      <c r="J423" s="29">
        <f>Source!S307</f>
        <v>19.079999999999998</v>
      </c>
      <c r="K423" s="29"/>
    </row>
    <row r="424" spans="1:22">
      <c r="A424" s="20"/>
      <c r="B424" s="21"/>
      <c r="C424" s="21" t="s">
        <v>580</v>
      </c>
      <c r="D424" s="22" t="s">
        <v>581</v>
      </c>
      <c r="E424" s="15">
        <f>Source!AT307</f>
        <v>70</v>
      </c>
      <c r="F424" s="24"/>
      <c r="G424" s="23"/>
      <c r="H424" s="15"/>
      <c r="I424" s="15"/>
      <c r="J424" s="29">
        <f>SUM(R421:R423)</f>
        <v>13.36</v>
      </c>
      <c r="K424" s="29"/>
    </row>
    <row r="425" spans="1:22">
      <c r="A425" s="20"/>
      <c r="B425" s="21"/>
      <c r="C425" s="21" t="s">
        <v>582</v>
      </c>
      <c r="D425" s="22" t="s">
        <v>581</v>
      </c>
      <c r="E425" s="15">
        <f>Source!AU307</f>
        <v>10</v>
      </c>
      <c r="F425" s="24"/>
      <c r="G425" s="23"/>
      <c r="H425" s="15"/>
      <c r="I425" s="15"/>
      <c r="J425" s="29">
        <f>SUM(T421:T424)</f>
        <v>1.91</v>
      </c>
      <c r="K425" s="29"/>
    </row>
    <row r="426" spans="1:22">
      <c r="A426" s="20"/>
      <c r="B426" s="21"/>
      <c r="C426" s="21" t="s">
        <v>584</v>
      </c>
      <c r="D426" s="22" t="s">
        <v>585</v>
      </c>
      <c r="E426" s="15">
        <f>Source!AQ307</f>
        <v>11.73</v>
      </c>
      <c r="F426" s="24"/>
      <c r="G426" s="23" t="str">
        <f>Source!DI307</f>
        <v/>
      </c>
      <c r="H426" s="15">
        <f>Source!AV307</f>
        <v>1</v>
      </c>
      <c r="I426" s="15"/>
      <c r="J426" s="29"/>
      <c r="K426" s="29">
        <f>Source!U307</f>
        <v>0.10557</v>
      </c>
    </row>
    <row r="427" spans="1:22" ht="15">
      <c r="A427" s="50"/>
      <c r="B427" s="50"/>
      <c r="C427" s="50"/>
      <c r="D427" s="53"/>
      <c r="E427" s="50"/>
      <c r="F427" s="50"/>
      <c r="G427" s="50"/>
      <c r="H427" s="50"/>
      <c r="I427" s="91">
        <f>J423+J424+J425</f>
        <v>34.349999999999994</v>
      </c>
      <c r="J427" s="91"/>
      <c r="K427" s="31">
        <f>IF(Source!I307&lt;&gt;0, ROUND(I427/Source!I307, 2), 0)</f>
        <v>3816.67</v>
      </c>
      <c r="P427" s="51">
        <f>I427</f>
        <v>34.349999999999994</v>
      </c>
    </row>
    <row r="428" spans="1:22" ht="28.5">
      <c r="A428" s="20" t="str">
        <f>Source!E308</f>
        <v>40</v>
      </c>
      <c r="B428" s="21" t="str">
        <f>Source!F308</f>
        <v>2.1-3303-1-1/1</v>
      </c>
      <c r="C428" s="21" t="str">
        <f>Source!G308</f>
        <v>Устройство подстилающих и выравнивающих слоев оснований из песка</v>
      </c>
      <c r="D428" s="22" t="str">
        <f>Source!H308</f>
        <v>100 м3</v>
      </c>
      <c r="E428" s="15">
        <f>Source!I308</f>
        <v>2.5999999999999999E-3</v>
      </c>
      <c r="F428" s="24"/>
      <c r="G428" s="23"/>
      <c r="H428" s="15"/>
      <c r="I428" s="15"/>
      <c r="J428" s="29"/>
      <c r="K428" s="29"/>
      <c r="Q428" s="10">
        <f>ROUND((Source!BZ308/100)*ROUND((Source!AF308*Source!AV308)*Source!I308, 2), 2)</f>
        <v>5.64</v>
      </c>
      <c r="R428" s="10">
        <f>Source!X308</f>
        <v>5.64</v>
      </c>
      <c r="S428" s="10">
        <f>ROUND((Source!CA308/100)*ROUND((Source!AF308*Source!AV308)*Source!I308, 2), 2)</f>
        <v>0.81</v>
      </c>
      <c r="T428" s="10">
        <f>Source!Y308</f>
        <v>0.81</v>
      </c>
      <c r="U428" s="10">
        <f>ROUND((175/100)*ROUND((Source!AE308*Source!AV308)*Source!I308, 2), 2)</f>
        <v>14.67</v>
      </c>
      <c r="V428" s="10">
        <f>ROUND((108/100)*ROUND(Source!CS308*Source!I308, 2), 2)</f>
        <v>9.0500000000000007</v>
      </c>
    </row>
    <row r="429" spans="1:22">
      <c r="C429" s="49" t="str">
        <f>"Объем: "&amp;Source!I308&amp;"=(2,6*"&amp;"0,1)/"&amp;"100"</f>
        <v>Объем: 0,0026=(2,6*0,1)/100</v>
      </c>
    </row>
    <row r="430" spans="1:22">
      <c r="A430" s="20"/>
      <c r="B430" s="21"/>
      <c r="C430" s="21" t="s">
        <v>577</v>
      </c>
      <c r="D430" s="22"/>
      <c r="E430" s="15"/>
      <c r="F430" s="24">
        <f>Source!AO308</f>
        <v>3099.54</v>
      </c>
      <c r="G430" s="23" t="str">
        <f>Source!DG308</f>
        <v/>
      </c>
      <c r="H430" s="15">
        <f>Source!AV308</f>
        <v>1</v>
      </c>
      <c r="I430" s="15">
        <f>IF(Source!BA308&lt;&gt; 0, Source!BA308, 1)</f>
        <v>1</v>
      </c>
      <c r="J430" s="29">
        <f>Source!S308</f>
        <v>8.06</v>
      </c>
      <c r="K430" s="29"/>
    </row>
    <row r="431" spans="1:22">
      <c r="A431" s="20"/>
      <c r="B431" s="21"/>
      <c r="C431" s="21" t="s">
        <v>578</v>
      </c>
      <c r="D431" s="22"/>
      <c r="E431" s="15"/>
      <c r="F431" s="24">
        <f>Source!AM308</f>
        <v>7602.23</v>
      </c>
      <c r="G431" s="23" t="str">
        <f>Source!DE308</f>
        <v/>
      </c>
      <c r="H431" s="15">
        <f>Source!AV308</f>
        <v>1</v>
      </c>
      <c r="I431" s="15">
        <f>IF(Source!BB308&lt;&gt; 0, Source!BB308, 1)</f>
        <v>1</v>
      </c>
      <c r="J431" s="29">
        <f>Source!Q308</f>
        <v>19.77</v>
      </c>
      <c r="K431" s="29"/>
    </row>
    <row r="432" spans="1:22">
      <c r="A432" s="20"/>
      <c r="B432" s="21"/>
      <c r="C432" s="21" t="s">
        <v>579</v>
      </c>
      <c r="D432" s="22"/>
      <c r="E432" s="15"/>
      <c r="F432" s="24">
        <f>Source!AN308</f>
        <v>3222.98</v>
      </c>
      <c r="G432" s="23" t="str">
        <f>Source!DF308</f>
        <v/>
      </c>
      <c r="H432" s="15">
        <f>Source!AV308</f>
        <v>1</v>
      </c>
      <c r="I432" s="15">
        <f>IF(Source!BS308&lt;&gt; 0, Source!BS308, 1)</f>
        <v>1</v>
      </c>
      <c r="J432" s="27">
        <f>Source!R308</f>
        <v>8.3800000000000008</v>
      </c>
      <c r="K432" s="29"/>
    </row>
    <row r="433" spans="1:22">
      <c r="A433" s="20"/>
      <c r="B433" s="21"/>
      <c r="C433" s="21" t="s">
        <v>586</v>
      </c>
      <c r="D433" s="22"/>
      <c r="E433" s="15"/>
      <c r="F433" s="24">
        <f>Source!AL308</f>
        <v>65162.05</v>
      </c>
      <c r="G433" s="23" t="str">
        <f>Source!DD308</f>
        <v/>
      </c>
      <c r="H433" s="15">
        <f>Source!AW308</f>
        <v>1</v>
      </c>
      <c r="I433" s="15">
        <f>IF(Source!BC308&lt;&gt; 0, Source!BC308, 1)</f>
        <v>1</v>
      </c>
      <c r="J433" s="29">
        <f>Source!P308</f>
        <v>169.42</v>
      </c>
      <c r="K433" s="29"/>
    </row>
    <row r="434" spans="1:22">
      <c r="A434" s="20"/>
      <c r="B434" s="21"/>
      <c r="C434" s="21" t="s">
        <v>580</v>
      </c>
      <c r="D434" s="22" t="s">
        <v>581</v>
      </c>
      <c r="E434" s="15">
        <f>Source!AT308</f>
        <v>70</v>
      </c>
      <c r="F434" s="24"/>
      <c r="G434" s="23"/>
      <c r="H434" s="15"/>
      <c r="I434" s="15"/>
      <c r="J434" s="29">
        <f>SUM(R428:R433)</f>
        <v>5.64</v>
      </c>
      <c r="K434" s="29"/>
    </row>
    <row r="435" spans="1:22">
      <c r="A435" s="20"/>
      <c r="B435" s="21"/>
      <c r="C435" s="21" t="s">
        <v>582</v>
      </c>
      <c r="D435" s="22" t="s">
        <v>581</v>
      </c>
      <c r="E435" s="15">
        <f>Source!AU308</f>
        <v>10</v>
      </c>
      <c r="F435" s="24"/>
      <c r="G435" s="23"/>
      <c r="H435" s="15"/>
      <c r="I435" s="15"/>
      <c r="J435" s="29">
        <f>SUM(T428:T434)</f>
        <v>0.81</v>
      </c>
      <c r="K435" s="29"/>
    </row>
    <row r="436" spans="1:22">
      <c r="A436" s="20"/>
      <c r="B436" s="21"/>
      <c r="C436" s="21" t="s">
        <v>583</v>
      </c>
      <c r="D436" s="22" t="s">
        <v>581</v>
      </c>
      <c r="E436" s="15">
        <f>108</f>
        <v>108</v>
      </c>
      <c r="F436" s="24"/>
      <c r="G436" s="23"/>
      <c r="H436" s="15"/>
      <c r="I436" s="15"/>
      <c r="J436" s="29">
        <f>SUM(V428:V435)</f>
        <v>9.0500000000000007</v>
      </c>
      <c r="K436" s="29"/>
    </row>
    <row r="437" spans="1:22">
      <c r="A437" s="20"/>
      <c r="B437" s="21"/>
      <c r="C437" s="21" t="s">
        <v>584</v>
      </c>
      <c r="D437" s="22" t="s">
        <v>585</v>
      </c>
      <c r="E437" s="15">
        <f>Source!AQ308</f>
        <v>16.559999999999999</v>
      </c>
      <c r="F437" s="24"/>
      <c r="G437" s="23" t="str">
        <f>Source!DI308</f>
        <v/>
      </c>
      <c r="H437" s="15">
        <f>Source!AV308</f>
        <v>1</v>
      </c>
      <c r="I437" s="15"/>
      <c r="J437" s="29"/>
      <c r="K437" s="29">
        <f>Source!U308</f>
        <v>4.3055999999999997E-2</v>
      </c>
    </row>
    <row r="438" spans="1:22" ht="15">
      <c r="A438" s="50"/>
      <c r="B438" s="50"/>
      <c r="C438" s="50"/>
      <c r="D438" s="53"/>
      <c r="E438" s="50"/>
      <c r="F438" s="50"/>
      <c r="G438" s="50"/>
      <c r="H438" s="50"/>
      <c r="I438" s="91">
        <f>J430+J431+J433+J434+J435+J436</f>
        <v>212.75</v>
      </c>
      <c r="J438" s="91"/>
      <c r="K438" s="31">
        <f>IF(Source!I308&lt;&gt;0, ROUND(I438/Source!I308, 2), 0)</f>
        <v>81826.92</v>
      </c>
      <c r="P438" s="51">
        <f>I438</f>
        <v>212.75</v>
      </c>
    </row>
    <row r="439" spans="1:22" ht="28.5">
      <c r="A439" s="20" t="str">
        <f>Source!E309</f>
        <v>41</v>
      </c>
      <c r="B439" s="21" t="str">
        <f>Source!F309</f>
        <v>2.1-3303-1-2/1</v>
      </c>
      <c r="C439" s="21" t="str">
        <f>Source!G309</f>
        <v>Устройство подстилающих и выравнивающих слоев оснований из щебня</v>
      </c>
      <c r="D439" s="22" t="str">
        <f>Source!H309</f>
        <v>100 м3</v>
      </c>
      <c r="E439" s="15">
        <f>Source!I309</f>
        <v>3.8999999999999998E-3</v>
      </c>
      <c r="F439" s="24"/>
      <c r="G439" s="23"/>
      <c r="H439" s="15"/>
      <c r="I439" s="15"/>
      <c r="J439" s="29"/>
      <c r="K439" s="29"/>
      <c r="Q439" s="10">
        <f>ROUND((Source!BZ309/100)*ROUND((Source!AF309*Source!AV309)*Source!I309, 2), 2)</f>
        <v>12.69</v>
      </c>
      <c r="R439" s="10">
        <f>Source!X309</f>
        <v>12.69</v>
      </c>
      <c r="S439" s="10">
        <f>ROUND((Source!CA309/100)*ROUND((Source!AF309*Source!AV309)*Source!I309, 2), 2)</f>
        <v>1.81</v>
      </c>
      <c r="T439" s="10">
        <f>Source!Y309</f>
        <v>1.81</v>
      </c>
      <c r="U439" s="10">
        <f>ROUND((175/100)*ROUND((Source!AE309*Source!AV309)*Source!I309, 2), 2)</f>
        <v>144.80000000000001</v>
      </c>
      <c r="V439" s="10">
        <f>ROUND((108/100)*ROUND(Source!CS309*Source!I309, 2), 2)</f>
        <v>89.36</v>
      </c>
    </row>
    <row r="440" spans="1:22">
      <c r="C440" s="49" t="str">
        <f>"Объем: "&amp;Source!I309&amp;"=(2,6*"&amp;"0,15)/"&amp;"100"</f>
        <v>Объем: 0,0039=(2,6*0,15)/100</v>
      </c>
    </row>
    <row r="441" spans="1:22">
      <c r="A441" s="20"/>
      <c r="B441" s="21"/>
      <c r="C441" s="21" t="s">
        <v>577</v>
      </c>
      <c r="D441" s="22"/>
      <c r="E441" s="15"/>
      <c r="F441" s="24">
        <f>Source!AO309</f>
        <v>4649.3</v>
      </c>
      <c r="G441" s="23" t="str">
        <f>Source!DG309</f>
        <v/>
      </c>
      <c r="H441" s="15">
        <f>Source!AV309</f>
        <v>1</v>
      </c>
      <c r="I441" s="15">
        <f>IF(Source!BA309&lt;&gt; 0, Source!BA309, 1)</f>
        <v>1</v>
      </c>
      <c r="J441" s="29">
        <f>Source!S309</f>
        <v>18.13</v>
      </c>
      <c r="K441" s="29"/>
    </row>
    <row r="442" spans="1:22">
      <c r="A442" s="20"/>
      <c r="B442" s="21"/>
      <c r="C442" s="21" t="s">
        <v>578</v>
      </c>
      <c r="D442" s="22"/>
      <c r="E442" s="15"/>
      <c r="F442" s="24">
        <f>Source!AM309</f>
        <v>53736.02</v>
      </c>
      <c r="G442" s="23" t="str">
        <f>Source!DE309</f>
        <v/>
      </c>
      <c r="H442" s="15">
        <f>Source!AV309</f>
        <v>1</v>
      </c>
      <c r="I442" s="15">
        <f>IF(Source!BB309&lt;&gt; 0, Source!BB309, 1)</f>
        <v>1</v>
      </c>
      <c r="J442" s="29">
        <f>Source!Q309</f>
        <v>209.57</v>
      </c>
      <c r="K442" s="29"/>
    </row>
    <row r="443" spans="1:22">
      <c r="A443" s="20"/>
      <c r="B443" s="21"/>
      <c r="C443" s="21" t="s">
        <v>579</v>
      </c>
      <c r="D443" s="22"/>
      <c r="E443" s="15"/>
      <c r="F443" s="24">
        <f>Source!AN309</f>
        <v>21215.13</v>
      </c>
      <c r="G443" s="23" t="str">
        <f>Source!DF309</f>
        <v/>
      </c>
      <c r="H443" s="15">
        <f>Source!AV309</f>
        <v>1</v>
      </c>
      <c r="I443" s="15">
        <f>IF(Source!BS309&lt;&gt; 0, Source!BS309, 1)</f>
        <v>1</v>
      </c>
      <c r="J443" s="27">
        <f>Source!R309</f>
        <v>82.74</v>
      </c>
      <c r="K443" s="29"/>
    </row>
    <row r="444" spans="1:22">
      <c r="A444" s="20"/>
      <c r="B444" s="21"/>
      <c r="C444" s="21" t="s">
        <v>586</v>
      </c>
      <c r="D444" s="22"/>
      <c r="E444" s="15"/>
      <c r="F444" s="24">
        <f>Source!AL309</f>
        <v>222479.25</v>
      </c>
      <c r="G444" s="23" t="str">
        <f>Source!DD309</f>
        <v/>
      </c>
      <c r="H444" s="15">
        <f>Source!AW309</f>
        <v>1</v>
      </c>
      <c r="I444" s="15">
        <f>IF(Source!BC309&lt;&gt; 0, Source!BC309, 1)</f>
        <v>1</v>
      </c>
      <c r="J444" s="29">
        <f>Source!P309</f>
        <v>867.67</v>
      </c>
      <c r="K444" s="29"/>
    </row>
    <row r="445" spans="1:22">
      <c r="A445" s="20"/>
      <c r="B445" s="21"/>
      <c r="C445" s="21" t="s">
        <v>580</v>
      </c>
      <c r="D445" s="22" t="s">
        <v>581</v>
      </c>
      <c r="E445" s="15">
        <f>Source!AT309</f>
        <v>70</v>
      </c>
      <c r="F445" s="24"/>
      <c r="G445" s="23"/>
      <c r="H445" s="15"/>
      <c r="I445" s="15"/>
      <c r="J445" s="29">
        <f>SUM(R439:R444)</f>
        <v>12.69</v>
      </c>
      <c r="K445" s="29"/>
    </row>
    <row r="446" spans="1:22">
      <c r="A446" s="20"/>
      <c r="B446" s="21"/>
      <c r="C446" s="21" t="s">
        <v>582</v>
      </c>
      <c r="D446" s="22" t="s">
        <v>581</v>
      </c>
      <c r="E446" s="15">
        <f>Source!AU309</f>
        <v>10</v>
      </c>
      <c r="F446" s="24"/>
      <c r="G446" s="23"/>
      <c r="H446" s="15"/>
      <c r="I446" s="15"/>
      <c r="J446" s="29">
        <f>SUM(T439:T445)</f>
        <v>1.81</v>
      </c>
      <c r="K446" s="29"/>
    </row>
    <row r="447" spans="1:22">
      <c r="A447" s="20"/>
      <c r="B447" s="21"/>
      <c r="C447" s="21" t="s">
        <v>583</v>
      </c>
      <c r="D447" s="22" t="s">
        <v>581</v>
      </c>
      <c r="E447" s="15">
        <f>108</f>
        <v>108</v>
      </c>
      <c r="F447" s="24"/>
      <c r="G447" s="23"/>
      <c r="H447" s="15"/>
      <c r="I447" s="15"/>
      <c r="J447" s="29">
        <f>SUM(V439:V446)</f>
        <v>89.36</v>
      </c>
      <c r="K447" s="29"/>
    </row>
    <row r="448" spans="1:22">
      <c r="A448" s="20"/>
      <c r="B448" s="21"/>
      <c r="C448" s="21" t="s">
        <v>584</v>
      </c>
      <c r="D448" s="22" t="s">
        <v>585</v>
      </c>
      <c r="E448" s="15">
        <f>Source!AQ309</f>
        <v>24.84</v>
      </c>
      <c r="F448" s="24"/>
      <c r="G448" s="23" t="str">
        <f>Source!DI309</f>
        <v/>
      </c>
      <c r="H448" s="15">
        <f>Source!AV309</f>
        <v>1</v>
      </c>
      <c r="I448" s="15"/>
      <c r="J448" s="29"/>
      <c r="K448" s="29">
        <f>Source!U309</f>
        <v>9.687599999999999E-2</v>
      </c>
    </row>
    <row r="449" spans="1:22" ht="15">
      <c r="A449" s="50"/>
      <c r="B449" s="50"/>
      <c r="C449" s="50"/>
      <c r="D449" s="53"/>
      <c r="E449" s="50"/>
      <c r="F449" s="50"/>
      <c r="G449" s="50"/>
      <c r="H449" s="50"/>
      <c r="I449" s="91">
        <f>J441+J442+J444+J445+J446+J447</f>
        <v>1199.2299999999998</v>
      </c>
      <c r="J449" s="91"/>
      <c r="K449" s="31">
        <f>IF(Source!I309&lt;&gt;0, ROUND(I449/Source!I309, 2), 0)</f>
        <v>307494.87</v>
      </c>
      <c r="P449" s="51">
        <f>I449</f>
        <v>1199.2299999999998</v>
      </c>
    </row>
    <row r="450" spans="1:22" ht="28.5">
      <c r="A450" s="20" t="str">
        <f>Source!E310</f>
        <v>42</v>
      </c>
      <c r="B450" s="21" t="str">
        <f>Source!F310</f>
        <v>1.2-3103-2-14/1</v>
      </c>
      <c r="C450" s="21" t="str">
        <f>Source!G310</f>
        <v>Устройство фундаментных плит бетонных плоских</v>
      </c>
      <c r="D450" s="22" t="str">
        <f>Source!H310</f>
        <v>100 м3</v>
      </c>
      <c r="E450" s="15">
        <f>Source!I310</f>
        <v>3.8999999999999998E-3</v>
      </c>
      <c r="F450" s="24"/>
      <c r="G450" s="23"/>
      <c r="H450" s="15"/>
      <c r="I450" s="15"/>
      <c r="J450" s="29"/>
      <c r="K450" s="29"/>
      <c r="Q450" s="10">
        <f>ROUND((Source!BZ310/100)*ROUND((Source!AF310*Source!AV310)*Source!I310, 2), 2)</f>
        <v>61.57</v>
      </c>
      <c r="R450" s="10">
        <f>Source!X310</f>
        <v>61.57</v>
      </c>
      <c r="S450" s="10">
        <f>ROUND((Source!CA310/100)*ROUND((Source!AF310*Source!AV310)*Source!I310, 2), 2)</f>
        <v>8.8000000000000007</v>
      </c>
      <c r="T450" s="10">
        <f>Source!Y310</f>
        <v>8.8000000000000007</v>
      </c>
      <c r="U450" s="10">
        <f>ROUND((175/100)*ROUND((Source!AE310*Source!AV310)*Source!I310, 2), 2)</f>
        <v>0.91</v>
      </c>
      <c r="V450" s="10">
        <f>ROUND((108/100)*ROUND(Source!CS310*Source!I310, 2), 2)</f>
        <v>0.56000000000000005</v>
      </c>
    </row>
    <row r="451" spans="1:22">
      <c r="C451" s="49" t="str">
        <f>"Объем: "&amp;Source!I310&amp;"=0,39/"&amp;"100"</f>
        <v>Объем: 0,0039=0,39/100</v>
      </c>
    </row>
    <row r="452" spans="1:22">
      <c r="A452" s="20"/>
      <c r="B452" s="21"/>
      <c r="C452" s="21" t="s">
        <v>577</v>
      </c>
      <c r="D452" s="22"/>
      <c r="E452" s="15"/>
      <c r="F452" s="24">
        <f>Source!AO310</f>
        <v>22550.95</v>
      </c>
      <c r="G452" s="23" t="str">
        <f>Source!DG310</f>
        <v/>
      </c>
      <c r="H452" s="15">
        <f>Source!AV310</f>
        <v>1</v>
      </c>
      <c r="I452" s="15">
        <f>IF(Source!BA310&lt;&gt; 0, Source!BA310, 1)</f>
        <v>1</v>
      </c>
      <c r="J452" s="29">
        <f>Source!S310</f>
        <v>87.95</v>
      </c>
      <c r="K452" s="29"/>
    </row>
    <row r="453" spans="1:22">
      <c r="A453" s="20"/>
      <c r="B453" s="21"/>
      <c r="C453" s="21" t="s">
        <v>578</v>
      </c>
      <c r="D453" s="22"/>
      <c r="E453" s="15"/>
      <c r="F453" s="24">
        <f>Source!AM310</f>
        <v>278.67</v>
      </c>
      <c r="G453" s="23" t="str">
        <f>Source!DE310</f>
        <v/>
      </c>
      <c r="H453" s="15">
        <f>Source!AV310</f>
        <v>1</v>
      </c>
      <c r="I453" s="15">
        <f>IF(Source!BB310&lt;&gt; 0, Source!BB310, 1)</f>
        <v>1</v>
      </c>
      <c r="J453" s="29">
        <f>Source!Q310</f>
        <v>1.0900000000000001</v>
      </c>
      <c r="K453" s="29"/>
    </row>
    <row r="454" spans="1:22">
      <c r="A454" s="20"/>
      <c r="B454" s="21"/>
      <c r="C454" s="21" t="s">
        <v>579</v>
      </c>
      <c r="D454" s="22"/>
      <c r="E454" s="15"/>
      <c r="F454" s="24">
        <f>Source!AN310</f>
        <v>133.27000000000001</v>
      </c>
      <c r="G454" s="23" t="str">
        <f>Source!DF310</f>
        <v/>
      </c>
      <c r="H454" s="15">
        <f>Source!AV310</f>
        <v>1</v>
      </c>
      <c r="I454" s="15">
        <f>IF(Source!BS310&lt;&gt; 0, Source!BS310, 1)</f>
        <v>1</v>
      </c>
      <c r="J454" s="27">
        <f>Source!R310</f>
        <v>0.52</v>
      </c>
      <c r="K454" s="29"/>
    </row>
    <row r="455" spans="1:22">
      <c r="A455" s="20"/>
      <c r="B455" s="21"/>
      <c r="C455" s="21" t="s">
        <v>586</v>
      </c>
      <c r="D455" s="22"/>
      <c r="E455" s="15"/>
      <c r="F455" s="24">
        <f>Source!AL310</f>
        <v>336136.59</v>
      </c>
      <c r="G455" s="23" t="str">
        <f>Source!DD310</f>
        <v/>
      </c>
      <c r="H455" s="15">
        <f>Source!AW310</f>
        <v>1</v>
      </c>
      <c r="I455" s="15">
        <f>IF(Source!BC310&lt;&gt; 0, Source!BC310, 1)</f>
        <v>1</v>
      </c>
      <c r="J455" s="29">
        <f>Source!P310</f>
        <v>1310.93</v>
      </c>
      <c r="K455" s="29"/>
    </row>
    <row r="456" spans="1:22">
      <c r="A456" s="20"/>
      <c r="B456" s="21"/>
      <c r="C456" s="21" t="s">
        <v>580</v>
      </c>
      <c r="D456" s="22" t="s">
        <v>581</v>
      </c>
      <c r="E456" s="15">
        <f>Source!AT310</f>
        <v>70</v>
      </c>
      <c r="F456" s="24"/>
      <c r="G456" s="23"/>
      <c r="H456" s="15"/>
      <c r="I456" s="15"/>
      <c r="J456" s="29">
        <f>SUM(R450:R455)</f>
        <v>61.57</v>
      </c>
      <c r="K456" s="29"/>
    </row>
    <row r="457" spans="1:22">
      <c r="A457" s="20"/>
      <c r="B457" s="21"/>
      <c r="C457" s="21" t="s">
        <v>582</v>
      </c>
      <c r="D457" s="22" t="s">
        <v>581</v>
      </c>
      <c r="E457" s="15">
        <f>Source!AU310</f>
        <v>10</v>
      </c>
      <c r="F457" s="24"/>
      <c r="G457" s="23"/>
      <c r="H457" s="15"/>
      <c r="I457" s="15"/>
      <c r="J457" s="29">
        <f>SUM(T450:T456)</f>
        <v>8.8000000000000007</v>
      </c>
      <c r="K457" s="29"/>
    </row>
    <row r="458" spans="1:22">
      <c r="A458" s="20"/>
      <c r="B458" s="21"/>
      <c r="C458" s="21" t="s">
        <v>583</v>
      </c>
      <c r="D458" s="22" t="s">
        <v>581</v>
      </c>
      <c r="E458" s="15">
        <f>108</f>
        <v>108</v>
      </c>
      <c r="F458" s="24"/>
      <c r="G458" s="23"/>
      <c r="H458" s="15"/>
      <c r="I458" s="15"/>
      <c r="J458" s="29">
        <f>SUM(V450:V457)</f>
        <v>0.56000000000000005</v>
      </c>
      <c r="K458" s="29"/>
    </row>
    <row r="459" spans="1:22">
      <c r="A459" s="20"/>
      <c r="B459" s="21"/>
      <c r="C459" s="21" t="s">
        <v>584</v>
      </c>
      <c r="D459" s="22" t="s">
        <v>585</v>
      </c>
      <c r="E459" s="15">
        <f>Source!AQ310</f>
        <v>111.55</v>
      </c>
      <c r="F459" s="24"/>
      <c r="G459" s="23" t="str">
        <f>Source!DI310</f>
        <v/>
      </c>
      <c r="H459" s="15">
        <f>Source!AV310</f>
        <v>1</v>
      </c>
      <c r="I459" s="15"/>
      <c r="J459" s="29"/>
      <c r="K459" s="29">
        <f>Source!U310</f>
        <v>0.43504499999999996</v>
      </c>
    </row>
    <row r="460" spans="1:22" ht="15">
      <c r="A460" s="50"/>
      <c r="B460" s="50"/>
      <c r="C460" s="50"/>
      <c r="D460" s="53"/>
      <c r="E460" s="50"/>
      <c r="F460" s="50"/>
      <c r="G460" s="50"/>
      <c r="H460" s="50"/>
      <c r="I460" s="91">
        <f>J452+J453+J455+J456+J457+J458</f>
        <v>1470.8999999999999</v>
      </c>
      <c r="J460" s="91"/>
      <c r="K460" s="31">
        <f>IF(Source!I310&lt;&gt;0, ROUND(I460/Source!I310, 2), 0)</f>
        <v>377153.85</v>
      </c>
      <c r="P460" s="51">
        <f>I460</f>
        <v>1470.8999999999999</v>
      </c>
    </row>
    <row r="461" spans="1:22" ht="42.75">
      <c r="A461" s="20" t="str">
        <f>Source!E311</f>
        <v>43</v>
      </c>
      <c r="B461" s="21" t="str">
        <f>Source!F311</f>
        <v>1.2-3103-30-7/1</v>
      </c>
      <c r="C461" s="21" t="str">
        <f>Source!G311</f>
        <v>Гидроизоляция стен, фундаментов боковая обмазочная битумная в 2 слоя по выровненной поверхности бутовой кладки, кирпичу, бетону</v>
      </c>
      <c r="D461" s="22" t="str">
        <f>Source!H311</f>
        <v>100 м2</v>
      </c>
      <c r="E461" s="15">
        <f>Source!I311</f>
        <v>4.4000000000000003E-3</v>
      </c>
      <c r="F461" s="24"/>
      <c r="G461" s="23"/>
      <c r="H461" s="15"/>
      <c r="I461" s="15"/>
      <c r="J461" s="29"/>
      <c r="K461" s="29"/>
      <c r="Q461" s="10">
        <f>ROUND((Source!BZ311/100)*ROUND((Source!AF311*Source!AV311)*Source!I311, 2), 2)</f>
        <v>33.409999999999997</v>
      </c>
      <c r="R461" s="10">
        <f>Source!X311</f>
        <v>33.409999999999997</v>
      </c>
      <c r="S461" s="10">
        <f>ROUND((Source!CA311/100)*ROUND((Source!AF311*Source!AV311)*Source!I311, 2), 2)</f>
        <v>4.7699999999999996</v>
      </c>
      <c r="T461" s="10">
        <f>Source!Y311</f>
        <v>4.7699999999999996</v>
      </c>
      <c r="U461" s="10">
        <f>ROUND((175/100)*ROUND((Source!AE311*Source!AV311)*Source!I311, 2), 2)</f>
        <v>0</v>
      </c>
      <c r="V461" s="10">
        <f>ROUND((108/100)*ROUND(Source!CS311*Source!I311, 2), 2)</f>
        <v>0</v>
      </c>
    </row>
    <row r="462" spans="1:22">
      <c r="C462" s="49" t="str">
        <f>"Объем: "&amp;Source!I311&amp;"=0,44/"&amp;"100"</f>
        <v>Объем: 0,0044=0,44/100</v>
      </c>
    </row>
    <row r="463" spans="1:22">
      <c r="A463" s="20"/>
      <c r="B463" s="21"/>
      <c r="C463" s="21" t="s">
        <v>577</v>
      </c>
      <c r="D463" s="22"/>
      <c r="E463" s="15"/>
      <c r="F463" s="24">
        <f>Source!AO311</f>
        <v>10848.77</v>
      </c>
      <c r="G463" s="23" t="str">
        <f>Source!DG311</f>
        <v/>
      </c>
      <c r="H463" s="15">
        <f>Source!AV311</f>
        <v>1</v>
      </c>
      <c r="I463" s="15">
        <f>IF(Source!BA311&lt;&gt; 0, Source!BA311, 1)</f>
        <v>1</v>
      </c>
      <c r="J463" s="29">
        <f>Source!S311</f>
        <v>47.73</v>
      </c>
      <c r="K463" s="29"/>
    </row>
    <row r="464" spans="1:22">
      <c r="A464" s="20"/>
      <c r="B464" s="21"/>
      <c r="C464" s="21" t="s">
        <v>586</v>
      </c>
      <c r="D464" s="22"/>
      <c r="E464" s="15"/>
      <c r="F464" s="24">
        <f>Source!AL311</f>
        <v>36396.67</v>
      </c>
      <c r="G464" s="23" t="str">
        <f>Source!DD311</f>
        <v/>
      </c>
      <c r="H464" s="15">
        <f>Source!AW311</f>
        <v>1</v>
      </c>
      <c r="I464" s="15">
        <f>IF(Source!BC311&lt;&gt; 0, Source!BC311, 1)</f>
        <v>1</v>
      </c>
      <c r="J464" s="29">
        <f>Source!P311</f>
        <v>160.15</v>
      </c>
      <c r="K464" s="29"/>
    </row>
    <row r="465" spans="1:22">
      <c r="A465" s="20"/>
      <c r="B465" s="21"/>
      <c r="C465" s="21" t="s">
        <v>580</v>
      </c>
      <c r="D465" s="22" t="s">
        <v>581</v>
      </c>
      <c r="E465" s="15">
        <f>Source!AT311</f>
        <v>70</v>
      </c>
      <c r="F465" s="24"/>
      <c r="G465" s="23"/>
      <c r="H465" s="15"/>
      <c r="I465" s="15"/>
      <c r="J465" s="29">
        <f>SUM(R461:R464)</f>
        <v>33.409999999999997</v>
      </c>
      <c r="K465" s="29"/>
    </row>
    <row r="466" spans="1:22">
      <c r="A466" s="20"/>
      <c r="B466" s="21"/>
      <c r="C466" s="21" t="s">
        <v>582</v>
      </c>
      <c r="D466" s="22" t="s">
        <v>581</v>
      </c>
      <c r="E466" s="15">
        <f>Source!AU311</f>
        <v>10</v>
      </c>
      <c r="F466" s="24"/>
      <c r="G466" s="23"/>
      <c r="H466" s="15"/>
      <c r="I466" s="15"/>
      <c r="J466" s="29">
        <f>SUM(T461:T465)</f>
        <v>4.7699999999999996</v>
      </c>
      <c r="K466" s="29"/>
    </row>
    <row r="467" spans="1:22">
      <c r="A467" s="20"/>
      <c r="B467" s="21"/>
      <c r="C467" s="21" t="s">
        <v>584</v>
      </c>
      <c r="D467" s="22" t="s">
        <v>585</v>
      </c>
      <c r="E467" s="15">
        <f>Source!AQ311</f>
        <v>44.85</v>
      </c>
      <c r="F467" s="24"/>
      <c r="G467" s="23" t="str">
        <f>Source!DI311</f>
        <v/>
      </c>
      <c r="H467" s="15">
        <f>Source!AV311</f>
        <v>1</v>
      </c>
      <c r="I467" s="15"/>
      <c r="J467" s="29"/>
      <c r="K467" s="29">
        <f>Source!U311</f>
        <v>0.19734000000000002</v>
      </c>
    </row>
    <row r="468" spans="1:22" ht="15">
      <c r="A468" s="50"/>
      <c r="B468" s="50"/>
      <c r="C468" s="50"/>
      <c r="D468" s="53"/>
      <c r="E468" s="50"/>
      <c r="F468" s="50"/>
      <c r="G468" s="50"/>
      <c r="H468" s="50"/>
      <c r="I468" s="91">
        <f>J463+J464+J465+J466</f>
        <v>246.06</v>
      </c>
      <c r="J468" s="91"/>
      <c r="K468" s="31">
        <f>IF(Source!I311&lt;&gt;0, ROUND(I468/Source!I311, 2), 0)</f>
        <v>55922.73</v>
      </c>
      <c r="P468" s="51">
        <f>I468</f>
        <v>246.06</v>
      </c>
    </row>
    <row r="469" spans="1:22" ht="28.5">
      <c r="A469" s="20" t="str">
        <f>Source!E312</f>
        <v>44</v>
      </c>
      <c r="B469" s="21" t="str">
        <f>Source!F312</f>
        <v>1.14-3203-12-1/1</v>
      </c>
      <c r="C469" s="21" t="str">
        <f>Source!G312</f>
        <v>Окраска фасадов с лесов акриловой краской с подготовкой поверхности</v>
      </c>
      <c r="D469" s="22" t="str">
        <f>Source!H312</f>
        <v>100 м2</v>
      </c>
      <c r="E469" s="15">
        <f>Source!I312</f>
        <v>3.5000000000000003E-2</v>
      </c>
      <c r="F469" s="24"/>
      <c r="G469" s="23"/>
      <c r="H469" s="15"/>
      <c r="I469" s="15"/>
      <c r="J469" s="29"/>
      <c r="K469" s="29"/>
      <c r="Q469" s="10">
        <f>ROUND((Source!BZ312/100)*ROUND((Source!AF312*Source!AV312)*Source!I312, 2), 2)</f>
        <v>88.27</v>
      </c>
      <c r="R469" s="10">
        <f>Source!X312</f>
        <v>88.27</v>
      </c>
      <c r="S469" s="10">
        <f>ROUND((Source!CA312/100)*ROUND((Source!AF312*Source!AV312)*Source!I312, 2), 2)</f>
        <v>12.61</v>
      </c>
      <c r="T469" s="10">
        <f>Source!Y312</f>
        <v>12.61</v>
      </c>
      <c r="U469" s="10">
        <f>ROUND((175/100)*ROUND((Source!AE312*Source!AV312)*Source!I312, 2), 2)</f>
        <v>0</v>
      </c>
      <c r="V469" s="10">
        <f>ROUND((108/100)*ROUND(Source!CS312*Source!I312, 2), 2)</f>
        <v>0</v>
      </c>
    </row>
    <row r="470" spans="1:22">
      <c r="C470" s="49" t="str">
        <f>"Объем: "&amp;Source!I312&amp;"=3,5/"&amp;"100"</f>
        <v>Объем: 0,035=3,5/100</v>
      </c>
    </row>
    <row r="471" spans="1:22">
      <c r="A471" s="20"/>
      <c r="B471" s="21"/>
      <c r="C471" s="21" t="s">
        <v>577</v>
      </c>
      <c r="D471" s="22"/>
      <c r="E471" s="15"/>
      <c r="F471" s="24">
        <f>Source!AO312</f>
        <v>3602.81</v>
      </c>
      <c r="G471" s="23" t="str">
        <f>Source!DG312</f>
        <v/>
      </c>
      <c r="H471" s="15">
        <f>Source!AV312</f>
        <v>1</v>
      </c>
      <c r="I471" s="15">
        <f>IF(Source!BA312&lt;&gt; 0, Source!BA312, 1)</f>
        <v>1</v>
      </c>
      <c r="J471" s="29">
        <f>Source!S312</f>
        <v>126.1</v>
      </c>
      <c r="K471" s="29"/>
    </row>
    <row r="472" spans="1:22">
      <c r="A472" s="20"/>
      <c r="B472" s="21"/>
      <c r="C472" s="21" t="s">
        <v>586</v>
      </c>
      <c r="D472" s="22"/>
      <c r="E472" s="15"/>
      <c r="F472" s="24">
        <f>Source!AL312</f>
        <v>8319.0400000000009</v>
      </c>
      <c r="G472" s="23" t="str">
        <f>Source!DD312</f>
        <v/>
      </c>
      <c r="H472" s="15">
        <f>Source!AW312</f>
        <v>1</v>
      </c>
      <c r="I472" s="15">
        <f>IF(Source!BC312&lt;&gt; 0, Source!BC312, 1)</f>
        <v>1</v>
      </c>
      <c r="J472" s="29">
        <f>Source!P312</f>
        <v>291.17</v>
      </c>
      <c r="K472" s="29"/>
    </row>
    <row r="473" spans="1:22">
      <c r="A473" s="20"/>
      <c r="B473" s="21"/>
      <c r="C473" s="21" t="s">
        <v>580</v>
      </c>
      <c r="D473" s="22" t="s">
        <v>581</v>
      </c>
      <c r="E473" s="15">
        <f>Source!AT312</f>
        <v>70</v>
      </c>
      <c r="F473" s="24"/>
      <c r="G473" s="23"/>
      <c r="H473" s="15"/>
      <c r="I473" s="15"/>
      <c r="J473" s="29">
        <f>SUM(R469:R472)</f>
        <v>88.27</v>
      </c>
      <c r="K473" s="29"/>
    </row>
    <row r="474" spans="1:22">
      <c r="A474" s="20"/>
      <c r="B474" s="21"/>
      <c r="C474" s="21" t="s">
        <v>582</v>
      </c>
      <c r="D474" s="22" t="s">
        <v>581</v>
      </c>
      <c r="E474" s="15">
        <f>Source!AU312</f>
        <v>10</v>
      </c>
      <c r="F474" s="24"/>
      <c r="G474" s="23"/>
      <c r="H474" s="15"/>
      <c r="I474" s="15"/>
      <c r="J474" s="29">
        <f>SUM(T469:T473)</f>
        <v>12.61</v>
      </c>
      <c r="K474" s="29"/>
    </row>
    <row r="475" spans="1:22">
      <c r="A475" s="20"/>
      <c r="B475" s="21"/>
      <c r="C475" s="21" t="s">
        <v>584</v>
      </c>
      <c r="D475" s="22" t="s">
        <v>585</v>
      </c>
      <c r="E475" s="15">
        <f>Source!AQ312</f>
        <v>15.93</v>
      </c>
      <c r="F475" s="24"/>
      <c r="G475" s="23" t="str">
        <f>Source!DI312</f>
        <v/>
      </c>
      <c r="H475" s="15">
        <f>Source!AV312</f>
        <v>1</v>
      </c>
      <c r="I475" s="15"/>
      <c r="J475" s="29"/>
      <c r="K475" s="29">
        <f>Source!U312</f>
        <v>0.55754999999999999</v>
      </c>
    </row>
    <row r="476" spans="1:22" ht="15">
      <c r="A476" s="50"/>
      <c r="B476" s="50"/>
      <c r="C476" s="50"/>
      <c r="D476" s="53"/>
      <c r="E476" s="50"/>
      <c r="F476" s="50"/>
      <c r="G476" s="50"/>
      <c r="H476" s="50"/>
      <c r="I476" s="91">
        <f>J471+J472+J473+J474</f>
        <v>518.15</v>
      </c>
      <c r="J476" s="91"/>
      <c r="K476" s="31">
        <f>IF(Source!I312&lt;&gt;0, ROUND(I476/Source!I312, 2), 0)</f>
        <v>14804.29</v>
      </c>
      <c r="P476" s="51">
        <f>I476</f>
        <v>518.15</v>
      </c>
    </row>
    <row r="477" spans="1:22">
      <c r="A477" s="20" t="str">
        <f>Source!E313</f>
        <v>45</v>
      </c>
      <c r="B477" s="21" t="str">
        <f>Source!F313</f>
        <v>1.50-3203-3-7/1</v>
      </c>
      <c r="C477" s="21" t="str">
        <f>Source!G313</f>
        <v>Установка закладных деталей весом до 4 кг</v>
      </c>
      <c r="D477" s="22" t="str">
        <f>Source!H313</f>
        <v>т</v>
      </c>
      <c r="E477" s="15">
        <f>Source!I313</f>
        <v>0.86399999999999999</v>
      </c>
      <c r="F477" s="24"/>
      <c r="G477" s="23"/>
      <c r="H477" s="15"/>
      <c r="I477" s="15"/>
      <c r="J477" s="29"/>
      <c r="K477" s="29"/>
      <c r="Q477" s="10">
        <f>ROUND((Source!BZ313/100)*ROUND((Source!AF313*Source!AV313)*Source!I313, 2), 2)</f>
        <v>30879.37</v>
      </c>
      <c r="R477" s="10">
        <f>Source!X313</f>
        <v>30879.37</v>
      </c>
      <c r="S477" s="10">
        <f>ROUND((Source!CA313/100)*ROUND((Source!AF313*Source!AV313)*Source!I313, 2), 2)</f>
        <v>4411.34</v>
      </c>
      <c r="T477" s="10">
        <f>Source!Y313</f>
        <v>4411.34</v>
      </c>
      <c r="U477" s="10">
        <f>ROUND((175/100)*ROUND((Source!AE313*Source!AV313)*Source!I313, 2), 2)</f>
        <v>0</v>
      </c>
      <c r="V477" s="10">
        <f>ROUND((108/100)*ROUND(Source!CS313*Source!I313, 2), 2)</f>
        <v>0</v>
      </c>
    </row>
    <row r="478" spans="1:22">
      <c r="A478" s="20"/>
      <c r="B478" s="21"/>
      <c r="C478" s="21" t="s">
        <v>577</v>
      </c>
      <c r="D478" s="22"/>
      <c r="E478" s="15"/>
      <c r="F478" s="24">
        <f>Source!AO313</f>
        <v>51057.17</v>
      </c>
      <c r="G478" s="23" t="str">
        <f>Source!DG313</f>
        <v/>
      </c>
      <c r="H478" s="15">
        <f>Source!AV313</f>
        <v>1</v>
      </c>
      <c r="I478" s="15">
        <f>IF(Source!BA313&lt;&gt; 0, Source!BA313, 1)</f>
        <v>1</v>
      </c>
      <c r="J478" s="29">
        <f>Source!S313</f>
        <v>44113.39</v>
      </c>
      <c r="K478" s="29"/>
    </row>
    <row r="479" spans="1:22">
      <c r="A479" s="20"/>
      <c r="B479" s="21"/>
      <c r="C479" s="21" t="s">
        <v>586</v>
      </c>
      <c r="D479" s="22"/>
      <c r="E479" s="15"/>
      <c r="F479" s="24">
        <f>Source!AL313</f>
        <v>53233.52</v>
      </c>
      <c r="G479" s="23" t="str">
        <f>Source!DD313</f>
        <v/>
      </c>
      <c r="H479" s="15">
        <f>Source!AW313</f>
        <v>1</v>
      </c>
      <c r="I479" s="15">
        <f>IF(Source!BC313&lt;&gt; 0, Source!BC313, 1)</f>
        <v>1</v>
      </c>
      <c r="J479" s="29">
        <f>Source!P313</f>
        <v>45993.760000000002</v>
      </c>
      <c r="K479" s="29"/>
    </row>
    <row r="480" spans="1:22">
      <c r="A480" s="20"/>
      <c r="B480" s="21"/>
      <c r="C480" s="21" t="s">
        <v>580</v>
      </c>
      <c r="D480" s="22" t="s">
        <v>581</v>
      </c>
      <c r="E480" s="15">
        <f>Source!AT313</f>
        <v>70</v>
      </c>
      <c r="F480" s="24"/>
      <c r="G480" s="23"/>
      <c r="H480" s="15"/>
      <c r="I480" s="15"/>
      <c r="J480" s="29">
        <f>SUM(R477:R479)</f>
        <v>30879.37</v>
      </c>
      <c r="K480" s="29"/>
    </row>
    <row r="481" spans="1:22">
      <c r="A481" s="20"/>
      <c r="B481" s="21"/>
      <c r="C481" s="21" t="s">
        <v>582</v>
      </c>
      <c r="D481" s="22" t="s">
        <v>581</v>
      </c>
      <c r="E481" s="15">
        <f>Source!AU313</f>
        <v>10</v>
      </c>
      <c r="F481" s="24"/>
      <c r="G481" s="23"/>
      <c r="H481" s="15"/>
      <c r="I481" s="15"/>
      <c r="J481" s="29">
        <f>SUM(T477:T480)</f>
        <v>4411.34</v>
      </c>
      <c r="K481" s="29"/>
    </row>
    <row r="482" spans="1:22">
      <c r="A482" s="20"/>
      <c r="B482" s="21"/>
      <c r="C482" s="21" t="s">
        <v>584</v>
      </c>
      <c r="D482" s="22" t="s">
        <v>585</v>
      </c>
      <c r="E482" s="15">
        <f>Source!AQ313</f>
        <v>227.7</v>
      </c>
      <c r="F482" s="24"/>
      <c r="G482" s="23" t="str">
        <f>Source!DI313</f>
        <v/>
      </c>
      <c r="H482" s="15">
        <f>Source!AV313</f>
        <v>1</v>
      </c>
      <c r="I482" s="15"/>
      <c r="J482" s="29"/>
      <c r="K482" s="29">
        <f>Source!U313</f>
        <v>196.7328</v>
      </c>
    </row>
    <row r="483" spans="1:22" ht="15">
      <c r="A483" s="50"/>
      <c r="B483" s="50"/>
      <c r="C483" s="50"/>
      <c r="D483" s="53"/>
      <c r="E483" s="50"/>
      <c r="F483" s="50"/>
      <c r="G483" s="50"/>
      <c r="H483" s="50"/>
      <c r="I483" s="91">
        <f>J478+J479+J480+J481</f>
        <v>125397.85999999999</v>
      </c>
      <c r="J483" s="91"/>
      <c r="K483" s="31">
        <f>IF(Source!I313&lt;&gt;0, ROUND(I483/Source!I313, 2), 0)</f>
        <v>145136.41</v>
      </c>
      <c r="P483" s="51">
        <f>I483</f>
        <v>125397.85999999999</v>
      </c>
    </row>
    <row r="484" spans="1:22" ht="28.5">
      <c r="A484" s="20" t="str">
        <f>Source!E314</f>
        <v>46</v>
      </c>
      <c r="B484" s="21" t="str">
        <f>Source!F314</f>
        <v>1.50-3203-10-4/1</v>
      </c>
      <c r="C484" s="21" t="str">
        <f>Source!G314</f>
        <v>Установка монтажных изделий массой свыше 20 кг</v>
      </c>
      <c r="D484" s="22" t="str">
        <f>Source!H314</f>
        <v>т</v>
      </c>
      <c r="E484" s="15">
        <f>Source!I314</f>
        <v>0.94499999999999995</v>
      </c>
      <c r="F484" s="24"/>
      <c r="G484" s="23"/>
      <c r="H484" s="15"/>
      <c r="I484" s="15"/>
      <c r="J484" s="29"/>
      <c r="K484" s="29"/>
      <c r="Q484" s="10">
        <f>ROUND((Source!BZ314/100)*ROUND((Source!AF314*Source!AV314)*Source!I314, 2), 2)</f>
        <v>6234.45</v>
      </c>
      <c r="R484" s="10">
        <f>Source!X314</f>
        <v>6234.45</v>
      </c>
      <c r="S484" s="10">
        <f>ROUND((Source!CA314/100)*ROUND((Source!AF314*Source!AV314)*Source!I314, 2), 2)</f>
        <v>890.64</v>
      </c>
      <c r="T484" s="10">
        <f>Source!Y314</f>
        <v>890.64</v>
      </c>
      <c r="U484" s="10">
        <f>ROUND((175/100)*ROUND((Source!AE314*Source!AV314)*Source!I314, 2), 2)</f>
        <v>1.82</v>
      </c>
      <c r="V484" s="10">
        <f>ROUND((108/100)*ROUND(Source!CS314*Source!I314, 2), 2)</f>
        <v>1.1200000000000001</v>
      </c>
    </row>
    <row r="485" spans="1:22">
      <c r="A485" s="20"/>
      <c r="B485" s="21"/>
      <c r="C485" s="21" t="s">
        <v>577</v>
      </c>
      <c r="D485" s="22"/>
      <c r="E485" s="15"/>
      <c r="F485" s="24">
        <f>Source!AO314</f>
        <v>9424.7099999999991</v>
      </c>
      <c r="G485" s="23" t="str">
        <f>Source!DG314</f>
        <v/>
      </c>
      <c r="H485" s="15">
        <f>Source!AV314</f>
        <v>1</v>
      </c>
      <c r="I485" s="15">
        <f>IF(Source!BA314&lt;&gt; 0, Source!BA314, 1)</f>
        <v>1</v>
      </c>
      <c r="J485" s="29">
        <f>Source!S314</f>
        <v>8906.35</v>
      </c>
      <c r="K485" s="29"/>
    </row>
    <row r="486" spans="1:22">
      <c r="A486" s="20"/>
      <c r="B486" s="21"/>
      <c r="C486" s="21" t="s">
        <v>578</v>
      </c>
      <c r="D486" s="22"/>
      <c r="E486" s="15"/>
      <c r="F486" s="24">
        <f>Source!AM314</f>
        <v>1197.3800000000001</v>
      </c>
      <c r="G486" s="23" t="str">
        <f>Source!DE314</f>
        <v/>
      </c>
      <c r="H486" s="15">
        <f>Source!AV314</f>
        <v>1</v>
      </c>
      <c r="I486" s="15">
        <f>IF(Source!BB314&lt;&gt; 0, Source!BB314, 1)</f>
        <v>1</v>
      </c>
      <c r="J486" s="29">
        <f>Source!Q314</f>
        <v>1131.52</v>
      </c>
      <c r="K486" s="29"/>
    </row>
    <row r="487" spans="1:22">
      <c r="A487" s="20"/>
      <c r="B487" s="21"/>
      <c r="C487" s="21" t="s">
        <v>579</v>
      </c>
      <c r="D487" s="22"/>
      <c r="E487" s="15"/>
      <c r="F487" s="24">
        <f>Source!AN314</f>
        <v>1.1000000000000001</v>
      </c>
      <c r="G487" s="23" t="str">
        <f>Source!DF314</f>
        <v/>
      </c>
      <c r="H487" s="15">
        <f>Source!AV314</f>
        <v>1</v>
      </c>
      <c r="I487" s="15">
        <f>IF(Source!BS314&lt;&gt; 0, Source!BS314, 1)</f>
        <v>1</v>
      </c>
      <c r="J487" s="27">
        <f>Source!R314</f>
        <v>1.04</v>
      </c>
      <c r="K487" s="29"/>
    </row>
    <row r="488" spans="1:22">
      <c r="A488" s="20"/>
      <c r="B488" s="21"/>
      <c r="C488" s="21" t="s">
        <v>586</v>
      </c>
      <c r="D488" s="22"/>
      <c r="E488" s="15"/>
      <c r="F488" s="24">
        <f>Source!AL314</f>
        <v>56556.95</v>
      </c>
      <c r="G488" s="23" t="str">
        <f>Source!DD314</f>
        <v/>
      </c>
      <c r="H488" s="15">
        <f>Source!AW314</f>
        <v>1</v>
      </c>
      <c r="I488" s="15">
        <f>IF(Source!BC314&lt;&gt; 0, Source!BC314, 1)</f>
        <v>1</v>
      </c>
      <c r="J488" s="29">
        <f>Source!P314</f>
        <v>53446.32</v>
      </c>
      <c r="K488" s="29"/>
    </row>
    <row r="489" spans="1:22" ht="42.75">
      <c r="A489" s="20" t="str">
        <f>Source!E315</f>
        <v>46,1</v>
      </c>
      <c r="B489" s="21" t="str">
        <f>Source!F315</f>
        <v>21.1-10-111</v>
      </c>
      <c r="C489" s="21" t="str">
        <f>Source!G315</f>
        <v>Профили стальные электросварные прямоугольного сечения трубчатые, размер 40х60 мм, толщина стенки 3,0 мм</v>
      </c>
      <c r="D489" s="22" t="str">
        <f>Source!H315</f>
        <v>т</v>
      </c>
      <c r="E489" s="15">
        <f>Source!I315</f>
        <v>0.61147099999999999</v>
      </c>
      <c r="F489" s="24">
        <f>Source!AK315</f>
        <v>32819.879999999997</v>
      </c>
      <c r="G489" s="32" t="s">
        <v>3</v>
      </c>
      <c r="H489" s="15">
        <f>Source!AW315</f>
        <v>1</v>
      </c>
      <c r="I489" s="15">
        <f>IF(Source!BC315&lt;&gt; 0, Source!BC315, 1)</f>
        <v>1</v>
      </c>
      <c r="J489" s="29">
        <f>Source!O315</f>
        <v>20068.400000000001</v>
      </c>
      <c r="K489" s="29"/>
      <c r="Q489" s="10">
        <f>ROUND((Source!BZ315/100)*ROUND((Source!AF315*Source!AV315)*Source!I315, 2), 2)</f>
        <v>0</v>
      </c>
      <c r="R489" s="10">
        <f>Source!X315</f>
        <v>0</v>
      </c>
      <c r="S489" s="10">
        <f>ROUND((Source!CA315/100)*ROUND((Source!AF315*Source!AV315)*Source!I315, 2), 2)</f>
        <v>0</v>
      </c>
      <c r="T489" s="10">
        <f>Source!Y315</f>
        <v>0</v>
      </c>
      <c r="U489" s="10">
        <f>ROUND((175/100)*ROUND((Source!AE315*Source!AV315)*Source!I315, 2), 2)</f>
        <v>0</v>
      </c>
      <c r="V489" s="10">
        <f>ROUND((108/100)*ROUND(Source!CS315*Source!I315, 2), 2)</f>
        <v>0</v>
      </c>
    </row>
    <row r="490" spans="1:22" ht="28.5">
      <c r="A490" s="20" t="str">
        <f>Source!E316</f>
        <v>46,2</v>
      </c>
      <c r="B490" s="21" t="str">
        <f>Source!F316</f>
        <v>21.1-10-172</v>
      </c>
      <c r="C490" s="21" t="str">
        <f>Source!G316</f>
        <v>Сталь полосовая, марка Ст1сп - Ст6сп, спокойная</v>
      </c>
      <c r="D490" s="22" t="str">
        <f>Source!H316</f>
        <v>т</v>
      </c>
      <c r="E490" s="15">
        <f>Source!I316</f>
        <v>0.33352900000000002</v>
      </c>
      <c r="F490" s="24">
        <f>Source!AK316</f>
        <v>38268.54</v>
      </c>
      <c r="G490" s="32" t="s">
        <v>3</v>
      </c>
      <c r="H490" s="15">
        <f>Source!AW316</f>
        <v>1</v>
      </c>
      <c r="I490" s="15">
        <f>IF(Source!BC316&lt;&gt; 0, Source!BC316, 1)</f>
        <v>1</v>
      </c>
      <c r="J490" s="29">
        <f>Source!O316</f>
        <v>12763.67</v>
      </c>
      <c r="K490" s="29"/>
      <c r="Q490" s="10">
        <f>ROUND((Source!BZ316/100)*ROUND((Source!AF316*Source!AV316)*Source!I316, 2), 2)</f>
        <v>0</v>
      </c>
      <c r="R490" s="10">
        <f>Source!X316</f>
        <v>0</v>
      </c>
      <c r="S490" s="10">
        <f>ROUND((Source!CA316/100)*ROUND((Source!AF316*Source!AV316)*Source!I316, 2), 2)</f>
        <v>0</v>
      </c>
      <c r="T490" s="10">
        <f>Source!Y316</f>
        <v>0</v>
      </c>
      <c r="U490" s="10">
        <f>ROUND((175/100)*ROUND((Source!AE316*Source!AV316)*Source!I316, 2), 2)</f>
        <v>0</v>
      </c>
      <c r="V490" s="10">
        <f>ROUND((108/100)*ROUND(Source!CS316*Source!I316, 2), 2)</f>
        <v>0</v>
      </c>
    </row>
    <row r="491" spans="1:22">
      <c r="A491" s="20"/>
      <c r="B491" s="21"/>
      <c r="C491" s="21" t="s">
        <v>580</v>
      </c>
      <c r="D491" s="22" t="s">
        <v>581</v>
      </c>
      <c r="E491" s="15">
        <f>Source!AT314</f>
        <v>70</v>
      </c>
      <c r="F491" s="24"/>
      <c r="G491" s="23"/>
      <c r="H491" s="15"/>
      <c r="I491" s="15"/>
      <c r="J491" s="29">
        <f>SUM(R484:R490)</f>
        <v>6234.45</v>
      </c>
      <c r="K491" s="29"/>
    </row>
    <row r="492" spans="1:22">
      <c r="A492" s="20"/>
      <c r="B492" s="21"/>
      <c r="C492" s="21" t="s">
        <v>582</v>
      </c>
      <c r="D492" s="22" t="s">
        <v>581</v>
      </c>
      <c r="E492" s="15">
        <f>Source!AU314</f>
        <v>10</v>
      </c>
      <c r="F492" s="24"/>
      <c r="G492" s="23"/>
      <c r="H492" s="15"/>
      <c r="I492" s="15"/>
      <c r="J492" s="29">
        <f>SUM(T484:T491)</f>
        <v>890.64</v>
      </c>
      <c r="K492" s="29"/>
    </row>
    <row r="493" spans="1:22">
      <c r="A493" s="20"/>
      <c r="B493" s="21"/>
      <c r="C493" s="21" t="s">
        <v>583</v>
      </c>
      <c r="D493" s="22" t="s">
        <v>581</v>
      </c>
      <c r="E493" s="15">
        <f>108</f>
        <v>108</v>
      </c>
      <c r="F493" s="24"/>
      <c r="G493" s="23"/>
      <c r="H493" s="15"/>
      <c r="I493" s="15"/>
      <c r="J493" s="29">
        <f>SUM(V484:V492)</f>
        <v>1.1200000000000001</v>
      </c>
      <c r="K493" s="29"/>
    </row>
    <row r="494" spans="1:22">
      <c r="A494" s="20"/>
      <c r="B494" s="21"/>
      <c r="C494" s="21" t="s">
        <v>584</v>
      </c>
      <c r="D494" s="22" t="s">
        <v>585</v>
      </c>
      <c r="E494" s="15">
        <f>Source!AQ314</f>
        <v>36.11</v>
      </c>
      <c r="F494" s="24"/>
      <c r="G494" s="23" t="str">
        <f>Source!DI314</f>
        <v/>
      </c>
      <c r="H494" s="15">
        <f>Source!AV314</f>
        <v>1</v>
      </c>
      <c r="I494" s="15"/>
      <c r="J494" s="29"/>
      <c r="K494" s="29">
        <f>Source!U314</f>
        <v>34.123950000000001</v>
      </c>
    </row>
    <row r="495" spans="1:22" ht="15">
      <c r="A495" s="50"/>
      <c r="B495" s="50"/>
      <c r="C495" s="50"/>
      <c r="D495" s="53"/>
      <c r="E495" s="50"/>
      <c r="F495" s="50"/>
      <c r="G495" s="50"/>
      <c r="H495" s="50"/>
      <c r="I495" s="91">
        <f>J485+J486+J488+J491+J492+J493+SUM(J489:J490)</f>
        <v>103442.47</v>
      </c>
      <c r="J495" s="91"/>
      <c r="K495" s="31">
        <f>IF(Source!I314&lt;&gt;0, ROUND(I495/Source!I314, 2), 0)</f>
        <v>109462.93</v>
      </c>
      <c r="P495" s="51">
        <f>I495</f>
        <v>103442.47</v>
      </c>
    </row>
    <row r="496" spans="1:22" ht="57">
      <c r="A496" s="20" t="str">
        <f>Source!E317</f>
        <v>47</v>
      </c>
      <c r="B496" s="21" t="str">
        <f>Source!F317</f>
        <v>1.11-3303-6-1/1</v>
      </c>
      <c r="C496" s="21" t="str">
        <f>Source!G317</f>
        <v>Облицовка ворот стальным профилированным листом /  оцинкованный толщиной 0,55 мм с полимерным покрытием / Облицовка фоновой панелью</v>
      </c>
      <c r="D496" s="22" t="str">
        <f>Source!H317</f>
        <v>100 м2</v>
      </c>
      <c r="E496" s="15">
        <f>Source!I317</f>
        <v>0.32400000000000001</v>
      </c>
      <c r="F496" s="24"/>
      <c r="G496" s="23"/>
      <c r="H496" s="15"/>
      <c r="I496" s="15"/>
      <c r="J496" s="29"/>
      <c r="K496" s="29"/>
      <c r="Q496" s="10">
        <f>ROUND((Source!BZ317/100)*ROUND((Source!AF317*Source!AV317)*Source!I317, 2), 2)</f>
        <v>1679.56</v>
      </c>
      <c r="R496" s="10">
        <f>Source!X317</f>
        <v>1679.56</v>
      </c>
      <c r="S496" s="10">
        <f>ROUND((Source!CA317/100)*ROUND((Source!AF317*Source!AV317)*Source!I317, 2), 2)</f>
        <v>239.94</v>
      </c>
      <c r="T496" s="10">
        <f>Source!Y317</f>
        <v>239.94</v>
      </c>
      <c r="U496" s="10">
        <f>ROUND((175/100)*ROUND((Source!AE317*Source!AV317)*Source!I317, 2), 2)</f>
        <v>2.92</v>
      </c>
      <c r="V496" s="10">
        <f>ROUND((108/100)*ROUND(Source!CS317*Source!I317, 2), 2)</f>
        <v>1.8</v>
      </c>
    </row>
    <row r="497" spans="1:22">
      <c r="C497" s="49" t="str">
        <f>"Объем: "&amp;Source!I317&amp;"=32,4/"&amp;"100"</f>
        <v>Объем: 0,324=32,4/100</v>
      </c>
    </row>
    <row r="498" spans="1:22">
      <c r="A498" s="20"/>
      <c r="B498" s="21"/>
      <c r="C498" s="21" t="s">
        <v>577</v>
      </c>
      <c r="D498" s="22"/>
      <c r="E498" s="15"/>
      <c r="F498" s="24">
        <f>Source!AO317</f>
        <v>7405.45</v>
      </c>
      <c r="G498" s="23" t="str">
        <f>Source!DG317</f>
        <v/>
      </c>
      <c r="H498" s="15">
        <f>Source!AV317</f>
        <v>1</v>
      </c>
      <c r="I498" s="15">
        <f>IF(Source!BA317&lt;&gt; 0, Source!BA317, 1)</f>
        <v>1</v>
      </c>
      <c r="J498" s="29">
        <f>Source!S317</f>
        <v>2399.37</v>
      </c>
      <c r="K498" s="29"/>
    </row>
    <row r="499" spans="1:22">
      <c r="A499" s="20"/>
      <c r="B499" s="21"/>
      <c r="C499" s="21" t="s">
        <v>578</v>
      </c>
      <c r="D499" s="22"/>
      <c r="E499" s="15"/>
      <c r="F499" s="24">
        <f>Source!AM317</f>
        <v>39.130000000000003</v>
      </c>
      <c r="G499" s="23" t="str">
        <f>Source!DE317</f>
        <v/>
      </c>
      <c r="H499" s="15">
        <f>Source!AV317</f>
        <v>1</v>
      </c>
      <c r="I499" s="15">
        <f>IF(Source!BB317&lt;&gt; 0, Source!BB317, 1)</f>
        <v>1</v>
      </c>
      <c r="J499" s="29">
        <f>Source!Q317</f>
        <v>12.68</v>
      </c>
      <c r="K499" s="29"/>
    </row>
    <row r="500" spans="1:22">
      <c r="A500" s="20"/>
      <c r="B500" s="21"/>
      <c r="C500" s="21" t="s">
        <v>579</v>
      </c>
      <c r="D500" s="22"/>
      <c r="E500" s="15"/>
      <c r="F500" s="24">
        <f>Source!AN317</f>
        <v>5.15</v>
      </c>
      <c r="G500" s="23" t="str">
        <f>Source!DF317</f>
        <v/>
      </c>
      <c r="H500" s="15">
        <f>Source!AV317</f>
        <v>1</v>
      </c>
      <c r="I500" s="15">
        <f>IF(Source!BS317&lt;&gt; 0, Source!BS317, 1)</f>
        <v>1</v>
      </c>
      <c r="J500" s="27">
        <f>Source!R317</f>
        <v>1.67</v>
      </c>
      <c r="K500" s="29"/>
    </row>
    <row r="501" spans="1:22">
      <c r="A501" s="20"/>
      <c r="B501" s="21"/>
      <c r="C501" s="21" t="s">
        <v>586</v>
      </c>
      <c r="D501" s="22"/>
      <c r="E501" s="15"/>
      <c r="F501" s="24">
        <f>Source!AL317</f>
        <v>31386.55</v>
      </c>
      <c r="G501" s="23" t="str">
        <f>Source!DD317</f>
        <v/>
      </c>
      <c r="H501" s="15">
        <f>Source!AW317</f>
        <v>1</v>
      </c>
      <c r="I501" s="15">
        <f>IF(Source!BC317&lt;&gt; 0, Source!BC317, 1)</f>
        <v>1</v>
      </c>
      <c r="J501" s="29">
        <f>Source!P317</f>
        <v>10169.24</v>
      </c>
      <c r="K501" s="29"/>
    </row>
    <row r="502" spans="1:22" ht="57">
      <c r="A502" s="20" t="str">
        <f>Source!E318</f>
        <v>47,1</v>
      </c>
      <c r="B502" s="21" t="str">
        <f>Source!F318</f>
        <v>21.1-10-232</v>
      </c>
      <c r="C502" s="21" t="str">
        <f>Source!G318</f>
        <v>Листы профилированные стальные оцинкованные, толщина 0,55 мм, размер 1250х2000 мм, с полимерным покрытием (металлопласт)</v>
      </c>
      <c r="D502" s="22" t="str">
        <f>Source!H318</f>
        <v>м2</v>
      </c>
      <c r="E502" s="15">
        <f>Source!I318</f>
        <v>-33.048000000000002</v>
      </c>
      <c r="F502" s="24">
        <f>Source!AK318</f>
        <v>306.58</v>
      </c>
      <c r="G502" s="32" t="s">
        <v>3</v>
      </c>
      <c r="H502" s="15">
        <f>Source!AW318</f>
        <v>1</v>
      </c>
      <c r="I502" s="15">
        <f>IF(Source!BC318&lt;&gt; 0, Source!BC318, 1)</f>
        <v>1</v>
      </c>
      <c r="J502" s="29">
        <f>Source!O318</f>
        <v>-10131.86</v>
      </c>
      <c r="K502" s="29"/>
      <c r="Q502" s="10">
        <f>ROUND((Source!BZ318/100)*ROUND((Source!AF318*Source!AV318)*Source!I318, 2), 2)</f>
        <v>0</v>
      </c>
      <c r="R502" s="10">
        <f>Source!X318</f>
        <v>0</v>
      </c>
      <c r="S502" s="10">
        <f>ROUND((Source!CA318/100)*ROUND((Source!AF318*Source!AV318)*Source!I318, 2), 2)</f>
        <v>0</v>
      </c>
      <c r="T502" s="10">
        <f>Source!Y318</f>
        <v>0</v>
      </c>
      <c r="U502" s="10">
        <f>ROUND((175/100)*ROUND((Source!AE318*Source!AV318)*Source!I318, 2), 2)</f>
        <v>0</v>
      </c>
      <c r="V502" s="10">
        <f>ROUND((108/100)*ROUND(Source!CS318*Source!I318, 2), 2)</f>
        <v>0</v>
      </c>
    </row>
    <row r="503" spans="1:22" ht="28.5">
      <c r="A503" s="20" t="str">
        <f>Source!E319</f>
        <v>47,2</v>
      </c>
      <c r="B503" s="21" t="str">
        <f>Source!F319</f>
        <v>21.1-10-163</v>
      </c>
      <c r="C503" s="21" t="str">
        <f>Source!G319</f>
        <v>Сталь листовая горячекатаная нержавеющая, толщина до 4 мм</v>
      </c>
      <c r="D503" s="22" t="str">
        <f>Source!H319</f>
        <v>т</v>
      </c>
      <c r="E503" s="15">
        <f>Source!I319</f>
        <v>0.74329400000000001</v>
      </c>
      <c r="F503" s="24">
        <f>Source!AK319</f>
        <v>164918.53</v>
      </c>
      <c r="G503" s="32" t="s">
        <v>3</v>
      </c>
      <c r="H503" s="15">
        <f>Source!AW319</f>
        <v>1</v>
      </c>
      <c r="I503" s="15">
        <f>IF(Source!BC319&lt;&gt; 0, Source!BC319, 1)</f>
        <v>1</v>
      </c>
      <c r="J503" s="29">
        <f>Source!O319</f>
        <v>122582.95</v>
      </c>
      <c r="K503" s="29"/>
      <c r="Q503" s="10">
        <f>ROUND((Source!BZ319/100)*ROUND((Source!AF319*Source!AV319)*Source!I319, 2), 2)</f>
        <v>0</v>
      </c>
      <c r="R503" s="10">
        <f>Source!X319</f>
        <v>0</v>
      </c>
      <c r="S503" s="10">
        <f>ROUND((Source!CA319/100)*ROUND((Source!AF319*Source!AV319)*Source!I319, 2), 2)</f>
        <v>0</v>
      </c>
      <c r="T503" s="10">
        <f>Source!Y319</f>
        <v>0</v>
      </c>
      <c r="U503" s="10">
        <f>ROUND((175/100)*ROUND((Source!AE319*Source!AV319)*Source!I319, 2), 2)</f>
        <v>0</v>
      </c>
      <c r="V503" s="10">
        <f>ROUND((108/100)*ROUND(Source!CS319*Source!I319, 2), 2)</f>
        <v>0</v>
      </c>
    </row>
    <row r="504" spans="1:22">
      <c r="A504" s="20"/>
      <c r="B504" s="21"/>
      <c r="C504" s="21" t="s">
        <v>580</v>
      </c>
      <c r="D504" s="22" t="s">
        <v>581</v>
      </c>
      <c r="E504" s="15">
        <f>Source!AT317</f>
        <v>70</v>
      </c>
      <c r="F504" s="24"/>
      <c r="G504" s="23"/>
      <c r="H504" s="15"/>
      <c r="I504" s="15"/>
      <c r="J504" s="29">
        <f>SUM(R496:R503)</f>
        <v>1679.56</v>
      </c>
      <c r="K504" s="29"/>
    </row>
    <row r="505" spans="1:22">
      <c r="A505" s="20"/>
      <c r="B505" s="21"/>
      <c r="C505" s="21" t="s">
        <v>582</v>
      </c>
      <c r="D505" s="22" t="s">
        <v>581</v>
      </c>
      <c r="E505" s="15">
        <f>Source!AU317</f>
        <v>10</v>
      </c>
      <c r="F505" s="24"/>
      <c r="G505" s="23"/>
      <c r="H505" s="15"/>
      <c r="I505" s="15"/>
      <c r="J505" s="29">
        <f>SUM(T496:T504)</f>
        <v>239.94</v>
      </c>
      <c r="K505" s="29"/>
    </row>
    <row r="506" spans="1:22">
      <c r="A506" s="20"/>
      <c r="B506" s="21"/>
      <c r="C506" s="21" t="s">
        <v>583</v>
      </c>
      <c r="D506" s="22" t="s">
        <v>581</v>
      </c>
      <c r="E506" s="15">
        <f>108</f>
        <v>108</v>
      </c>
      <c r="F506" s="24"/>
      <c r="G506" s="23"/>
      <c r="H506" s="15"/>
      <c r="I506" s="15"/>
      <c r="J506" s="29">
        <f>SUM(V496:V505)</f>
        <v>1.8</v>
      </c>
      <c r="K506" s="29"/>
    </row>
    <row r="507" spans="1:22">
      <c r="A507" s="20"/>
      <c r="B507" s="21"/>
      <c r="C507" s="21" t="s">
        <v>584</v>
      </c>
      <c r="D507" s="22" t="s">
        <v>585</v>
      </c>
      <c r="E507" s="15">
        <f>Source!AQ317</f>
        <v>34.380000000000003</v>
      </c>
      <c r="F507" s="24"/>
      <c r="G507" s="23" t="str">
        <f>Source!DI317</f>
        <v/>
      </c>
      <c r="H507" s="15">
        <f>Source!AV317</f>
        <v>1</v>
      </c>
      <c r="I507" s="15"/>
      <c r="J507" s="29"/>
      <c r="K507" s="29">
        <f>Source!U317</f>
        <v>11.139120000000002</v>
      </c>
    </row>
    <row r="508" spans="1:22" ht="15">
      <c r="A508" s="50"/>
      <c r="B508" s="50"/>
      <c r="C508" s="50"/>
      <c r="D508" s="53"/>
      <c r="E508" s="50"/>
      <c r="F508" s="50"/>
      <c r="G508" s="50"/>
      <c r="H508" s="50"/>
      <c r="I508" s="91">
        <f>J498+J499+J501+J504+J505+J506+SUM(J502:J503)</f>
        <v>126953.68</v>
      </c>
      <c r="J508" s="91"/>
      <c r="K508" s="31">
        <f>IF(Source!I317&lt;&gt;0, ROUND(I508/Source!I317, 2), 0)</f>
        <v>391832.35</v>
      </c>
      <c r="P508" s="51">
        <f>I508</f>
        <v>126953.68</v>
      </c>
    </row>
    <row r="509" spans="1:22" ht="57">
      <c r="A509" s="20" t="str">
        <f>Source!E320</f>
        <v>48</v>
      </c>
      <c r="B509" s="21" t="str">
        <f>Source!F320</f>
        <v>1.11-3303-6-1/1</v>
      </c>
      <c r="C509" s="21" t="str">
        <f>Source!G320</f>
        <v>Облицовка ворот стальным профилированным листом /  оцинкованный толщиной 0,55 мм с полимерным покрытием / Облицовка фоновой панелью</v>
      </c>
      <c r="D509" s="22" t="str">
        <f>Source!H320</f>
        <v>100 м2</v>
      </c>
      <c r="E509" s="15">
        <f>Source!I320</f>
        <v>0.128</v>
      </c>
      <c r="F509" s="24"/>
      <c r="G509" s="23"/>
      <c r="H509" s="15"/>
      <c r="I509" s="15"/>
      <c r="J509" s="29"/>
      <c r="K509" s="29"/>
      <c r="Q509" s="10">
        <f>ROUND((Source!BZ320/100)*ROUND((Source!AF320*Source!AV320)*Source!I320, 2), 2)</f>
        <v>663.53</v>
      </c>
      <c r="R509" s="10">
        <f>Source!X320</f>
        <v>663.53</v>
      </c>
      <c r="S509" s="10">
        <f>ROUND((Source!CA320/100)*ROUND((Source!AF320*Source!AV320)*Source!I320, 2), 2)</f>
        <v>94.79</v>
      </c>
      <c r="T509" s="10">
        <f>Source!Y320</f>
        <v>94.79</v>
      </c>
      <c r="U509" s="10">
        <f>ROUND((175/100)*ROUND((Source!AE320*Source!AV320)*Source!I320, 2), 2)</f>
        <v>1.1599999999999999</v>
      </c>
      <c r="V509" s="10">
        <f>ROUND((108/100)*ROUND(Source!CS320*Source!I320, 2), 2)</f>
        <v>0.71</v>
      </c>
    </row>
    <row r="510" spans="1:22">
      <c r="C510" s="49" t="str">
        <f>"Объем: "&amp;Source!I320&amp;"=12,8/"&amp;"100"</f>
        <v>Объем: 0,128=12,8/100</v>
      </c>
    </row>
    <row r="511" spans="1:22">
      <c r="A511" s="20"/>
      <c r="B511" s="21"/>
      <c r="C511" s="21" t="s">
        <v>577</v>
      </c>
      <c r="D511" s="22"/>
      <c r="E511" s="15"/>
      <c r="F511" s="24">
        <f>Source!AO320</f>
        <v>7405.45</v>
      </c>
      <c r="G511" s="23" t="str">
        <f>Source!DG320</f>
        <v/>
      </c>
      <c r="H511" s="15">
        <f>Source!AV320</f>
        <v>1</v>
      </c>
      <c r="I511" s="15">
        <f>IF(Source!BA320&lt;&gt; 0, Source!BA320, 1)</f>
        <v>1</v>
      </c>
      <c r="J511" s="29">
        <f>Source!S320</f>
        <v>947.9</v>
      </c>
      <c r="K511" s="29"/>
    </row>
    <row r="512" spans="1:22">
      <c r="A512" s="20"/>
      <c r="B512" s="21"/>
      <c r="C512" s="21" t="s">
        <v>578</v>
      </c>
      <c r="D512" s="22"/>
      <c r="E512" s="15"/>
      <c r="F512" s="24">
        <f>Source!AM320</f>
        <v>39.130000000000003</v>
      </c>
      <c r="G512" s="23" t="str">
        <f>Source!DE320</f>
        <v/>
      </c>
      <c r="H512" s="15">
        <f>Source!AV320</f>
        <v>1</v>
      </c>
      <c r="I512" s="15">
        <f>IF(Source!BB320&lt;&gt; 0, Source!BB320, 1)</f>
        <v>1</v>
      </c>
      <c r="J512" s="29">
        <f>Source!Q320</f>
        <v>5.01</v>
      </c>
      <c r="K512" s="29"/>
    </row>
    <row r="513" spans="1:22">
      <c r="A513" s="20"/>
      <c r="B513" s="21"/>
      <c r="C513" s="21" t="s">
        <v>579</v>
      </c>
      <c r="D513" s="22"/>
      <c r="E513" s="15"/>
      <c r="F513" s="24">
        <f>Source!AN320</f>
        <v>5.15</v>
      </c>
      <c r="G513" s="23" t="str">
        <f>Source!DF320</f>
        <v/>
      </c>
      <c r="H513" s="15">
        <f>Source!AV320</f>
        <v>1</v>
      </c>
      <c r="I513" s="15">
        <f>IF(Source!BS320&lt;&gt; 0, Source!BS320, 1)</f>
        <v>1</v>
      </c>
      <c r="J513" s="27">
        <f>Source!R320</f>
        <v>0.66</v>
      </c>
      <c r="K513" s="29"/>
    </row>
    <row r="514" spans="1:22">
      <c r="A514" s="20"/>
      <c r="B514" s="21"/>
      <c r="C514" s="21" t="s">
        <v>586</v>
      </c>
      <c r="D514" s="22"/>
      <c r="E514" s="15"/>
      <c r="F514" s="24">
        <f>Source!AL320</f>
        <v>31386.55</v>
      </c>
      <c r="G514" s="23" t="str">
        <f>Source!DD320</f>
        <v/>
      </c>
      <c r="H514" s="15">
        <f>Source!AW320</f>
        <v>1</v>
      </c>
      <c r="I514" s="15">
        <f>IF(Source!BC320&lt;&gt; 0, Source!BC320, 1)</f>
        <v>1</v>
      </c>
      <c r="J514" s="29">
        <f>Source!P320</f>
        <v>4017.48</v>
      </c>
      <c r="K514" s="29"/>
    </row>
    <row r="515" spans="1:22" ht="46.5" customHeight="1">
      <c r="A515" s="20" t="str">
        <f>Source!E321</f>
        <v>48,1</v>
      </c>
      <c r="B515" s="21" t="str">
        <f>Source!F321</f>
        <v>21.1-10-232</v>
      </c>
      <c r="C515" s="21" t="str">
        <f>Source!G321</f>
        <v>Листы профилированные стальные оцинкованные, толщина 0,55 мм, размер 1250х2000 мм, с полимерным покрытием (металлопласт)</v>
      </c>
      <c r="D515" s="22" t="str">
        <f>Source!H321</f>
        <v>м2</v>
      </c>
      <c r="E515" s="15">
        <f>Source!I321</f>
        <v>-13.055999999999999</v>
      </c>
      <c r="F515" s="24">
        <f>Source!AK321</f>
        <v>306.58</v>
      </c>
      <c r="G515" s="32" t="s">
        <v>3</v>
      </c>
      <c r="H515" s="15">
        <f>Source!AW321</f>
        <v>1</v>
      </c>
      <c r="I515" s="15">
        <f>IF(Source!BC321&lt;&gt; 0, Source!BC321, 1)</f>
        <v>1</v>
      </c>
      <c r="J515" s="29">
        <f>Source!O321</f>
        <v>-4002.71</v>
      </c>
      <c r="K515" s="29"/>
      <c r="Q515" s="10">
        <f>ROUND((Source!BZ321/100)*ROUND((Source!AF321*Source!AV321)*Source!I321, 2), 2)</f>
        <v>0</v>
      </c>
      <c r="R515" s="10">
        <f>Source!X321</f>
        <v>0</v>
      </c>
      <c r="S515" s="10">
        <f>ROUND((Source!CA321/100)*ROUND((Source!AF321*Source!AV321)*Source!I321, 2), 2)</f>
        <v>0</v>
      </c>
      <c r="T515" s="10">
        <f>Source!Y321</f>
        <v>0</v>
      </c>
      <c r="U515" s="10">
        <f>ROUND((175/100)*ROUND((Source!AE321*Source!AV321)*Source!I321, 2), 2)</f>
        <v>0</v>
      </c>
      <c r="V515" s="10">
        <f>ROUND((108/100)*ROUND(Source!CS321*Source!I321, 2), 2)</f>
        <v>0</v>
      </c>
    </row>
    <row r="516" spans="1:22" ht="28.5">
      <c r="A516" s="20" t="str">
        <f>Source!E322</f>
        <v>48,2</v>
      </c>
      <c r="B516" s="21" t="str">
        <f>Source!F322</f>
        <v>21.1-10-164</v>
      </c>
      <c r="C516" s="21" t="str">
        <f>Source!G322</f>
        <v>Сталь листовая горячекатаная нержавеющая, толщина более 4 мм</v>
      </c>
      <c r="D516" s="22" t="str">
        <f>Source!H322</f>
        <v>т</v>
      </c>
      <c r="E516" s="15">
        <f>Source!I322</f>
        <v>0.77015299999999998</v>
      </c>
      <c r="F516" s="24">
        <f>Source!AK322</f>
        <v>166618.54999999999</v>
      </c>
      <c r="G516" s="32" t="s">
        <v>3</v>
      </c>
      <c r="H516" s="15">
        <f>Source!AW322</f>
        <v>1</v>
      </c>
      <c r="I516" s="15">
        <f>IF(Source!BC322&lt;&gt; 0, Source!BC322, 1)</f>
        <v>1</v>
      </c>
      <c r="J516" s="29">
        <f>Source!O322</f>
        <v>128321.78</v>
      </c>
      <c r="K516" s="29"/>
      <c r="Q516" s="10">
        <f>ROUND((Source!BZ322/100)*ROUND((Source!AF322*Source!AV322)*Source!I322, 2), 2)</f>
        <v>0</v>
      </c>
      <c r="R516" s="10">
        <f>Source!X322</f>
        <v>0</v>
      </c>
      <c r="S516" s="10">
        <f>ROUND((Source!CA322/100)*ROUND((Source!AF322*Source!AV322)*Source!I322, 2), 2)</f>
        <v>0</v>
      </c>
      <c r="T516" s="10">
        <f>Source!Y322</f>
        <v>0</v>
      </c>
      <c r="U516" s="10">
        <f>ROUND((175/100)*ROUND((Source!AE322*Source!AV322)*Source!I322, 2), 2)</f>
        <v>0</v>
      </c>
      <c r="V516" s="10">
        <f>ROUND((108/100)*ROUND(Source!CS322*Source!I322, 2), 2)</f>
        <v>0</v>
      </c>
    </row>
    <row r="517" spans="1:22">
      <c r="A517" s="20"/>
      <c r="B517" s="21"/>
      <c r="C517" s="21" t="s">
        <v>580</v>
      </c>
      <c r="D517" s="22" t="s">
        <v>581</v>
      </c>
      <c r="E517" s="15">
        <f>Source!AT320</f>
        <v>70</v>
      </c>
      <c r="F517" s="24"/>
      <c r="G517" s="23"/>
      <c r="H517" s="15"/>
      <c r="I517" s="15"/>
      <c r="J517" s="29">
        <f>SUM(R509:R516)</f>
        <v>663.53</v>
      </c>
      <c r="K517" s="29"/>
    </row>
    <row r="518" spans="1:22">
      <c r="A518" s="20"/>
      <c r="B518" s="21"/>
      <c r="C518" s="21" t="s">
        <v>582</v>
      </c>
      <c r="D518" s="22" t="s">
        <v>581</v>
      </c>
      <c r="E518" s="15">
        <f>Source!AU320</f>
        <v>10</v>
      </c>
      <c r="F518" s="24"/>
      <c r="G518" s="23"/>
      <c r="H518" s="15"/>
      <c r="I518" s="15"/>
      <c r="J518" s="29">
        <f>SUM(T509:T517)</f>
        <v>94.79</v>
      </c>
      <c r="K518" s="29"/>
    </row>
    <row r="519" spans="1:22">
      <c r="A519" s="20"/>
      <c r="B519" s="21"/>
      <c r="C519" s="21" t="s">
        <v>583</v>
      </c>
      <c r="D519" s="22" t="s">
        <v>581</v>
      </c>
      <c r="E519" s="15">
        <f>108</f>
        <v>108</v>
      </c>
      <c r="F519" s="24"/>
      <c r="G519" s="23"/>
      <c r="H519" s="15"/>
      <c r="I519" s="15"/>
      <c r="J519" s="29">
        <f>SUM(V509:V518)</f>
        <v>0.71</v>
      </c>
      <c r="K519" s="29"/>
    </row>
    <row r="520" spans="1:22">
      <c r="A520" s="20"/>
      <c r="B520" s="21"/>
      <c r="C520" s="21" t="s">
        <v>584</v>
      </c>
      <c r="D520" s="22" t="s">
        <v>585</v>
      </c>
      <c r="E520" s="15">
        <f>Source!AQ320</f>
        <v>34.380000000000003</v>
      </c>
      <c r="F520" s="24"/>
      <c r="G520" s="23" t="str">
        <f>Source!DI320</f>
        <v/>
      </c>
      <c r="H520" s="15">
        <f>Source!AV320</f>
        <v>1</v>
      </c>
      <c r="I520" s="15"/>
      <c r="J520" s="29"/>
      <c r="K520" s="29">
        <f>Source!U320</f>
        <v>4.4006400000000001</v>
      </c>
    </row>
    <row r="521" spans="1:22" ht="15">
      <c r="A521" s="50"/>
      <c r="B521" s="50"/>
      <c r="C521" s="50"/>
      <c r="D521" s="53"/>
      <c r="E521" s="50"/>
      <c r="F521" s="50"/>
      <c r="G521" s="50"/>
      <c r="H521" s="50"/>
      <c r="I521" s="91">
        <f>J511+J512+J514+J517+J518+J519+SUM(J515:J516)</f>
        <v>130048.48999999999</v>
      </c>
      <c r="J521" s="91"/>
      <c r="K521" s="31">
        <f>IF(Source!I320&lt;&gt;0, ROUND(I521/Source!I320, 2), 0)</f>
        <v>1016003.83</v>
      </c>
      <c r="P521" s="51">
        <f>I521</f>
        <v>130048.48999999999</v>
      </c>
    </row>
    <row r="522" spans="1:22">
      <c r="A522" s="20" t="str">
        <f>Source!E323</f>
        <v>49</v>
      </c>
      <c r="B522" s="21" t="str">
        <f>Source!F323</f>
        <v>1.13-3204-1-1/1</v>
      </c>
      <c r="C522" s="21" t="str">
        <f>Source!G323</f>
        <v>Расчистка поверхностей щетками</v>
      </c>
      <c r="D522" s="22" t="str">
        <f>Source!H323</f>
        <v>м2</v>
      </c>
      <c r="E522" s="15">
        <f>Source!I323</f>
        <v>236.4</v>
      </c>
      <c r="F522" s="24"/>
      <c r="G522" s="23"/>
      <c r="H522" s="15"/>
      <c r="I522" s="15"/>
      <c r="J522" s="29"/>
      <c r="K522" s="29"/>
      <c r="Q522" s="10">
        <f>ROUND((Source!BZ323/100)*ROUND((Source!AF323*Source!AV323)*Source!I323, 2), 2)</f>
        <v>17944.650000000001</v>
      </c>
      <c r="R522" s="10">
        <f>Source!X323</f>
        <v>17944.650000000001</v>
      </c>
      <c r="S522" s="10">
        <f>ROUND((Source!CA323/100)*ROUND((Source!AF323*Source!AV323)*Source!I323, 2), 2)</f>
        <v>2563.52</v>
      </c>
      <c r="T522" s="10">
        <f>Source!Y323</f>
        <v>2563.52</v>
      </c>
      <c r="U522" s="10">
        <f>ROUND((175/100)*ROUND((Source!AE323*Source!AV323)*Source!I323, 2), 2)</f>
        <v>0</v>
      </c>
      <c r="V522" s="10">
        <f>ROUND((108/100)*ROUND(Source!CS323*Source!I323, 2), 2)</f>
        <v>0</v>
      </c>
    </row>
    <row r="523" spans="1:22">
      <c r="A523" s="20"/>
      <c r="B523" s="21"/>
      <c r="C523" s="21" t="s">
        <v>577</v>
      </c>
      <c r="D523" s="22"/>
      <c r="E523" s="15"/>
      <c r="F523" s="24">
        <f>Source!AO323</f>
        <v>108.44</v>
      </c>
      <c r="G523" s="23" t="str">
        <f>Source!DG323</f>
        <v/>
      </c>
      <c r="H523" s="15">
        <f>Source!AV323</f>
        <v>1</v>
      </c>
      <c r="I523" s="15">
        <f>IF(Source!BA323&lt;&gt; 0, Source!BA323, 1)</f>
        <v>1</v>
      </c>
      <c r="J523" s="29">
        <f>Source!S323</f>
        <v>25635.22</v>
      </c>
      <c r="K523" s="29"/>
    </row>
    <row r="524" spans="1:22">
      <c r="A524" s="20"/>
      <c r="B524" s="21"/>
      <c r="C524" s="21" t="s">
        <v>580</v>
      </c>
      <c r="D524" s="22" t="s">
        <v>581</v>
      </c>
      <c r="E524" s="15">
        <f>Source!AT323</f>
        <v>70</v>
      </c>
      <c r="F524" s="24"/>
      <c r="G524" s="23"/>
      <c r="H524" s="15"/>
      <c r="I524" s="15"/>
      <c r="J524" s="29">
        <f>SUM(R522:R523)</f>
        <v>17944.650000000001</v>
      </c>
      <c r="K524" s="29"/>
    </row>
    <row r="525" spans="1:22">
      <c r="A525" s="20"/>
      <c r="B525" s="21"/>
      <c r="C525" s="21" t="s">
        <v>582</v>
      </c>
      <c r="D525" s="22" t="s">
        <v>581</v>
      </c>
      <c r="E525" s="15">
        <f>Source!AU323</f>
        <v>10</v>
      </c>
      <c r="F525" s="24"/>
      <c r="G525" s="23"/>
      <c r="H525" s="15"/>
      <c r="I525" s="15"/>
      <c r="J525" s="29">
        <f>SUM(T522:T524)</f>
        <v>2563.52</v>
      </c>
      <c r="K525" s="29"/>
    </row>
    <row r="526" spans="1:22">
      <c r="A526" s="20"/>
      <c r="B526" s="21"/>
      <c r="C526" s="21" t="s">
        <v>584</v>
      </c>
      <c r="D526" s="22" t="s">
        <v>585</v>
      </c>
      <c r="E526" s="15">
        <f>Source!AQ323</f>
        <v>0.6</v>
      </c>
      <c r="F526" s="24"/>
      <c r="G526" s="23" t="str">
        <f>Source!DI323</f>
        <v/>
      </c>
      <c r="H526" s="15">
        <f>Source!AV323</f>
        <v>1</v>
      </c>
      <c r="I526" s="15"/>
      <c r="J526" s="29"/>
      <c r="K526" s="29">
        <f>Source!U323</f>
        <v>141.84</v>
      </c>
    </row>
    <row r="527" spans="1:22" ht="15">
      <c r="A527" s="50"/>
      <c r="B527" s="50"/>
      <c r="C527" s="50"/>
      <c r="D527" s="53"/>
      <c r="E527" s="50"/>
      <c r="F527" s="50"/>
      <c r="G527" s="50"/>
      <c r="H527" s="50"/>
      <c r="I527" s="91">
        <f>J523+J524+J525</f>
        <v>46143.39</v>
      </c>
      <c r="J527" s="91"/>
      <c r="K527" s="31">
        <f>IF(Source!I323&lt;&gt;0, ROUND(I527/Source!I323, 2), 0)</f>
        <v>195.19</v>
      </c>
      <c r="P527" s="51">
        <f>I527</f>
        <v>46143.39</v>
      </c>
    </row>
    <row r="528" spans="1:22" ht="42.75">
      <c r="A528" s="20" t="str">
        <f>Source!E324</f>
        <v>50</v>
      </c>
      <c r="B528" s="21" t="str">
        <f>Source!F324</f>
        <v>1.24-3105-3-1/1</v>
      </c>
      <c r="C528" s="21" t="str">
        <f>Source!G324</f>
        <v>Обезжиривание металлической поверхности оборудования и труб диаметром до 500 мм уайт-спиритом</v>
      </c>
      <c r="D528" s="22" t="str">
        <f>Source!H324</f>
        <v>100 м2</v>
      </c>
      <c r="E528" s="15">
        <f>Source!I324</f>
        <v>2.3639999999999999</v>
      </c>
      <c r="F528" s="24"/>
      <c r="G528" s="23"/>
      <c r="H528" s="15"/>
      <c r="I528" s="15"/>
      <c r="J528" s="29"/>
      <c r="K528" s="29"/>
      <c r="Q528" s="10">
        <f>ROUND((Source!BZ324/100)*ROUND((Source!AF324*Source!AV324)*Source!I324, 2), 2)</f>
        <v>3645.1</v>
      </c>
      <c r="R528" s="10">
        <f>Source!X324</f>
        <v>3645.1</v>
      </c>
      <c r="S528" s="10">
        <f>ROUND((Source!CA324/100)*ROUND((Source!AF324*Source!AV324)*Source!I324, 2), 2)</f>
        <v>520.73</v>
      </c>
      <c r="T528" s="10">
        <f>Source!Y324</f>
        <v>520.73</v>
      </c>
      <c r="U528" s="10">
        <f>ROUND((175/100)*ROUND((Source!AE324*Source!AV324)*Source!I324, 2), 2)</f>
        <v>0</v>
      </c>
      <c r="V528" s="10">
        <f>ROUND((108/100)*ROUND(Source!CS324*Source!I324, 2), 2)</f>
        <v>0</v>
      </c>
    </row>
    <row r="529" spans="1:22">
      <c r="C529" s="49" t="str">
        <f>"Объем: "&amp;Source!I324&amp;"=236,4/"&amp;"100"</f>
        <v>Объем: 2,364=236,4/100</v>
      </c>
    </row>
    <row r="530" spans="1:22">
      <c r="A530" s="20"/>
      <c r="B530" s="21"/>
      <c r="C530" s="21" t="s">
        <v>577</v>
      </c>
      <c r="D530" s="22"/>
      <c r="E530" s="15"/>
      <c r="F530" s="24">
        <f>Source!AO324</f>
        <v>2202.7399999999998</v>
      </c>
      <c r="G530" s="23" t="str">
        <f>Source!DG324</f>
        <v/>
      </c>
      <c r="H530" s="15">
        <f>Source!AV324</f>
        <v>1</v>
      </c>
      <c r="I530" s="15">
        <f>IF(Source!BA324&lt;&gt; 0, Source!BA324, 1)</f>
        <v>1</v>
      </c>
      <c r="J530" s="29">
        <f>Source!S324</f>
        <v>5207.28</v>
      </c>
      <c r="K530" s="29"/>
    </row>
    <row r="531" spans="1:22">
      <c r="A531" s="20"/>
      <c r="B531" s="21"/>
      <c r="C531" s="21" t="s">
        <v>586</v>
      </c>
      <c r="D531" s="22"/>
      <c r="E531" s="15"/>
      <c r="F531" s="24">
        <f>Source!AL324</f>
        <v>2022.26</v>
      </c>
      <c r="G531" s="23" t="str">
        <f>Source!DD324</f>
        <v/>
      </c>
      <c r="H531" s="15">
        <f>Source!AW324</f>
        <v>1</v>
      </c>
      <c r="I531" s="15">
        <f>IF(Source!BC324&lt;&gt; 0, Source!BC324, 1)</f>
        <v>1</v>
      </c>
      <c r="J531" s="29">
        <f>Source!P324</f>
        <v>4780.62</v>
      </c>
      <c r="K531" s="29"/>
    </row>
    <row r="532" spans="1:22">
      <c r="A532" s="20"/>
      <c r="B532" s="21"/>
      <c r="C532" s="21" t="s">
        <v>580</v>
      </c>
      <c r="D532" s="22" t="s">
        <v>581</v>
      </c>
      <c r="E532" s="15">
        <f>Source!AT324</f>
        <v>70</v>
      </c>
      <c r="F532" s="24"/>
      <c r="G532" s="23"/>
      <c r="H532" s="15"/>
      <c r="I532" s="15"/>
      <c r="J532" s="29">
        <f>SUM(R528:R531)</f>
        <v>3645.1</v>
      </c>
      <c r="K532" s="29"/>
    </row>
    <row r="533" spans="1:22">
      <c r="A533" s="20"/>
      <c r="B533" s="21"/>
      <c r="C533" s="21" t="s">
        <v>582</v>
      </c>
      <c r="D533" s="22" t="s">
        <v>581</v>
      </c>
      <c r="E533" s="15">
        <f>Source!AU324</f>
        <v>10</v>
      </c>
      <c r="F533" s="24"/>
      <c r="G533" s="23"/>
      <c r="H533" s="15"/>
      <c r="I533" s="15"/>
      <c r="J533" s="29">
        <f>SUM(T528:T532)</f>
        <v>520.73</v>
      </c>
      <c r="K533" s="29"/>
    </row>
    <row r="534" spans="1:22">
      <c r="A534" s="20"/>
      <c r="B534" s="21"/>
      <c r="C534" s="21" t="s">
        <v>584</v>
      </c>
      <c r="D534" s="22" t="s">
        <v>585</v>
      </c>
      <c r="E534" s="15">
        <f>Source!AQ324</f>
        <v>10.44</v>
      </c>
      <c r="F534" s="24"/>
      <c r="G534" s="23" t="str">
        <f>Source!DI324</f>
        <v/>
      </c>
      <c r="H534" s="15">
        <f>Source!AV324</f>
        <v>1</v>
      </c>
      <c r="I534" s="15"/>
      <c r="J534" s="29"/>
      <c r="K534" s="29">
        <f>Source!U324</f>
        <v>24.680159999999997</v>
      </c>
    </row>
    <row r="535" spans="1:22" ht="15">
      <c r="A535" s="50"/>
      <c r="B535" s="50"/>
      <c r="C535" s="50"/>
      <c r="D535" s="53"/>
      <c r="E535" s="50"/>
      <c r="F535" s="50"/>
      <c r="G535" s="50"/>
      <c r="H535" s="50"/>
      <c r="I535" s="91">
        <f>J530+J531+J532+J533</f>
        <v>14153.73</v>
      </c>
      <c r="J535" s="91"/>
      <c r="K535" s="31">
        <f>IF(Source!I324&lt;&gt;0, ROUND(I535/Source!I324, 2), 0)</f>
        <v>5987.2</v>
      </c>
      <c r="P535" s="51">
        <f>I535</f>
        <v>14153.73</v>
      </c>
    </row>
    <row r="536" spans="1:22" ht="42.75">
      <c r="A536" s="20" t="str">
        <f>Source!E325</f>
        <v>51</v>
      </c>
      <c r="B536" s="21" t="str">
        <f>Source!F325</f>
        <v>1.13-5302-11-5/1</v>
      </c>
      <c r="C536" s="21" t="str">
        <f>Source!G325</f>
        <v>Огрунтовка новых или ранее расчищенных металлических поверхностей алкидными грунтовками, за один раз</v>
      </c>
      <c r="D536" s="22" t="str">
        <f>Source!H325</f>
        <v>10 м2</v>
      </c>
      <c r="E536" s="15">
        <f>Source!I325</f>
        <v>23.64</v>
      </c>
      <c r="F536" s="24"/>
      <c r="G536" s="23"/>
      <c r="H536" s="15"/>
      <c r="I536" s="15"/>
      <c r="J536" s="29"/>
      <c r="K536" s="29"/>
      <c r="Q536" s="10">
        <f>ROUND((Source!BZ325/100)*ROUND((Source!AF325*Source!AV325)*Source!I325, 2), 2)</f>
        <v>60550.78</v>
      </c>
      <c r="R536" s="10">
        <f>Source!X325</f>
        <v>60550.78</v>
      </c>
      <c r="S536" s="10">
        <f>ROUND((Source!CA325/100)*ROUND((Source!AF325*Source!AV325)*Source!I325, 2), 2)</f>
        <v>8650.11</v>
      </c>
      <c r="T536" s="10">
        <f>Source!Y325</f>
        <v>8650.11</v>
      </c>
      <c r="U536" s="10">
        <f>ROUND((175/100)*ROUND((Source!AE325*Source!AV325)*Source!I325, 2), 2)</f>
        <v>0</v>
      </c>
      <c r="V536" s="10">
        <f>ROUND((108/100)*ROUND(Source!CS325*Source!I325, 2), 2)</f>
        <v>0</v>
      </c>
    </row>
    <row r="537" spans="1:22">
      <c r="C537" s="49" t="str">
        <f>"Объем: "&amp;Source!I325&amp;"=236,4/"&amp;"10"</f>
        <v>Объем: 23,64=236,4/10</v>
      </c>
    </row>
    <row r="538" spans="1:22">
      <c r="A538" s="20"/>
      <c r="B538" s="21"/>
      <c r="C538" s="21" t="s">
        <v>577</v>
      </c>
      <c r="D538" s="22"/>
      <c r="E538" s="15"/>
      <c r="F538" s="24">
        <f>Source!AO325</f>
        <v>3659.1</v>
      </c>
      <c r="G538" s="23" t="str">
        <f>Source!DG325</f>
        <v/>
      </c>
      <c r="H538" s="15">
        <f>Source!AV325</f>
        <v>1</v>
      </c>
      <c r="I538" s="15">
        <f>IF(Source!BA325&lt;&gt; 0, Source!BA325, 1)</f>
        <v>1</v>
      </c>
      <c r="J538" s="29">
        <f>Source!S325</f>
        <v>86501.119999999995</v>
      </c>
      <c r="K538" s="29"/>
    </row>
    <row r="539" spans="1:22">
      <c r="A539" s="20"/>
      <c r="B539" s="21"/>
      <c r="C539" s="21" t="s">
        <v>586</v>
      </c>
      <c r="D539" s="22"/>
      <c r="E539" s="15"/>
      <c r="F539" s="24">
        <f>Source!AL325</f>
        <v>2961.96</v>
      </c>
      <c r="G539" s="23" t="str">
        <f>Source!DD325</f>
        <v/>
      </c>
      <c r="H539" s="15">
        <f>Source!AW325</f>
        <v>1</v>
      </c>
      <c r="I539" s="15">
        <f>IF(Source!BC325&lt;&gt; 0, Source!BC325, 1)</f>
        <v>1</v>
      </c>
      <c r="J539" s="29">
        <f>Source!P325</f>
        <v>70020.73</v>
      </c>
      <c r="K539" s="29"/>
    </row>
    <row r="540" spans="1:22">
      <c r="A540" s="20"/>
      <c r="B540" s="21"/>
      <c r="C540" s="21" t="s">
        <v>580</v>
      </c>
      <c r="D540" s="22" t="s">
        <v>581</v>
      </c>
      <c r="E540" s="15">
        <f>Source!AT325</f>
        <v>70</v>
      </c>
      <c r="F540" s="24"/>
      <c r="G540" s="23"/>
      <c r="H540" s="15"/>
      <c r="I540" s="15"/>
      <c r="J540" s="29">
        <f>SUM(R536:R539)</f>
        <v>60550.78</v>
      </c>
      <c r="K540" s="29"/>
    </row>
    <row r="541" spans="1:22">
      <c r="A541" s="20"/>
      <c r="B541" s="21"/>
      <c r="C541" s="21" t="s">
        <v>582</v>
      </c>
      <c r="D541" s="22" t="s">
        <v>581</v>
      </c>
      <c r="E541" s="15">
        <f>Source!AU325</f>
        <v>10</v>
      </c>
      <c r="F541" s="24"/>
      <c r="G541" s="23"/>
      <c r="H541" s="15"/>
      <c r="I541" s="15"/>
      <c r="J541" s="29">
        <f>SUM(T536:T540)</f>
        <v>8650.11</v>
      </c>
      <c r="K541" s="29"/>
    </row>
    <row r="542" spans="1:22">
      <c r="A542" s="20"/>
      <c r="B542" s="21"/>
      <c r="C542" s="21" t="s">
        <v>584</v>
      </c>
      <c r="D542" s="22" t="s">
        <v>585</v>
      </c>
      <c r="E542" s="15">
        <f>Source!AQ325</f>
        <v>17.07</v>
      </c>
      <c r="F542" s="24"/>
      <c r="G542" s="23" t="str">
        <f>Source!DI325</f>
        <v/>
      </c>
      <c r="H542" s="15">
        <f>Source!AV325</f>
        <v>1</v>
      </c>
      <c r="I542" s="15"/>
      <c r="J542" s="29"/>
      <c r="K542" s="29">
        <f>Source!U325</f>
        <v>403.53480000000002</v>
      </c>
    </row>
    <row r="543" spans="1:22" ht="15">
      <c r="A543" s="50"/>
      <c r="B543" s="50"/>
      <c r="C543" s="50"/>
      <c r="D543" s="53"/>
      <c r="E543" s="50"/>
      <c r="F543" s="50"/>
      <c r="G543" s="50"/>
      <c r="H543" s="50"/>
      <c r="I543" s="91">
        <f>J538+J539+J540+J541</f>
        <v>225722.74</v>
      </c>
      <c r="J543" s="91"/>
      <c r="K543" s="31">
        <f>IF(Source!I325&lt;&gt;0, ROUND(I543/Source!I325, 2), 0)</f>
        <v>9548.34</v>
      </c>
      <c r="P543" s="51">
        <f>I543</f>
        <v>225722.74</v>
      </c>
    </row>
    <row r="544" spans="1:22" ht="28.5">
      <c r="A544" s="20" t="str">
        <f>Source!E326</f>
        <v>52</v>
      </c>
      <c r="B544" s="21" t="str">
        <f>Source!F326</f>
        <v>1.13-3203-23-10/1</v>
      </c>
      <c r="C544" s="21" t="str">
        <f>Source!G326</f>
        <v>Окраска по металлу за один раз металлическим порошком решеток / за два раза</v>
      </c>
      <c r="D544" s="22" t="str">
        <f>Source!H326</f>
        <v>100 м2</v>
      </c>
      <c r="E544" s="15">
        <f>Source!I326</f>
        <v>2.3639999999999999</v>
      </c>
      <c r="F544" s="24"/>
      <c r="G544" s="23"/>
      <c r="H544" s="15"/>
      <c r="I544" s="15"/>
      <c r="J544" s="29"/>
      <c r="K544" s="29"/>
      <c r="Q544" s="10">
        <f>ROUND((Source!BZ326/100)*ROUND((Source!AF326*Source!AV326)*Source!I326, 2), 2)</f>
        <v>45508.79</v>
      </c>
      <c r="R544" s="10">
        <f>Source!X326</f>
        <v>45508.79</v>
      </c>
      <c r="S544" s="10">
        <f>ROUND((Source!CA326/100)*ROUND((Source!AF326*Source!AV326)*Source!I326, 2), 2)</f>
        <v>6501.26</v>
      </c>
      <c r="T544" s="10">
        <f>Source!Y326</f>
        <v>6501.26</v>
      </c>
      <c r="U544" s="10">
        <f>ROUND((175/100)*ROUND((Source!AE326*Source!AV326)*Source!I326, 2), 2)</f>
        <v>0</v>
      </c>
      <c r="V544" s="10">
        <f>ROUND((108/100)*ROUND(Source!CS326*Source!I326, 2), 2)</f>
        <v>0</v>
      </c>
    </row>
    <row r="545" spans="1:22">
      <c r="C545" s="49" t="str">
        <f>"Объем: "&amp;Source!I326&amp;"=236,4/"&amp;"100"</f>
        <v>Объем: 2,364=236,4/100</v>
      </c>
    </row>
    <row r="546" spans="1:22">
      <c r="A546" s="20"/>
      <c r="B546" s="21"/>
      <c r="C546" s="21" t="s">
        <v>577</v>
      </c>
      <c r="D546" s="22"/>
      <c r="E546" s="15"/>
      <c r="F546" s="24">
        <f>Source!AO326</f>
        <v>13750.54</v>
      </c>
      <c r="G546" s="23" t="str">
        <f>Source!DG326</f>
        <v>*2</v>
      </c>
      <c r="H546" s="15">
        <f>Source!AV326</f>
        <v>1</v>
      </c>
      <c r="I546" s="15">
        <f>IF(Source!BA326&lt;&gt; 0, Source!BA326, 1)</f>
        <v>1</v>
      </c>
      <c r="J546" s="29">
        <f>Source!S326</f>
        <v>65012.55</v>
      </c>
      <c r="K546" s="29"/>
    </row>
    <row r="547" spans="1:22">
      <c r="A547" s="20"/>
      <c r="B547" s="21"/>
      <c r="C547" s="21" t="s">
        <v>586</v>
      </c>
      <c r="D547" s="22"/>
      <c r="E547" s="15"/>
      <c r="F547" s="24">
        <f>Source!AL326</f>
        <v>3483.4</v>
      </c>
      <c r="G547" s="23" t="str">
        <f>Source!DD326</f>
        <v>*2</v>
      </c>
      <c r="H547" s="15">
        <f>Source!AW326</f>
        <v>1</v>
      </c>
      <c r="I547" s="15">
        <f>IF(Source!BC326&lt;&gt; 0, Source!BC326, 1)</f>
        <v>1</v>
      </c>
      <c r="J547" s="29">
        <f>Source!P326</f>
        <v>16469.52</v>
      </c>
      <c r="K547" s="29"/>
    </row>
    <row r="548" spans="1:22">
      <c r="A548" s="20"/>
      <c r="B548" s="21"/>
      <c r="C548" s="21" t="s">
        <v>580</v>
      </c>
      <c r="D548" s="22" t="s">
        <v>581</v>
      </c>
      <c r="E548" s="15">
        <f>Source!AT326</f>
        <v>70</v>
      </c>
      <c r="F548" s="24"/>
      <c r="G548" s="23"/>
      <c r="H548" s="15"/>
      <c r="I548" s="15"/>
      <c r="J548" s="29">
        <f>SUM(R544:R547)</f>
        <v>45508.79</v>
      </c>
      <c r="K548" s="29"/>
    </row>
    <row r="549" spans="1:22">
      <c r="A549" s="20"/>
      <c r="B549" s="21"/>
      <c r="C549" s="21" t="s">
        <v>582</v>
      </c>
      <c r="D549" s="22" t="s">
        <v>581</v>
      </c>
      <c r="E549" s="15">
        <f>Source!AU326</f>
        <v>10</v>
      </c>
      <c r="F549" s="24"/>
      <c r="G549" s="23"/>
      <c r="H549" s="15"/>
      <c r="I549" s="15"/>
      <c r="J549" s="29">
        <f>SUM(T544:T548)</f>
        <v>6501.26</v>
      </c>
      <c r="K549" s="29"/>
    </row>
    <row r="550" spans="1:22">
      <c r="A550" s="20"/>
      <c r="B550" s="21"/>
      <c r="C550" s="21" t="s">
        <v>584</v>
      </c>
      <c r="D550" s="22" t="s">
        <v>585</v>
      </c>
      <c r="E550" s="15">
        <f>Source!AQ326</f>
        <v>59</v>
      </c>
      <c r="F550" s="24"/>
      <c r="G550" s="23" t="str">
        <f>Source!DI326</f>
        <v>*2</v>
      </c>
      <c r="H550" s="15">
        <f>Source!AV326</f>
        <v>1</v>
      </c>
      <c r="I550" s="15"/>
      <c r="J550" s="29"/>
      <c r="K550" s="29">
        <f>Source!U326</f>
        <v>278.952</v>
      </c>
    </row>
    <row r="551" spans="1:22" ht="15">
      <c r="A551" s="50"/>
      <c r="B551" s="50"/>
      <c r="C551" s="50"/>
      <c r="D551" s="53"/>
      <c r="E551" s="50"/>
      <c r="F551" s="50"/>
      <c r="G551" s="50"/>
      <c r="H551" s="50"/>
      <c r="I551" s="91">
        <f>J546+J547+J548+J549</f>
        <v>133492.12000000002</v>
      </c>
      <c r="J551" s="91"/>
      <c r="K551" s="31">
        <f>IF(Source!I326&lt;&gt;0, ROUND(I551/Source!I326, 2), 0)</f>
        <v>56468.75</v>
      </c>
      <c r="P551" s="51">
        <f>I551</f>
        <v>133492.12000000002</v>
      </c>
    </row>
    <row r="552" spans="1:22" ht="28.5">
      <c r="A552" s="20" t="str">
        <f>Source!E327</f>
        <v>53</v>
      </c>
      <c r="B552" s="21" t="str">
        <f>Source!F327</f>
        <v>2.1-3203-24-3/1</v>
      </c>
      <c r="C552" s="21" t="str">
        <f>Source!G327</f>
        <v>Нанесение текстовой информации и символики. прим.</v>
      </c>
      <c r="D552" s="22" t="str">
        <f>Source!H327</f>
        <v>м2</v>
      </c>
      <c r="E552" s="15">
        <f>Source!I327</f>
        <v>23.89</v>
      </c>
      <c r="F552" s="24"/>
      <c r="G552" s="23"/>
      <c r="H552" s="15"/>
      <c r="I552" s="15"/>
      <c r="J552" s="29"/>
      <c r="K552" s="29"/>
      <c r="Q552" s="10">
        <f>ROUND((Source!BZ327/100)*ROUND((Source!AF327*Source!AV327)*Source!I327, 2), 2)</f>
        <v>16444.150000000001</v>
      </c>
      <c r="R552" s="10">
        <f>Source!X327</f>
        <v>16444.150000000001</v>
      </c>
      <c r="S552" s="10">
        <f>ROUND((Source!CA327/100)*ROUND((Source!AF327*Source!AV327)*Source!I327, 2), 2)</f>
        <v>2055.52</v>
      </c>
      <c r="T552" s="10">
        <f>Source!Y327</f>
        <v>2055.52</v>
      </c>
      <c r="U552" s="10">
        <f>ROUND((175/100)*ROUND((Source!AE327*Source!AV327)*Source!I327, 2), 2)</f>
        <v>25999.66</v>
      </c>
      <c r="V552" s="10">
        <f>ROUND((108/100)*ROUND(Source!CS327*Source!I327, 2), 2)</f>
        <v>16045.51</v>
      </c>
    </row>
    <row r="553" spans="1:22">
      <c r="A553" s="20"/>
      <c r="B553" s="21"/>
      <c r="C553" s="21" t="s">
        <v>577</v>
      </c>
      <c r="D553" s="22"/>
      <c r="E553" s="15"/>
      <c r="F553" s="24">
        <f>Source!AO327</f>
        <v>860.41</v>
      </c>
      <c r="G553" s="23" t="str">
        <f>Source!DG327</f>
        <v/>
      </c>
      <c r="H553" s="15">
        <f>Source!AV327</f>
        <v>1</v>
      </c>
      <c r="I553" s="15">
        <f>IF(Source!BA327&lt;&gt; 0, Source!BA327, 1)</f>
        <v>1</v>
      </c>
      <c r="J553" s="29">
        <f>Source!S327</f>
        <v>20555.189999999999</v>
      </c>
      <c r="K553" s="29"/>
    </row>
    <row r="554" spans="1:22">
      <c r="A554" s="20"/>
      <c r="B554" s="21"/>
      <c r="C554" s="21" t="s">
        <v>578</v>
      </c>
      <c r="D554" s="22"/>
      <c r="E554" s="15"/>
      <c r="F554" s="24">
        <f>Source!AM327</f>
        <v>1288.52</v>
      </c>
      <c r="G554" s="23" t="str">
        <f>Source!DE327</f>
        <v/>
      </c>
      <c r="H554" s="15">
        <f>Source!AV327</f>
        <v>1</v>
      </c>
      <c r="I554" s="15">
        <f>IF(Source!BB327&lt;&gt; 0, Source!BB327, 1)</f>
        <v>1</v>
      </c>
      <c r="J554" s="29">
        <f>Source!Q327</f>
        <v>30782.74</v>
      </c>
      <c r="K554" s="29"/>
    </row>
    <row r="555" spans="1:22">
      <c r="A555" s="20"/>
      <c r="B555" s="21"/>
      <c r="C555" s="21" t="s">
        <v>579</v>
      </c>
      <c r="D555" s="22"/>
      <c r="E555" s="15"/>
      <c r="F555" s="24">
        <f>Source!AN327</f>
        <v>621.89</v>
      </c>
      <c r="G555" s="23" t="str">
        <f>Source!DF327</f>
        <v/>
      </c>
      <c r="H555" s="15">
        <f>Source!AV327</f>
        <v>1</v>
      </c>
      <c r="I555" s="15">
        <f>IF(Source!BS327&lt;&gt; 0, Source!BS327, 1)</f>
        <v>1</v>
      </c>
      <c r="J555" s="27">
        <f>Source!R327</f>
        <v>14856.95</v>
      </c>
      <c r="K555" s="29"/>
    </row>
    <row r="556" spans="1:22">
      <c r="A556" s="20"/>
      <c r="B556" s="21"/>
      <c r="C556" s="21" t="s">
        <v>586</v>
      </c>
      <c r="D556" s="22"/>
      <c r="E556" s="15"/>
      <c r="F556" s="24">
        <f>Source!AL327</f>
        <v>62.99</v>
      </c>
      <c r="G556" s="23" t="str">
        <f>Source!DD327</f>
        <v/>
      </c>
      <c r="H556" s="15">
        <f>Source!AW327</f>
        <v>1</v>
      </c>
      <c r="I556" s="15">
        <f>IF(Source!BC327&lt;&gt; 0, Source!BC327, 1)</f>
        <v>1</v>
      </c>
      <c r="J556" s="29">
        <f>Source!P327</f>
        <v>1504.83</v>
      </c>
      <c r="K556" s="29"/>
    </row>
    <row r="557" spans="1:22">
      <c r="A557" s="20"/>
      <c r="B557" s="21"/>
      <c r="C557" s="21" t="s">
        <v>580</v>
      </c>
      <c r="D557" s="22" t="s">
        <v>581</v>
      </c>
      <c r="E557" s="15">
        <f>Source!AT327</f>
        <v>80</v>
      </c>
      <c r="F557" s="24"/>
      <c r="G557" s="23"/>
      <c r="H557" s="15"/>
      <c r="I557" s="15"/>
      <c r="J557" s="29">
        <f>SUM(R552:R556)</f>
        <v>16444.150000000001</v>
      </c>
      <c r="K557" s="29"/>
    </row>
    <row r="558" spans="1:22">
      <c r="A558" s="20"/>
      <c r="B558" s="21"/>
      <c r="C558" s="21" t="s">
        <v>582</v>
      </c>
      <c r="D558" s="22" t="s">
        <v>581</v>
      </c>
      <c r="E558" s="15">
        <f>Source!AU327</f>
        <v>10</v>
      </c>
      <c r="F558" s="24"/>
      <c r="G558" s="23"/>
      <c r="H558" s="15"/>
      <c r="I558" s="15"/>
      <c r="J558" s="29">
        <f>SUM(T552:T557)</f>
        <v>2055.52</v>
      </c>
      <c r="K558" s="29"/>
    </row>
    <row r="559" spans="1:22">
      <c r="A559" s="20"/>
      <c r="B559" s="21"/>
      <c r="C559" s="21" t="s">
        <v>583</v>
      </c>
      <c r="D559" s="22" t="s">
        <v>581</v>
      </c>
      <c r="E559" s="15">
        <f>108</f>
        <v>108</v>
      </c>
      <c r="F559" s="24"/>
      <c r="G559" s="23"/>
      <c r="H559" s="15"/>
      <c r="I559" s="15"/>
      <c r="J559" s="29">
        <f>SUM(V552:V558)</f>
        <v>16045.51</v>
      </c>
      <c r="K559" s="29"/>
    </row>
    <row r="560" spans="1:22">
      <c r="A560" s="20"/>
      <c r="B560" s="21"/>
      <c r="C560" s="21" t="s">
        <v>584</v>
      </c>
      <c r="D560" s="22" t="s">
        <v>585</v>
      </c>
      <c r="E560" s="15">
        <f>Source!AQ327</f>
        <v>3.94</v>
      </c>
      <c r="F560" s="24"/>
      <c r="G560" s="23" t="str">
        <f>Source!DI327</f>
        <v/>
      </c>
      <c r="H560" s="15">
        <f>Source!AV327</f>
        <v>1</v>
      </c>
      <c r="I560" s="15"/>
      <c r="J560" s="29"/>
      <c r="K560" s="29">
        <f>Source!U327</f>
        <v>94.126599999999996</v>
      </c>
    </row>
    <row r="561" spans="1:32" ht="15">
      <c r="A561" s="50"/>
      <c r="B561" s="50"/>
      <c r="C561" s="50"/>
      <c r="D561" s="53"/>
      <c r="E561" s="50"/>
      <c r="F561" s="50"/>
      <c r="G561" s="50"/>
      <c r="H561" s="50"/>
      <c r="I561" s="91">
        <f>J553+J554+J556+J557+J558+J559</f>
        <v>87387.94</v>
      </c>
      <c r="J561" s="91"/>
      <c r="K561" s="31">
        <f>IF(Source!I327&lt;&gt;0, ROUND(I561/Source!I327, 2), 0)</f>
        <v>3657.93</v>
      </c>
      <c r="P561" s="51">
        <f>I561</f>
        <v>87387.94</v>
      </c>
    </row>
    <row r="562" spans="1:32" hidden="1"/>
    <row r="563" spans="1:32" ht="15" hidden="1">
      <c r="A563" s="95" t="str">
        <f>CONCATENATE("Итого по разделу: ",IF(Source!G329&lt;&gt;"Новый раздел", Source!G329, ""))</f>
        <v>Итого по разделу: Стелла " Чертаново Центральное"</v>
      </c>
      <c r="B563" s="95"/>
      <c r="C563" s="95"/>
      <c r="D563" s="95"/>
      <c r="E563" s="95"/>
      <c r="F563" s="95"/>
      <c r="G563" s="95"/>
      <c r="H563" s="95"/>
      <c r="I563" s="93">
        <f>SUM(P397:P562)</f>
        <v>996586.1399999999</v>
      </c>
      <c r="J563" s="94"/>
      <c r="K563" s="33"/>
    </row>
    <row r="564" spans="1:32" hidden="1"/>
    <row r="565" spans="1:32" hidden="1">
      <c r="C565" s="88" t="str">
        <f>Source!H357</f>
        <v>Итого</v>
      </c>
      <c r="D565" s="88"/>
      <c r="E565" s="88"/>
      <c r="F565" s="88"/>
      <c r="G565" s="88"/>
      <c r="H565" s="88"/>
      <c r="I565" s="92">
        <f>IF(Source!F357=0, "", Source!F357)</f>
        <v>996586.14</v>
      </c>
      <c r="J565" s="92"/>
    </row>
    <row r="566" spans="1:32" hidden="1">
      <c r="C566" s="88" t="str">
        <f>Source!H358</f>
        <v>НДС 20%</v>
      </c>
      <c r="D566" s="88"/>
      <c r="E566" s="88"/>
      <c r="F566" s="88"/>
      <c r="G566" s="88"/>
      <c r="H566" s="88"/>
      <c r="I566" s="92">
        <f>IF(Source!F358=0, "", Source!F358)</f>
        <v>199317.23</v>
      </c>
      <c r="J566" s="92"/>
    </row>
    <row r="567" spans="1:32" hidden="1">
      <c r="C567" s="88" t="str">
        <f>Source!H359</f>
        <v>Всего с НДС</v>
      </c>
      <c r="D567" s="88"/>
      <c r="E567" s="88"/>
      <c r="F567" s="88"/>
      <c r="G567" s="88"/>
      <c r="H567" s="88"/>
      <c r="I567" s="92">
        <f>IF(Source!F359=0, "", Source!F359)</f>
        <v>1195903.3700000001</v>
      </c>
      <c r="J567" s="92"/>
    </row>
    <row r="570" spans="1:32" ht="45.75" customHeight="1">
      <c r="A570" s="95" t="str">
        <f>CONCATENATE("Итого по локальной смете: ",IF(Source!G361&lt;&gt;"Новая локальная смета", Source!G361, ""))</f>
        <v>Итого по локальной смете: 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  <c r="B570" s="95"/>
      <c r="C570" s="95"/>
      <c r="D570" s="95"/>
      <c r="E570" s="95"/>
      <c r="F570" s="95"/>
      <c r="G570" s="95"/>
      <c r="H570" s="95"/>
      <c r="I570" s="93">
        <f>SUM(P31:P568)</f>
        <v>1991088.3300000003</v>
      </c>
      <c r="J570" s="94"/>
      <c r="K570" s="33"/>
      <c r="AF570" s="34" t="str">
        <f>CONCATENATE("Итого по локальной смете: ",IF(Source!G361&lt;&gt;"Новая локальная смета", Source!G361, ""))</f>
        <v>Итого по локальной смете: 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</row>
    <row r="571" spans="1:32">
      <c r="C571" s="88" t="str">
        <f>Source!H418</f>
        <v>Итого</v>
      </c>
      <c r="D571" s="88"/>
      <c r="E571" s="88"/>
      <c r="F571" s="88"/>
      <c r="G571" s="88"/>
      <c r="H571" s="88"/>
      <c r="I571" s="92">
        <f>IF(Source!F418=0, "", Source!F418)</f>
        <v>1991088.33</v>
      </c>
      <c r="J571" s="92"/>
    </row>
    <row r="572" spans="1:32">
      <c r="C572" s="88" t="str">
        <f>Source!H419</f>
        <v>НДС 20%</v>
      </c>
      <c r="D572" s="88"/>
      <c r="E572" s="88"/>
      <c r="F572" s="88"/>
      <c r="G572" s="88"/>
      <c r="H572" s="88"/>
      <c r="I572" s="92">
        <f>IF(Source!F419=0, "", Source!F419)</f>
        <v>398217.67</v>
      </c>
      <c r="J572" s="92"/>
    </row>
    <row r="573" spans="1:32">
      <c r="C573" s="88" t="str">
        <f>Source!H420</f>
        <v>Всего с НДС</v>
      </c>
      <c r="D573" s="88"/>
      <c r="E573" s="88"/>
      <c r="F573" s="88"/>
      <c r="G573" s="88"/>
      <c r="H573" s="88"/>
      <c r="I573" s="92">
        <f>IF(Source!F420=0, "", Source!F420)</f>
        <v>2389306</v>
      </c>
      <c r="J573" s="92"/>
    </row>
    <row r="574" spans="1:32" ht="15">
      <c r="C574" s="55" t="str">
        <f>Source!H421</f>
        <v>Итого с коэффициентом оптимизации</v>
      </c>
      <c r="D574" s="56" t="s">
        <v>678</v>
      </c>
      <c r="E574" s="98">
        <f>I574/I573</f>
        <v>0.93257914641322637</v>
      </c>
      <c r="F574" s="98"/>
      <c r="G574" s="55"/>
      <c r="H574" s="55"/>
      <c r="I574" s="93">
        <f>IF(Source!F421=0, "", Source!F421)</f>
        <v>2228216.9500000002</v>
      </c>
      <c r="J574" s="93"/>
    </row>
    <row r="577" spans="1:8">
      <c r="A577" s="96" t="s">
        <v>588</v>
      </c>
      <c r="B577" s="96"/>
      <c r="C577" s="35" t="str">
        <f>IF(Source!AC12&lt;&gt;"", Source!AC12," ")</f>
        <v xml:space="preserve"> </v>
      </c>
      <c r="D577" s="54"/>
      <c r="E577" s="35"/>
      <c r="F577" s="35"/>
      <c r="G577" s="35"/>
      <c r="H577" s="10" t="str">
        <f>IF(Source!AB12&lt;&gt;"", Source!AB12," ")</f>
        <v xml:space="preserve"> </v>
      </c>
    </row>
    <row r="578" spans="1:8">
      <c r="C578" s="97" t="s">
        <v>589</v>
      </c>
      <c r="D578" s="97"/>
      <c r="E578" s="97"/>
      <c r="F578" s="97"/>
      <c r="G578" s="97"/>
    </row>
    <row r="580" spans="1:8">
      <c r="A580" s="96" t="s">
        <v>590</v>
      </c>
      <c r="B580" s="96"/>
      <c r="C580" s="35" t="str">
        <f>IF(Source!AE12&lt;&gt;"", Source!AE12," ")</f>
        <v xml:space="preserve"> </v>
      </c>
      <c r="D580" s="54"/>
      <c r="E580" s="35"/>
      <c r="F580" s="35"/>
      <c r="G580" s="35"/>
      <c r="H580" s="10" t="str">
        <f>IF(Source!AD12&lt;&gt;"", Source!AD12," ")</f>
        <v xml:space="preserve"> </v>
      </c>
    </row>
    <row r="581" spans="1:8">
      <c r="C581" s="97" t="s">
        <v>589</v>
      </c>
      <c r="D581" s="97"/>
      <c r="E581" s="97"/>
      <c r="F581" s="97"/>
      <c r="G581" s="97"/>
    </row>
  </sheetData>
  <mergeCells count="165">
    <mergeCell ref="I574:J574"/>
    <mergeCell ref="A577:B577"/>
    <mergeCell ref="C578:G578"/>
    <mergeCell ref="A580:B580"/>
    <mergeCell ref="C581:G581"/>
    <mergeCell ref="C571:H571"/>
    <mergeCell ref="I571:J571"/>
    <mergeCell ref="C572:H572"/>
    <mergeCell ref="I572:J572"/>
    <mergeCell ref="C573:H573"/>
    <mergeCell ref="I573:J573"/>
    <mergeCell ref="E574:F574"/>
    <mergeCell ref="C567:H567"/>
    <mergeCell ref="I567:J567"/>
    <mergeCell ref="I570:J570"/>
    <mergeCell ref="A570:H570"/>
    <mergeCell ref="I561:J561"/>
    <mergeCell ref="I563:J563"/>
    <mergeCell ref="A563:H563"/>
    <mergeCell ref="C565:H565"/>
    <mergeCell ref="I565:J565"/>
    <mergeCell ref="C566:H566"/>
    <mergeCell ref="I566:J566"/>
    <mergeCell ref="I508:J508"/>
    <mergeCell ref="I521:J521"/>
    <mergeCell ref="I527:J527"/>
    <mergeCell ref="I535:J535"/>
    <mergeCell ref="I543:J543"/>
    <mergeCell ref="I551:J551"/>
    <mergeCell ref="I449:J449"/>
    <mergeCell ref="I460:J460"/>
    <mergeCell ref="I468:J468"/>
    <mergeCell ref="I476:J476"/>
    <mergeCell ref="I483:J483"/>
    <mergeCell ref="I495:J495"/>
    <mergeCell ref="A397:K397"/>
    <mergeCell ref="I404:J404"/>
    <mergeCell ref="I414:J414"/>
    <mergeCell ref="I420:J420"/>
    <mergeCell ref="I427:J427"/>
    <mergeCell ref="I438:J438"/>
    <mergeCell ref="C393:H393"/>
    <mergeCell ref="I393:J393"/>
    <mergeCell ref="C394:H394"/>
    <mergeCell ref="I394:J394"/>
    <mergeCell ref="C395:H395"/>
    <mergeCell ref="I395:J395"/>
    <mergeCell ref="A354:K354"/>
    <mergeCell ref="I365:J365"/>
    <mergeCell ref="I373:J373"/>
    <mergeCell ref="I381:J381"/>
    <mergeCell ref="I389:J389"/>
    <mergeCell ref="I391:J391"/>
    <mergeCell ref="A391:H391"/>
    <mergeCell ref="C350:H350"/>
    <mergeCell ref="I350:J350"/>
    <mergeCell ref="C351:H351"/>
    <mergeCell ref="I351:J351"/>
    <mergeCell ref="C352:H352"/>
    <mergeCell ref="I352:J352"/>
    <mergeCell ref="A319:K319"/>
    <mergeCell ref="I327:J327"/>
    <mergeCell ref="I335:J335"/>
    <mergeCell ref="I346:J346"/>
    <mergeCell ref="I348:J348"/>
    <mergeCell ref="A348:H348"/>
    <mergeCell ref="A313:H313"/>
    <mergeCell ref="C315:H315"/>
    <mergeCell ref="I315:J315"/>
    <mergeCell ref="C316:H316"/>
    <mergeCell ref="I316:J316"/>
    <mergeCell ref="C317:H317"/>
    <mergeCell ref="I317:J317"/>
    <mergeCell ref="I271:J271"/>
    <mergeCell ref="I282:J282"/>
    <mergeCell ref="I288:J288"/>
    <mergeCell ref="I295:J295"/>
    <mergeCell ref="I311:J311"/>
    <mergeCell ref="I313:J313"/>
    <mergeCell ref="A218:K218"/>
    <mergeCell ref="I229:J229"/>
    <mergeCell ref="I237:J237"/>
    <mergeCell ref="I243:J243"/>
    <mergeCell ref="I250:J250"/>
    <mergeCell ref="I263:J263"/>
    <mergeCell ref="C214:H214"/>
    <mergeCell ref="I214:J214"/>
    <mergeCell ref="C215:H215"/>
    <mergeCell ref="I215:J215"/>
    <mergeCell ref="C216:H216"/>
    <mergeCell ref="I216:J216"/>
    <mergeCell ref="I185:J185"/>
    <mergeCell ref="I191:J191"/>
    <mergeCell ref="I198:J198"/>
    <mergeCell ref="I210:J210"/>
    <mergeCell ref="I212:J212"/>
    <mergeCell ref="A212:H212"/>
    <mergeCell ref="C163:H163"/>
    <mergeCell ref="I163:J163"/>
    <mergeCell ref="C164:H164"/>
    <mergeCell ref="I164:J164"/>
    <mergeCell ref="A166:K166"/>
    <mergeCell ref="I177:J177"/>
    <mergeCell ref="I140:J140"/>
    <mergeCell ref="I158:J158"/>
    <mergeCell ref="I160:J160"/>
    <mergeCell ref="A160:H160"/>
    <mergeCell ref="C162:H162"/>
    <mergeCell ref="I162:J162"/>
    <mergeCell ref="C106:H106"/>
    <mergeCell ref="I106:J106"/>
    <mergeCell ref="A108:K108"/>
    <mergeCell ref="I119:J119"/>
    <mergeCell ref="I127:J127"/>
    <mergeCell ref="I133:J133"/>
    <mergeCell ref="I102:J102"/>
    <mergeCell ref="A102:H102"/>
    <mergeCell ref="C104:H104"/>
    <mergeCell ref="I104:J104"/>
    <mergeCell ref="C105:H105"/>
    <mergeCell ref="I105:J105"/>
    <mergeCell ref="I57:J57"/>
    <mergeCell ref="I64:J64"/>
    <mergeCell ref="I72:J72"/>
    <mergeCell ref="I80:J80"/>
    <mergeCell ref="I91:J91"/>
    <mergeCell ref="I100:J100"/>
    <mergeCell ref="I26:I28"/>
    <mergeCell ref="J26:J28"/>
    <mergeCell ref="I40:J40"/>
    <mergeCell ref="I50:J50"/>
    <mergeCell ref="F24:H24"/>
    <mergeCell ref="I24:J24"/>
    <mergeCell ref="A26:A28"/>
    <mergeCell ref="B26:B28"/>
    <mergeCell ref="C26:C28"/>
    <mergeCell ref="D26:D28"/>
    <mergeCell ref="E26:E28"/>
    <mergeCell ref="F26:F28"/>
    <mergeCell ref="G26:G28"/>
    <mergeCell ref="H26:H28"/>
    <mergeCell ref="F21:H21"/>
    <mergeCell ref="I21:J21"/>
    <mergeCell ref="F22:H22"/>
    <mergeCell ref="I22:J22"/>
    <mergeCell ref="F23:H23"/>
    <mergeCell ref="I23:J23"/>
    <mergeCell ref="A14:K14"/>
    <mergeCell ref="A15:K15"/>
    <mergeCell ref="A17:K17"/>
    <mergeCell ref="F19:H19"/>
    <mergeCell ref="I19:J19"/>
    <mergeCell ref="F20:H20"/>
    <mergeCell ref="I20:J20"/>
    <mergeCell ref="B7:E7"/>
    <mergeCell ref="G7:K7"/>
    <mergeCell ref="J1:K1"/>
    <mergeCell ref="A10:K10"/>
    <mergeCell ref="A12:K12"/>
    <mergeCell ref="B3:E3"/>
    <mergeCell ref="G3:K3"/>
    <mergeCell ref="B4:E4"/>
    <mergeCell ref="G4:K4"/>
    <mergeCell ref="B6:E6"/>
    <mergeCell ref="G6:K6"/>
  </mergeCells>
  <pageMargins left="0.39370078740157483" right="0.19685039370078741" top="0.39370078740157483" bottom="0.39370078740157483" header="0.19685039370078741" footer="0.19685039370078741"/>
  <pageSetup paperSize="9" scale="57" fitToHeight="0" orientation="portrait" horizontalDpi="0" verticalDpi="0" r:id="rId1"/>
  <headerFooter>
    <oddHeader>&amp;L&amp;8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R188"/>
  <sheetViews>
    <sheetView workbookViewId="0"/>
  </sheetViews>
  <sheetFormatPr defaultColWidth="9.140625" defaultRowHeight="12.75"/>
  <cols>
    <col min="1" max="256" width="9.140625" customWidth="1"/>
  </cols>
  <sheetData>
    <row r="1" spans="1:44">
      <c r="A1">
        <f>ROW(Source!A28)</f>
        <v>28</v>
      </c>
      <c r="B1">
        <v>42224971</v>
      </c>
      <c r="C1">
        <v>42224968</v>
      </c>
      <c r="D1">
        <v>38786840</v>
      </c>
      <c r="E1">
        <v>27</v>
      </c>
      <c r="F1">
        <v>1</v>
      </c>
      <c r="G1">
        <v>27</v>
      </c>
      <c r="H1">
        <v>1</v>
      </c>
      <c r="I1" t="s">
        <v>339</v>
      </c>
      <c r="J1" t="s">
        <v>3</v>
      </c>
      <c r="K1" t="s">
        <v>340</v>
      </c>
      <c r="L1">
        <v>1191</v>
      </c>
      <c r="N1">
        <v>1013</v>
      </c>
      <c r="O1" t="s">
        <v>341</v>
      </c>
      <c r="P1" t="s">
        <v>341</v>
      </c>
      <c r="Q1">
        <v>1</v>
      </c>
      <c r="X1">
        <v>41.38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41.38</v>
      </c>
      <c r="AH1">
        <v>2</v>
      </c>
      <c r="AI1">
        <v>42224969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>
      <c r="A2">
        <f>ROW(Source!A28)</f>
        <v>28</v>
      </c>
      <c r="B2">
        <v>42224972</v>
      </c>
      <c r="C2">
        <v>42224968</v>
      </c>
      <c r="D2">
        <v>38799022</v>
      </c>
      <c r="E2">
        <v>1</v>
      </c>
      <c r="F2">
        <v>1</v>
      </c>
      <c r="G2">
        <v>27</v>
      </c>
      <c r="H2">
        <v>2</v>
      </c>
      <c r="I2" t="s">
        <v>342</v>
      </c>
      <c r="J2" t="s">
        <v>343</v>
      </c>
      <c r="K2" t="s">
        <v>344</v>
      </c>
      <c r="L2">
        <v>1368</v>
      </c>
      <c r="N2">
        <v>1011</v>
      </c>
      <c r="O2" t="s">
        <v>345</v>
      </c>
      <c r="P2" t="s">
        <v>345</v>
      </c>
      <c r="Q2">
        <v>1</v>
      </c>
      <c r="X2">
        <v>1.84</v>
      </c>
      <c r="Y2">
        <v>0</v>
      </c>
      <c r="Z2">
        <v>812.16</v>
      </c>
      <c r="AA2">
        <v>448.48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1.84</v>
      </c>
      <c r="AH2">
        <v>2</v>
      </c>
      <c r="AI2">
        <v>42224970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>
      <c r="A3">
        <f>ROW(Source!A29)</f>
        <v>29</v>
      </c>
      <c r="B3">
        <v>42224976</v>
      </c>
      <c r="C3">
        <v>42224973</v>
      </c>
      <c r="D3">
        <v>38786840</v>
      </c>
      <c r="E3">
        <v>27</v>
      </c>
      <c r="F3">
        <v>1</v>
      </c>
      <c r="G3">
        <v>27</v>
      </c>
      <c r="H3">
        <v>1</v>
      </c>
      <c r="I3" t="s">
        <v>339</v>
      </c>
      <c r="J3" t="s">
        <v>3</v>
      </c>
      <c r="K3" t="s">
        <v>340</v>
      </c>
      <c r="L3">
        <v>1191</v>
      </c>
      <c r="N3">
        <v>1013</v>
      </c>
      <c r="O3" t="s">
        <v>341</v>
      </c>
      <c r="P3" t="s">
        <v>341</v>
      </c>
      <c r="Q3">
        <v>1</v>
      </c>
      <c r="X3">
        <v>8.27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 t="s">
        <v>3</v>
      </c>
      <c r="AG3">
        <v>8.27</v>
      </c>
      <c r="AH3">
        <v>2</v>
      </c>
      <c r="AI3">
        <v>42224974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>
      <c r="A4">
        <f>ROW(Source!A29)</f>
        <v>29</v>
      </c>
      <c r="B4">
        <v>42224977</v>
      </c>
      <c r="C4">
        <v>42224973</v>
      </c>
      <c r="D4">
        <v>38799022</v>
      </c>
      <c r="E4">
        <v>1</v>
      </c>
      <c r="F4">
        <v>1</v>
      </c>
      <c r="G4">
        <v>27</v>
      </c>
      <c r="H4">
        <v>2</v>
      </c>
      <c r="I4" t="s">
        <v>342</v>
      </c>
      <c r="J4" t="s">
        <v>343</v>
      </c>
      <c r="K4" t="s">
        <v>344</v>
      </c>
      <c r="L4">
        <v>1368</v>
      </c>
      <c r="N4">
        <v>1011</v>
      </c>
      <c r="O4" t="s">
        <v>345</v>
      </c>
      <c r="P4" t="s">
        <v>345</v>
      </c>
      <c r="Q4">
        <v>1</v>
      </c>
      <c r="X4">
        <v>0.46</v>
      </c>
      <c r="Y4">
        <v>0</v>
      </c>
      <c r="Z4">
        <v>812.16</v>
      </c>
      <c r="AA4">
        <v>448.48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0.46</v>
      </c>
      <c r="AH4">
        <v>2</v>
      </c>
      <c r="AI4">
        <v>42224975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>
      <c r="A5">
        <f>ROW(Source!A30)</f>
        <v>30</v>
      </c>
      <c r="B5">
        <v>42224980</v>
      </c>
      <c r="C5">
        <v>42224978</v>
      </c>
      <c r="D5">
        <v>38786840</v>
      </c>
      <c r="E5">
        <v>27</v>
      </c>
      <c r="F5">
        <v>1</v>
      </c>
      <c r="G5">
        <v>27</v>
      </c>
      <c r="H5">
        <v>1</v>
      </c>
      <c r="I5" t="s">
        <v>339</v>
      </c>
      <c r="J5" t="s">
        <v>3</v>
      </c>
      <c r="K5" t="s">
        <v>340</v>
      </c>
      <c r="L5">
        <v>1191</v>
      </c>
      <c r="N5">
        <v>1013</v>
      </c>
      <c r="O5" t="s">
        <v>341</v>
      </c>
      <c r="P5" t="s">
        <v>341</v>
      </c>
      <c r="Q5">
        <v>1</v>
      </c>
      <c r="X5">
        <v>85.94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 t="s">
        <v>3</v>
      </c>
      <c r="AG5">
        <v>85.94</v>
      </c>
      <c r="AH5">
        <v>2</v>
      </c>
      <c r="AI5">
        <v>42224979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>
      <c r="A6">
        <f>ROW(Source!A31)</f>
        <v>31</v>
      </c>
      <c r="B6">
        <v>42224983</v>
      </c>
      <c r="C6">
        <v>42224981</v>
      </c>
      <c r="D6">
        <v>38786840</v>
      </c>
      <c r="E6">
        <v>27</v>
      </c>
      <c r="F6">
        <v>1</v>
      </c>
      <c r="G6">
        <v>27</v>
      </c>
      <c r="H6">
        <v>1</v>
      </c>
      <c r="I6" t="s">
        <v>339</v>
      </c>
      <c r="J6" t="s">
        <v>3</v>
      </c>
      <c r="K6" t="s">
        <v>340</v>
      </c>
      <c r="L6">
        <v>1191</v>
      </c>
      <c r="N6">
        <v>1013</v>
      </c>
      <c r="O6" t="s">
        <v>341</v>
      </c>
      <c r="P6" t="s">
        <v>341</v>
      </c>
      <c r="Q6">
        <v>1</v>
      </c>
      <c r="X6">
        <v>21.48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 t="s">
        <v>3</v>
      </c>
      <c r="AG6">
        <v>21.48</v>
      </c>
      <c r="AH6">
        <v>2</v>
      </c>
      <c r="AI6">
        <v>42224982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>
      <c r="A7">
        <f>ROW(Source!A32)</f>
        <v>32</v>
      </c>
      <c r="B7">
        <v>42224987</v>
      </c>
      <c r="C7">
        <v>42224984</v>
      </c>
      <c r="D7">
        <v>38786840</v>
      </c>
      <c r="E7">
        <v>27</v>
      </c>
      <c r="F7">
        <v>1</v>
      </c>
      <c r="G7">
        <v>27</v>
      </c>
      <c r="H7">
        <v>1</v>
      </c>
      <c r="I7" t="s">
        <v>339</v>
      </c>
      <c r="J7" t="s">
        <v>3</v>
      </c>
      <c r="K7" t="s">
        <v>340</v>
      </c>
      <c r="L7">
        <v>1191</v>
      </c>
      <c r="N7">
        <v>1013</v>
      </c>
      <c r="O7" t="s">
        <v>341</v>
      </c>
      <c r="P7" t="s">
        <v>341</v>
      </c>
      <c r="Q7">
        <v>1</v>
      </c>
      <c r="X7">
        <v>53.7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 t="s">
        <v>3</v>
      </c>
      <c r="AG7">
        <v>53.7</v>
      </c>
      <c r="AH7">
        <v>2</v>
      </c>
      <c r="AI7">
        <v>42224985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>
      <c r="A8">
        <f>ROW(Source!A32)</f>
        <v>32</v>
      </c>
      <c r="B8">
        <v>42224988</v>
      </c>
      <c r="C8">
        <v>42224984</v>
      </c>
      <c r="D8">
        <v>38803640</v>
      </c>
      <c r="E8">
        <v>1</v>
      </c>
      <c r="F8">
        <v>1</v>
      </c>
      <c r="G8">
        <v>27</v>
      </c>
      <c r="H8">
        <v>3</v>
      </c>
      <c r="I8" t="s">
        <v>346</v>
      </c>
      <c r="J8" t="s">
        <v>347</v>
      </c>
      <c r="K8" t="s">
        <v>348</v>
      </c>
      <c r="L8">
        <v>1339</v>
      </c>
      <c r="N8">
        <v>1007</v>
      </c>
      <c r="O8" t="s">
        <v>349</v>
      </c>
      <c r="P8" t="s">
        <v>349</v>
      </c>
      <c r="Q8">
        <v>1</v>
      </c>
      <c r="X8">
        <v>20</v>
      </c>
      <c r="Y8">
        <v>753.67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20</v>
      </c>
      <c r="AH8">
        <v>2</v>
      </c>
      <c r="AI8">
        <v>42224986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>
      <c r="A9">
        <f>ROW(Source!A33)</f>
        <v>33</v>
      </c>
      <c r="B9">
        <v>42224992</v>
      </c>
      <c r="C9">
        <v>42224989</v>
      </c>
      <c r="D9">
        <v>38786840</v>
      </c>
      <c r="E9">
        <v>27</v>
      </c>
      <c r="F9">
        <v>1</v>
      </c>
      <c r="G9">
        <v>27</v>
      </c>
      <c r="H9">
        <v>1</v>
      </c>
      <c r="I9" t="s">
        <v>339</v>
      </c>
      <c r="J9" t="s">
        <v>3</v>
      </c>
      <c r="K9" t="s">
        <v>340</v>
      </c>
      <c r="L9">
        <v>1191</v>
      </c>
      <c r="N9">
        <v>1013</v>
      </c>
      <c r="O9" t="s">
        <v>341</v>
      </c>
      <c r="P9" t="s">
        <v>341</v>
      </c>
      <c r="Q9">
        <v>1</v>
      </c>
      <c r="X9">
        <v>6.23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 t="s">
        <v>43</v>
      </c>
      <c r="AG9">
        <v>12.46</v>
      </c>
      <c r="AH9">
        <v>2</v>
      </c>
      <c r="AI9">
        <v>42224990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>
      <c r="A10">
        <f>ROW(Source!A33)</f>
        <v>33</v>
      </c>
      <c r="B10">
        <v>42224993</v>
      </c>
      <c r="C10">
        <v>42224989</v>
      </c>
      <c r="D10">
        <v>38803640</v>
      </c>
      <c r="E10">
        <v>1</v>
      </c>
      <c r="F10">
        <v>1</v>
      </c>
      <c r="G10">
        <v>27</v>
      </c>
      <c r="H10">
        <v>3</v>
      </c>
      <c r="I10" t="s">
        <v>346</v>
      </c>
      <c r="J10" t="s">
        <v>347</v>
      </c>
      <c r="K10" t="s">
        <v>348</v>
      </c>
      <c r="L10">
        <v>1339</v>
      </c>
      <c r="N10">
        <v>1007</v>
      </c>
      <c r="O10" t="s">
        <v>349</v>
      </c>
      <c r="P10" t="s">
        <v>349</v>
      </c>
      <c r="Q10">
        <v>1</v>
      </c>
      <c r="X10">
        <v>5</v>
      </c>
      <c r="Y10">
        <v>753.67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 t="s">
        <v>43</v>
      </c>
      <c r="AG10">
        <v>10</v>
      </c>
      <c r="AH10">
        <v>2</v>
      </c>
      <c r="AI10">
        <v>42224991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>
      <c r="A11">
        <f>ROW(Source!A34)</f>
        <v>34</v>
      </c>
      <c r="B11">
        <v>42225003</v>
      </c>
      <c r="C11">
        <v>42224994</v>
      </c>
      <c r="D11">
        <v>38786840</v>
      </c>
      <c r="E11">
        <v>27</v>
      </c>
      <c r="F11">
        <v>1</v>
      </c>
      <c r="G11">
        <v>27</v>
      </c>
      <c r="H11">
        <v>1</v>
      </c>
      <c r="I11" t="s">
        <v>339</v>
      </c>
      <c r="J11" t="s">
        <v>3</v>
      </c>
      <c r="K11" t="s">
        <v>340</v>
      </c>
      <c r="L11">
        <v>1191</v>
      </c>
      <c r="N11">
        <v>1013</v>
      </c>
      <c r="O11" t="s">
        <v>341</v>
      </c>
      <c r="P11" t="s">
        <v>341</v>
      </c>
      <c r="Q11">
        <v>1</v>
      </c>
      <c r="X11">
        <v>155.26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 t="s">
        <v>3</v>
      </c>
      <c r="AG11">
        <v>155.26</v>
      </c>
      <c r="AH11">
        <v>2</v>
      </c>
      <c r="AI11">
        <v>42224995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>
      <c r="A12">
        <f>ROW(Source!A34)</f>
        <v>34</v>
      </c>
      <c r="B12">
        <v>42225004</v>
      </c>
      <c r="C12">
        <v>42224994</v>
      </c>
      <c r="D12">
        <v>38801771</v>
      </c>
      <c r="E12">
        <v>1</v>
      </c>
      <c r="F12">
        <v>1</v>
      </c>
      <c r="G12">
        <v>27</v>
      </c>
      <c r="H12">
        <v>3</v>
      </c>
      <c r="I12" t="s">
        <v>350</v>
      </c>
      <c r="J12" t="s">
        <v>351</v>
      </c>
      <c r="K12" t="s">
        <v>352</v>
      </c>
      <c r="L12">
        <v>1346</v>
      </c>
      <c r="N12">
        <v>1009</v>
      </c>
      <c r="O12" t="s">
        <v>353</v>
      </c>
      <c r="P12" t="s">
        <v>353</v>
      </c>
      <c r="Q12">
        <v>1</v>
      </c>
      <c r="X12">
        <v>0.8</v>
      </c>
      <c r="Y12">
        <v>171.21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0.8</v>
      </c>
      <c r="AH12">
        <v>2</v>
      </c>
      <c r="AI12">
        <v>42224996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>
      <c r="A13">
        <f>ROW(Source!A34)</f>
        <v>34</v>
      </c>
      <c r="B13">
        <v>42225005</v>
      </c>
      <c r="C13">
        <v>42224994</v>
      </c>
      <c r="D13">
        <v>38801911</v>
      </c>
      <c r="E13">
        <v>1</v>
      </c>
      <c r="F13">
        <v>1</v>
      </c>
      <c r="G13">
        <v>27</v>
      </c>
      <c r="H13">
        <v>3</v>
      </c>
      <c r="I13" t="s">
        <v>354</v>
      </c>
      <c r="J13" t="s">
        <v>355</v>
      </c>
      <c r="K13" t="s">
        <v>356</v>
      </c>
      <c r="L13">
        <v>1339</v>
      </c>
      <c r="N13">
        <v>1007</v>
      </c>
      <c r="O13" t="s">
        <v>349</v>
      </c>
      <c r="P13" t="s">
        <v>349</v>
      </c>
      <c r="Q13">
        <v>1</v>
      </c>
      <c r="X13">
        <v>30</v>
      </c>
      <c r="Y13">
        <v>35.25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t="s">
        <v>3</v>
      </c>
      <c r="AG13">
        <v>30</v>
      </c>
      <c r="AH13">
        <v>2</v>
      </c>
      <c r="AI13">
        <v>42224997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>
      <c r="A14">
        <f>ROW(Source!A34)</f>
        <v>34</v>
      </c>
      <c r="B14">
        <v>42225006</v>
      </c>
      <c r="C14">
        <v>42224994</v>
      </c>
      <c r="D14">
        <v>38800613</v>
      </c>
      <c r="E14">
        <v>1</v>
      </c>
      <c r="F14">
        <v>1</v>
      </c>
      <c r="G14">
        <v>27</v>
      </c>
      <c r="H14">
        <v>3</v>
      </c>
      <c r="I14" t="s">
        <v>357</v>
      </c>
      <c r="J14" t="s">
        <v>358</v>
      </c>
      <c r="K14" t="s">
        <v>359</v>
      </c>
      <c r="L14">
        <v>1339</v>
      </c>
      <c r="N14">
        <v>1007</v>
      </c>
      <c r="O14" t="s">
        <v>349</v>
      </c>
      <c r="P14" t="s">
        <v>349</v>
      </c>
      <c r="Q14">
        <v>1</v>
      </c>
      <c r="X14">
        <v>8.0000000000000002E-3</v>
      </c>
      <c r="Y14">
        <v>7098.7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8.0000000000000002E-3</v>
      </c>
      <c r="AH14">
        <v>2</v>
      </c>
      <c r="AI14">
        <v>42224998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>
      <c r="A15">
        <f>ROW(Source!A34)</f>
        <v>34</v>
      </c>
      <c r="B15">
        <v>42225007</v>
      </c>
      <c r="C15">
        <v>42224994</v>
      </c>
      <c r="D15">
        <v>38803642</v>
      </c>
      <c r="E15">
        <v>1</v>
      </c>
      <c r="F15">
        <v>1</v>
      </c>
      <c r="G15">
        <v>27</v>
      </c>
      <c r="H15">
        <v>3</v>
      </c>
      <c r="I15" t="s">
        <v>360</v>
      </c>
      <c r="J15" t="s">
        <v>361</v>
      </c>
      <c r="K15" t="s">
        <v>362</v>
      </c>
      <c r="L15">
        <v>1339</v>
      </c>
      <c r="N15">
        <v>1007</v>
      </c>
      <c r="O15" t="s">
        <v>349</v>
      </c>
      <c r="P15" t="s">
        <v>349</v>
      </c>
      <c r="Q15">
        <v>1</v>
      </c>
      <c r="X15">
        <v>2</v>
      </c>
      <c r="Y15">
        <v>1105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2</v>
      </c>
      <c r="AH15">
        <v>2</v>
      </c>
      <c r="AI15">
        <v>42224999</v>
      </c>
      <c r="AJ15">
        <v>16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>
      <c r="A16">
        <f>ROW(Source!A34)</f>
        <v>34</v>
      </c>
      <c r="B16">
        <v>42225008</v>
      </c>
      <c r="C16">
        <v>42224994</v>
      </c>
      <c r="D16">
        <v>38786925</v>
      </c>
      <c r="E16">
        <v>27</v>
      </c>
      <c r="F16">
        <v>1</v>
      </c>
      <c r="G16">
        <v>27</v>
      </c>
      <c r="H16">
        <v>3</v>
      </c>
      <c r="I16" t="s">
        <v>49</v>
      </c>
      <c r="J16" t="s">
        <v>3</v>
      </c>
      <c r="K16" t="s">
        <v>50</v>
      </c>
      <c r="L16">
        <v>1354</v>
      </c>
      <c r="N16">
        <v>1010</v>
      </c>
      <c r="O16" t="s">
        <v>51</v>
      </c>
      <c r="P16" t="s">
        <v>51</v>
      </c>
      <c r="Q16">
        <v>1</v>
      </c>
      <c r="X16">
        <v>1680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3</v>
      </c>
      <c r="AG16">
        <v>1680</v>
      </c>
      <c r="AH16">
        <v>2</v>
      </c>
      <c r="AI16">
        <v>42225000</v>
      </c>
      <c r="AJ16">
        <v>17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>
      <c r="A17">
        <f>ROW(Source!A38)</f>
        <v>38</v>
      </c>
      <c r="B17">
        <v>42225017</v>
      </c>
      <c r="C17">
        <v>42225012</v>
      </c>
      <c r="D17">
        <v>38786840</v>
      </c>
      <c r="E17">
        <v>27</v>
      </c>
      <c r="F17">
        <v>1</v>
      </c>
      <c r="G17">
        <v>27</v>
      </c>
      <c r="H17">
        <v>1</v>
      </c>
      <c r="I17" t="s">
        <v>339</v>
      </c>
      <c r="J17" t="s">
        <v>3</v>
      </c>
      <c r="K17" t="s">
        <v>340</v>
      </c>
      <c r="L17">
        <v>1191</v>
      </c>
      <c r="N17">
        <v>1013</v>
      </c>
      <c r="O17" t="s">
        <v>341</v>
      </c>
      <c r="P17" t="s">
        <v>341</v>
      </c>
      <c r="Q17">
        <v>1</v>
      </c>
      <c r="X17">
        <v>7.91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 t="s">
        <v>63</v>
      </c>
      <c r="AG17">
        <v>4.6706666628999995</v>
      </c>
      <c r="AH17">
        <v>2</v>
      </c>
      <c r="AI17">
        <v>42225013</v>
      </c>
      <c r="AJ17">
        <v>19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>
      <c r="A18">
        <f>ROW(Source!A38)</f>
        <v>38</v>
      </c>
      <c r="B18">
        <v>42225018</v>
      </c>
      <c r="C18">
        <v>42225012</v>
      </c>
      <c r="D18">
        <v>38801771</v>
      </c>
      <c r="E18">
        <v>1</v>
      </c>
      <c r="F18">
        <v>1</v>
      </c>
      <c r="G18">
        <v>27</v>
      </c>
      <c r="H18">
        <v>3</v>
      </c>
      <c r="I18" t="s">
        <v>350</v>
      </c>
      <c r="J18" t="s">
        <v>351</v>
      </c>
      <c r="K18" t="s">
        <v>352</v>
      </c>
      <c r="L18">
        <v>1346</v>
      </c>
      <c r="N18">
        <v>1009</v>
      </c>
      <c r="O18" t="s">
        <v>353</v>
      </c>
      <c r="P18" t="s">
        <v>353</v>
      </c>
      <c r="Q18">
        <v>1</v>
      </c>
      <c r="X18">
        <v>0.5</v>
      </c>
      <c r="Y18">
        <v>171.21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 t="s">
        <v>63</v>
      </c>
      <c r="AG18">
        <v>0.29523809499999998</v>
      </c>
      <c r="AH18">
        <v>2</v>
      </c>
      <c r="AI18">
        <v>42225014</v>
      </c>
      <c r="AJ18">
        <v>20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>
      <c r="A19">
        <f>ROW(Source!A38)</f>
        <v>38</v>
      </c>
      <c r="B19">
        <v>42225019</v>
      </c>
      <c r="C19">
        <v>42225012</v>
      </c>
      <c r="D19">
        <v>38800613</v>
      </c>
      <c r="E19">
        <v>1</v>
      </c>
      <c r="F19">
        <v>1</v>
      </c>
      <c r="G19">
        <v>27</v>
      </c>
      <c r="H19">
        <v>3</v>
      </c>
      <c r="I19" t="s">
        <v>357</v>
      </c>
      <c r="J19" t="s">
        <v>358</v>
      </c>
      <c r="K19" t="s">
        <v>359</v>
      </c>
      <c r="L19">
        <v>1339</v>
      </c>
      <c r="N19">
        <v>1007</v>
      </c>
      <c r="O19" t="s">
        <v>349</v>
      </c>
      <c r="P19" t="s">
        <v>349</v>
      </c>
      <c r="Q19">
        <v>1</v>
      </c>
      <c r="X19">
        <v>5.0000000000000001E-3</v>
      </c>
      <c r="Y19">
        <v>7098.7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 t="s">
        <v>63</v>
      </c>
      <c r="AG19">
        <v>2.9523809499999998E-3</v>
      </c>
      <c r="AH19">
        <v>2</v>
      </c>
      <c r="AI19">
        <v>42225015</v>
      </c>
      <c r="AJ19">
        <v>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>
      <c r="A20">
        <f>ROW(Source!A38)</f>
        <v>38</v>
      </c>
      <c r="B20">
        <v>42225020</v>
      </c>
      <c r="C20">
        <v>42225012</v>
      </c>
      <c r="D20">
        <v>38786925</v>
      </c>
      <c r="E20">
        <v>27</v>
      </c>
      <c r="F20">
        <v>1</v>
      </c>
      <c r="G20">
        <v>27</v>
      </c>
      <c r="H20">
        <v>3</v>
      </c>
      <c r="I20" t="s">
        <v>49</v>
      </c>
      <c r="J20" t="s">
        <v>3</v>
      </c>
      <c r="K20" t="s">
        <v>50</v>
      </c>
      <c r="L20">
        <v>1354</v>
      </c>
      <c r="N20">
        <v>1010</v>
      </c>
      <c r="O20" t="s">
        <v>51</v>
      </c>
      <c r="P20" t="s">
        <v>51</v>
      </c>
      <c r="Q20">
        <v>1</v>
      </c>
      <c r="X20">
        <v>1050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t="s">
        <v>63</v>
      </c>
      <c r="AG20">
        <v>619.99999949999994</v>
      </c>
      <c r="AH20">
        <v>2</v>
      </c>
      <c r="AI20">
        <v>42225016</v>
      </c>
      <c r="AJ20">
        <v>22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>
      <c r="A21">
        <f>ROW(Source!A77)</f>
        <v>77</v>
      </c>
      <c r="B21">
        <v>42225028</v>
      </c>
      <c r="C21">
        <v>42225022</v>
      </c>
      <c r="D21">
        <v>38786840</v>
      </c>
      <c r="E21">
        <v>27</v>
      </c>
      <c r="F21">
        <v>1</v>
      </c>
      <c r="G21">
        <v>27</v>
      </c>
      <c r="H21">
        <v>1</v>
      </c>
      <c r="I21" t="s">
        <v>339</v>
      </c>
      <c r="J21" t="s">
        <v>3</v>
      </c>
      <c r="K21" t="s">
        <v>340</v>
      </c>
      <c r="L21">
        <v>1191</v>
      </c>
      <c r="N21">
        <v>1013</v>
      </c>
      <c r="O21" t="s">
        <v>341</v>
      </c>
      <c r="P21" t="s">
        <v>341</v>
      </c>
      <c r="Q21">
        <v>1</v>
      </c>
      <c r="X21">
        <v>11.11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 t="s">
        <v>3</v>
      </c>
      <c r="AG21">
        <v>11.11</v>
      </c>
      <c r="AH21">
        <v>2</v>
      </c>
      <c r="AI21">
        <v>42225023</v>
      </c>
      <c r="AJ21">
        <v>23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>
      <c r="A22">
        <f>ROW(Source!A77)</f>
        <v>77</v>
      </c>
      <c r="B22">
        <v>42225029</v>
      </c>
      <c r="C22">
        <v>42225022</v>
      </c>
      <c r="D22">
        <v>38799622</v>
      </c>
      <c r="E22">
        <v>1</v>
      </c>
      <c r="F22">
        <v>1</v>
      </c>
      <c r="G22">
        <v>27</v>
      </c>
      <c r="H22">
        <v>2</v>
      </c>
      <c r="I22" t="s">
        <v>363</v>
      </c>
      <c r="J22" t="s">
        <v>364</v>
      </c>
      <c r="K22" t="s">
        <v>365</v>
      </c>
      <c r="L22">
        <v>1368</v>
      </c>
      <c r="N22">
        <v>1011</v>
      </c>
      <c r="O22" t="s">
        <v>345</v>
      </c>
      <c r="P22" t="s">
        <v>345</v>
      </c>
      <c r="Q22">
        <v>1</v>
      </c>
      <c r="X22">
        <v>0.25</v>
      </c>
      <c r="Y22">
        <v>0</v>
      </c>
      <c r="Z22">
        <v>27.58</v>
      </c>
      <c r="AA22">
        <v>12.08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0.25</v>
      </c>
      <c r="AH22">
        <v>2</v>
      </c>
      <c r="AI22">
        <v>42225024</v>
      </c>
      <c r="AJ22">
        <v>24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>
      <c r="A23">
        <f>ROW(Source!A77)</f>
        <v>77</v>
      </c>
      <c r="B23">
        <v>42225030</v>
      </c>
      <c r="C23">
        <v>42225022</v>
      </c>
      <c r="D23">
        <v>38799061</v>
      </c>
      <c r="E23">
        <v>1</v>
      </c>
      <c r="F23">
        <v>1</v>
      </c>
      <c r="G23">
        <v>27</v>
      </c>
      <c r="H23">
        <v>2</v>
      </c>
      <c r="I23" t="s">
        <v>366</v>
      </c>
      <c r="J23" t="s">
        <v>367</v>
      </c>
      <c r="K23" t="s">
        <v>368</v>
      </c>
      <c r="L23">
        <v>1368</v>
      </c>
      <c r="N23">
        <v>1011</v>
      </c>
      <c r="O23" t="s">
        <v>345</v>
      </c>
      <c r="P23" t="s">
        <v>345</v>
      </c>
      <c r="Q23">
        <v>1</v>
      </c>
      <c r="X23">
        <v>0.25</v>
      </c>
      <c r="Y23">
        <v>0</v>
      </c>
      <c r="Z23">
        <v>991.89</v>
      </c>
      <c r="AA23">
        <v>360.79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0.25</v>
      </c>
      <c r="AH23">
        <v>2</v>
      </c>
      <c r="AI23">
        <v>42225025</v>
      </c>
      <c r="AJ23">
        <v>25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>
      <c r="A24">
        <f>ROW(Source!A77)</f>
        <v>77</v>
      </c>
      <c r="B24">
        <v>42225031</v>
      </c>
      <c r="C24">
        <v>42225022</v>
      </c>
      <c r="D24">
        <v>38803649</v>
      </c>
      <c r="E24">
        <v>1</v>
      </c>
      <c r="F24">
        <v>1</v>
      </c>
      <c r="G24">
        <v>27</v>
      </c>
      <c r="H24">
        <v>3</v>
      </c>
      <c r="I24" t="s">
        <v>369</v>
      </c>
      <c r="J24" t="s">
        <v>370</v>
      </c>
      <c r="K24" t="s">
        <v>371</v>
      </c>
      <c r="L24">
        <v>1339</v>
      </c>
      <c r="N24">
        <v>1007</v>
      </c>
      <c r="O24" t="s">
        <v>349</v>
      </c>
      <c r="P24" t="s">
        <v>349</v>
      </c>
      <c r="Q24">
        <v>1</v>
      </c>
      <c r="X24">
        <v>0.7</v>
      </c>
      <c r="Y24">
        <v>810.33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0.7</v>
      </c>
      <c r="AH24">
        <v>2</v>
      </c>
      <c r="AI24">
        <v>42225026</v>
      </c>
      <c r="AJ24">
        <v>26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>
      <c r="A25">
        <f>ROW(Source!A77)</f>
        <v>77</v>
      </c>
      <c r="B25">
        <v>42225032</v>
      </c>
      <c r="C25">
        <v>42225022</v>
      </c>
      <c r="D25">
        <v>38803640</v>
      </c>
      <c r="E25">
        <v>1</v>
      </c>
      <c r="F25">
        <v>1</v>
      </c>
      <c r="G25">
        <v>27</v>
      </c>
      <c r="H25">
        <v>3</v>
      </c>
      <c r="I25" t="s">
        <v>346</v>
      </c>
      <c r="J25" t="s">
        <v>372</v>
      </c>
      <c r="K25" t="s">
        <v>348</v>
      </c>
      <c r="L25">
        <v>1339</v>
      </c>
      <c r="N25">
        <v>1007</v>
      </c>
      <c r="O25" t="s">
        <v>349</v>
      </c>
      <c r="P25" t="s">
        <v>349</v>
      </c>
      <c r="Q25">
        <v>1</v>
      </c>
      <c r="X25">
        <v>2</v>
      </c>
      <c r="Y25">
        <v>753.67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 t="s">
        <v>3</v>
      </c>
      <c r="AG25">
        <v>2</v>
      </c>
      <c r="AH25">
        <v>2</v>
      </c>
      <c r="AI25">
        <v>42225027</v>
      </c>
      <c r="AJ25">
        <v>27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>
      <c r="A26">
        <f>ROW(Source!A78)</f>
        <v>78</v>
      </c>
      <c r="B26">
        <v>42225037</v>
      </c>
      <c r="C26">
        <v>42225033</v>
      </c>
      <c r="D26">
        <v>38786840</v>
      </c>
      <c r="E26">
        <v>27</v>
      </c>
      <c r="F26">
        <v>1</v>
      </c>
      <c r="G26">
        <v>27</v>
      </c>
      <c r="H26">
        <v>1</v>
      </c>
      <c r="I26" t="s">
        <v>339</v>
      </c>
      <c r="J26" t="s">
        <v>3</v>
      </c>
      <c r="K26" t="s">
        <v>340</v>
      </c>
      <c r="L26">
        <v>1191</v>
      </c>
      <c r="N26">
        <v>1013</v>
      </c>
      <c r="O26" t="s">
        <v>341</v>
      </c>
      <c r="P26" t="s">
        <v>341</v>
      </c>
      <c r="Q26">
        <v>1</v>
      </c>
      <c r="X26">
        <v>16.79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 t="s">
        <v>3</v>
      </c>
      <c r="AG26">
        <v>16.79</v>
      </c>
      <c r="AH26">
        <v>2</v>
      </c>
      <c r="AI26">
        <v>42225034</v>
      </c>
      <c r="AJ26">
        <v>28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>
      <c r="A27">
        <f>ROW(Source!A78)</f>
        <v>78</v>
      </c>
      <c r="B27">
        <v>42225038</v>
      </c>
      <c r="C27">
        <v>42225033</v>
      </c>
      <c r="D27">
        <v>38803649</v>
      </c>
      <c r="E27">
        <v>1</v>
      </c>
      <c r="F27">
        <v>1</v>
      </c>
      <c r="G27">
        <v>27</v>
      </c>
      <c r="H27">
        <v>3</v>
      </c>
      <c r="I27" t="s">
        <v>369</v>
      </c>
      <c r="J27" t="s">
        <v>370</v>
      </c>
      <c r="K27" t="s">
        <v>371</v>
      </c>
      <c r="L27">
        <v>1339</v>
      </c>
      <c r="N27">
        <v>1007</v>
      </c>
      <c r="O27" t="s">
        <v>349</v>
      </c>
      <c r="P27" t="s">
        <v>349</v>
      </c>
      <c r="Q27">
        <v>1</v>
      </c>
      <c r="X27">
        <v>0.7</v>
      </c>
      <c r="Y27">
        <v>810.33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0.7</v>
      </c>
      <c r="AH27">
        <v>2</v>
      </c>
      <c r="AI27">
        <v>42225035</v>
      </c>
      <c r="AJ27">
        <v>29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>
      <c r="A28">
        <f>ROW(Source!A78)</f>
        <v>78</v>
      </c>
      <c r="B28">
        <v>42225039</v>
      </c>
      <c r="C28">
        <v>42225033</v>
      </c>
      <c r="D28">
        <v>38803640</v>
      </c>
      <c r="E28">
        <v>1</v>
      </c>
      <c r="F28">
        <v>1</v>
      </c>
      <c r="G28">
        <v>27</v>
      </c>
      <c r="H28">
        <v>3</v>
      </c>
      <c r="I28" t="s">
        <v>346</v>
      </c>
      <c r="J28" t="s">
        <v>372</v>
      </c>
      <c r="K28" t="s">
        <v>348</v>
      </c>
      <c r="L28">
        <v>1339</v>
      </c>
      <c r="N28">
        <v>1007</v>
      </c>
      <c r="O28" t="s">
        <v>349</v>
      </c>
      <c r="P28" t="s">
        <v>349</v>
      </c>
      <c r="Q28">
        <v>1</v>
      </c>
      <c r="X28">
        <v>2</v>
      </c>
      <c r="Y28">
        <v>753.67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2</v>
      </c>
      <c r="AH28">
        <v>2</v>
      </c>
      <c r="AI28">
        <v>42225036</v>
      </c>
      <c r="AJ28">
        <v>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>
      <c r="A29">
        <f>ROW(Source!A79)</f>
        <v>79</v>
      </c>
      <c r="B29">
        <v>42225042</v>
      </c>
      <c r="C29">
        <v>42225040</v>
      </c>
      <c r="D29">
        <v>38799032</v>
      </c>
      <c r="E29">
        <v>1</v>
      </c>
      <c r="F29">
        <v>1</v>
      </c>
      <c r="G29">
        <v>27</v>
      </c>
      <c r="H29">
        <v>2</v>
      </c>
      <c r="I29" t="s">
        <v>373</v>
      </c>
      <c r="J29" t="s">
        <v>374</v>
      </c>
      <c r="K29" t="s">
        <v>375</v>
      </c>
      <c r="L29">
        <v>1368</v>
      </c>
      <c r="N29">
        <v>1011</v>
      </c>
      <c r="O29" t="s">
        <v>345</v>
      </c>
      <c r="P29" t="s">
        <v>345</v>
      </c>
      <c r="Q29">
        <v>1</v>
      </c>
      <c r="X29">
        <v>0.31</v>
      </c>
      <c r="Y29">
        <v>0</v>
      </c>
      <c r="Z29">
        <v>956.79</v>
      </c>
      <c r="AA29">
        <v>359.44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0.31</v>
      </c>
      <c r="AH29">
        <v>2</v>
      </c>
      <c r="AI29">
        <v>42225041</v>
      </c>
      <c r="AJ29">
        <v>31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>
      <c r="A30">
        <f>ROW(Source!A80)</f>
        <v>80</v>
      </c>
      <c r="B30">
        <v>42225045</v>
      </c>
      <c r="C30">
        <v>42225043</v>
      </c>
      <c r="D30">
        <v>38786840</v>
      </c>
      <c r="E30">
        <v>27</v>
      </c>
      <c r="F30">
        <v>1</v>
      </c>
      <c r="G30">
        <v>27</v>
      </c>
      <c r="H30">
        <v>1</v>
      </c>
      <c r="I30" t="s">
        <v>339</v>
      </c>
      <c r="J30" t="s">
        <v>3</v>
      </c>
      <c r="K30" t="s">
        <v>340</v>
      </c>
      <c r="L30">
        <v>1191</v>
      </c>
      <c r="N30">
        <v>1013</v>
      </c>
      <c r="O30" t="s">
        <v>341</v>
      </c>
      <c r="P30" t="s">
        <v>341</v>
      </c>
      <c r="Q30">
        <v>1</v>
      </c>
      <c r="X30">
        <v>11.73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 t="s">
        <v>3</v>
      </c>
      <c r="AG30">
        <v>11.73</v>
      </c>
      <c r="AH30">
        <v>2</v>
      </c>
      <c r="AI30">
        <v>42225044</v>
      </c>
      <c r="AJ30">
        <v>32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>
        <f>ROW(Source!A81)</f>
        <v>81</v>
      </c>
      <c r="B31">
        <v>42225057</v>
      </c>
      <c r="C31">
        <v>42225046</v>
      </c>
      <c r="D31">
        <v>38786840</v>
      </c>
      <c r="E31">
        <v>27</v>
      </c>
      <c r="F31">
        <v>1</v>
      </c>
      <c r="G31">
        <v>27</v>
      </c>
      <c r="H31">
        <v>1</v>
      </c>
      <c r="I31" t="s">
        <v>339</v>
      </c>
      <c r="J31" t="s">
        <v>3</v>
      </c>
      <c r="K31" t="s">
        <v>340</v>
      </c>
      <c r="L31">
        <v>1191</v>
      </c>
      <c r="N31">
        <v>1013</v>
      </c>
      <c r="O31" t="s">
        <v>341</v>
      </c>
      <c r="P31" t="s">
        <v>341</v>
      </c>
      <c r="Q31">
        <v>1</v>
      </c>
      <c r="X31">
        <v>7.08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 t="s">
        <v>3</v>
      </c>
      <c r="AG31">
        <v>7.08</v>
      </c>
      <c r="AH31">
        <v>2</v>
      </c>
      <c r="AI31">
        <v>42225047</v>
      </c>
      <c r="AJ31">
        <v>33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>
        <f>ROW(Source!A81)</f>
        <v>81</v>
      </c>
      <c r="B32">
        <v>42225058</v>
      </c>
      <c r="C32">
        <v>42225046</v>
      </c>
      <c r="D32">
        <v>38799213</v>
      </c>
      <c r="E32">
        <v>1</v>
      </c>
      <c r="F32">
        <v>1</v>
      </c>
      <c r="G32">
        <v>27</v>
      </c>
      <c r="H32">
        <v>2</v>
      </c>
      <c r="I32" t="s">
        <v>376</v>
      </c>
      <c r="J32" t="s">
        <v>377</v>
      </c>
      <c r="K32" t="s">
        <v>378</v>
      </c>
      <c r="L32">
        <v>1368</v>
      </c>
      <c r="N32">
        <v>1011</v>
      </c>
      <c r="O32" t="s">
        <v>345</v>
      </c>
      <c r="P32" t="s">
        <v>345</v>
      </c>
      <c r="Q32">
        <v>1</v>
      </c>
      <c r="X32">
        <v>0.32</v>
      </c>
      <c r="Y32">
        <v>0</v>
      </c>
      <c r="Z32">
        <v>2020.59</v>
      </c>
      <c r="AA32">
        <v>458.56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0.32</v>
      </c>
      <c r="AH32">
        <v>2</v>
      </c>
      <c r="AI32">
        <v>42225048</v>
      </c>
      <c r="AJ32">
        <v>34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>
        <f>ROW(Source!A81)</f>
        <v>81</v>
      </c>
      <c r="B33">
        <v>42225059</v>
      </c>
      <c r="C33">
        <v>42225046</v>
      </c>
      <c r="D33">
        <v>38801911</v>
      </c>
      <c r="E33">
        <v>1</v>
      </c>
      <c r="F33">
        <v>1</v>
      </c>
      <c r="G33">
        <v>27</v>
      </c>
      <c r="H33">
        <v>3</v>
      </c>
      <c r="I33" t="s">
        <v>354</v>
      </c>
      <c r="J33" t="s">
        <v>355</v>
      </c>
      <c r="K33" t="s">
        <v>356</v>
      </c>
      <c r="L33">
        <v>1339</v>
      </c>
      <c r="N33">
        <v>1007</v>
      </c>
      <c r="O33" t="s">
        <v>349</v>
      </c>
      <c r="P33" t="s">
        <v>349</v>
      </c>
      <c r="Q33">
        <v>1</v>
      </c>
      <c r="X33">
        <v>1.07</v>
      </c>
      <c r="Y33">
        <v>35.25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1.07</v>
      </c>
      <c r="AH33">
        <v>2</v>
      </c>
      <c r="AI33">
        <v>42225049</v>
      </c>
      <c r="AJ33">
        <v>35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>
      <c r="A34">
        <f>ROW(Source!A81)</f>
        <v>81</v>
      </c>
      <c r="B34">
        <v>42225060</v>
      </c>
      <c r="C34">
        <v>42225046</v>
      </c>
      <c r="D34">
        <v>38786919</v>
      </c>
      <c r="E34">
        <v>27</v>
      </c>
      <c r="F34">
        <v>1</v>
      </c>
      <c r="G34">
        <v>27</v>
      </c>
      <c r="H34">
        <v>3</v>
      </c>
      <c r="I34" t="s">
        <v>546</v>
      </c>
      <c r="J34" t="s">
        <v>3</v>
      </c>
      <c r="K34" t="s">
        <v>547</v>
      </c>
      <c r="L34">
        <v>1354</v>
      </c>
      <c r="N34">
        <v>1010</v>
      </c>
      <c r="O34" t="s">
        <v>51</v>
      </c>
      <c r="P34" t="s">
        <v>51</v>
      </c>
      <c r="Q34">
        <v>1</v>
      </c>
      <c r="X34">
        <v>10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3</v>
      </c>
      <c r="AG34">
        <v>10</v>
      </c>
      <c r="AH34">
        <v>3</v>
      </c>
      <c r="AI34">
        <v>-1</v>
      </c>
      <c r="AJ34" t="s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>
      <c r="A35">
        <f>ROW(Source!A126)</f>
        <v>126</v>
      </c>
      <c r="B35">
        <v>42225073</v>
      </c>
      <c r="C35">
        <v>42225068</v>
      </c>
      <c r="D35">
        <v>38786840</v>
      </c>
      <c r="E35">
        <v>27</v>
      </c>
      <c r="F35">
        <v>1</v>
      </c>
      <c r="G35">
        <v>27</v>
      </c>
      <c r="H35">
        <v>1</v>
      </c>
      <c r="I35" t="s">
        <v>339</v>
      </c>
      <c r="J35" t="s">
        <v>3</v>
      </c>
      <c r="K35" t="s">
        <v>340</v>
      </c>
      <c r="L35">
        <v>1191</v>
      </c>
      <c r="N35">
        <v>1013</v>
      </c>
      <c r="O35" t="s">
        <v>341</v>
      </c>
      <c r="P35" t="s">
        <v>341</v>
      </c>
      <c r="Q35">
        <v>1</v>
      </c>
      <c r="X35">
        <v>34.44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 t="s">
        <v>3</v>
      </c>
      <c r="AG35">
        <v>34.44</v>
      </c>
      <c r="AH35">
        <v>2</v>
      </c>
      <c r="AI35">
        <v>42225069</v>
      </c>
      <c r="AJ35">
        <v>43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>
      <c r="A36">
        <f>ROW(Source!A126)</f>
        <v>126</v>
      </c>
      <c r="B36">
        <v>42225074</v>
      </c>
      <c r="C36">
        <v>42225068</v>
      </c>
      <c r="D36">
        <v>38799022</v>
      </c>
      <c r="E36">
        <v>1</v>
      </c>
      <c r="F36">
        <v>1</v>
      </c>
      <c r="G36">
        <v>27</v>
      </c>
      <c r="H36">
        <v>2</v>
      </c>
      <c r="I36" t="s">
        <v>342</v>
      </c>
      <c r="J36" t="s">
        <v>379</v>
      </c>
      <c r="K36" t="s">
        <v>344</v>
      </c>
      <c r="L36">
        <v>1368</v>
      </c>
      <c r="N36">
        <v>1011</v>
      </c>
      <c r="O36" t="s">
        <v>345</v>
      </c>
      <c r="P36" t="s">
        <v>345</v>
      </c>
      <c r="Q36">
        <v>1</v>
      </c>
      <c r="X36">
        <v>0.68</v>
      </c>
      <c r="Y36">
        <v>0</v>
      </c>
      <c r="Z36">
        <v>812.16</v>
      </c>
      <c r="AA36">
        <v>448.48</v>
      </c>
      <c r="AB36">
        <v>0</v>
      </c>
      <c r="AC36">
        <v>0</v>
      </c>
      <c r="AD36">
        <v>1</v>
      </c>
      <c r="AE36">
        <v>0</v>
      </c>
      <c r="AF36" t="s">
        <v>3</v>
      </c>
      <c r="AG36">
        <v>0.68</v>
      </c>
      <c r="AH36">
        <v>2</v>
      </c>
      <c r="AI36">
        <v>42225070</v>
      </c>
      <c r="AJ36">
        <v>44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>
      <c r="A37">
        <f>ROW(Source!A126)</f>
        <v>126</v>
      </c>
      <c r="B37">
        <v>42225075</v>
      </c>
      <c r="C37">
        <v>42225068</v>
      </c>
      <c r="D37">
        <v>38803649</v>
      </c>
      <c r="E37">
        <v>1</v>
      </c>
      <c r="F37">
        <v>1</v>
      </c>
      <c r="G37">
        <v>27</v>
      </c>
      <c r="H37">
        <v>3</v>
      </c>
      <c r="I37" t="s">
        <v>369</v>
      </c>
      <c r="J37" t="s">
        <v>370</v>
      </c>
      <c r="K37" t="s">
        <v>371</v>
      </c>
      <c r="L37">
        <v>1339</v>
      </c>
      <c r="N37">
        <v>1007</v>
      </c>
      <c r="O37" t="s">
        <v>349</v>
      </c>
      <c r="P37" t="s">
        <v>349</v>
      </c>
      <c r="Q37">
        <v>1</v>
      </c>
      <c r="X37">
        <v>2.1</v>
      </c>
      <c r="Y37">
        <v>810.33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 t="s">
        <v>3</v>
      </c>
      <c r="AG37">
        <v>2.1</v>
      </c>
      <c r="AH37">
        <v>2</v>
      </c>
      <c r="AI37">
        <v>42225071</v>
      </c>
      <c r="AJ37">
        <v>45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>
      <c r="A38">
        <f>ROW(Source!A126)</f>
        <v>126</v>
      </c>
      <c r="B38">
        <v>42225076</v>
      </c>
      <c r="C38">
        <v>42225068</v>
      </c>
      <c r="D38">
        <v>38803640</v>
      </c>
      <c r="E38">
        <v>1</v>
      </c>
      <c r="F38">
        <v>1</v>
      </c>
      <c r="G38">
        <v>27</v>
      </c>
      <c r="H38">
        <v>3</v>
      </c>
      <c r="I38" t="s">
        <v>346</v>
      </c>
      <c r="J38" t="s">
        <v>372</v>
      </c>
      <c r="K38" t="s">
        <v>348</v>
      </c>
      <c r="L38">
        <v>1339</v>
      </c>
      <c r="N38">
        <v>1007</v>
      </c>
      <c r="O38" t="s">
        <v>349</v>
      </c>
      <c r="P38" t="s">
        <v>349</v>
      </c>
      <c r="Q38">
        <v>1</v>
      </c>
      <c r="X38">
        <v>6.2</v>
      </c>
      <c r="Y38">
        <v>753.67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6.2</v>
      </c>
      <c r="AH38">
        <v>2</v>
      </c>
      <c r="AI38">
        <v>42225072</v>
      </c>
      <c r="AJ38">
        <v>46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>
      <c r="A39">
        <f>ROW(Source!A127)</f>
        <v>127</v>
      </c>
      <c r="B39">
        <v>42225081</v>
      </c>
      <c r="C39">
        <v>42225077</v>
      </c>
      <c r="D39">
        <v>38786840</v>
      </c>
      <c r="E39">
        <v>27</v>
      </c>
      <c r="F39">
        <v>1</v>
      </c>
      <c r="G39">
        <v>27</v>
      </c>
      <c r="H39">
        <v>1</v>
      </c>
      <c r="I39" t="s">
        <v>339</v>
      </c>
      <c r="J39" t="s">
        <v>3</v>
      </c>
      <c r="K39" t="s">
        <v>340</v>
      </c>
      <c r="L39">
        <v>1191</v>
      </c>
      <c r="N39">
        <v>1013</v>
      </c>
      <c r="O39" t="s">
        <v>341</v>
      </c>
      <c r="P39" t="s">
        <v>341</v>
      </c>
      <c r="Q39">
        <v>1</v>
      </c>
      <c r="X39">
        <v>58.75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 t="s">
        <v>3</v>
      </c>
      <c r="AG39">
        <v>58.75</v>
      </c>
      <c r="AH39">
        <v>2</v>
      </c>
      <c r="AI39">
        <v>42225078</v>
      </c>
      <c r="AJ39">
        <v>47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>
      <c r="A40">
        <f>ROW(Source!A127)</f>
        <v>127</v>
      </c>
      <c r="B40">
        <v>42225082</v>
      </c>
      <c r="C40">
        <v>42225077</v>
      </c>
      <c r="D40">
        <v>38803649</v>
      </c>
      <c r="E40">
        <v>1</v>
      </c>
      <c r="F40">
        <v>1</v>
      </c>
      <c r="G40">
        <v>27</v>
      </c>
      <c r="H40">
        <v>3</v>
      </c>
      <c r="I40" t="s">
        <v>369</v>
      </c>
      <c r="J40" t="s">
        <v>370</v>
      </c>
      <c r="K40" t="s">
        <v>371</v>
      </c>
      <c r="L40">
        <v>1339</v>
      </c>
      <c r="N40">
        <v>1007</v>
      </c>
      <c r="O40" t="s">
        <v>349</v>
      </c>
      <c r="P40" t="s">
        <v>349</v>
      </c>
      <c r="Q40">
        <v>1</v>
      </c>
      <c r="X40">
        <v>2.1</v>
      </c>
      <c r="Y40">
        <v>810.33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2.1</v>
      </c>
      <c r="AH40">
        <v>2</v>
      </c>
      <c r="AI40">
        <v>42225079</v>
      </c>
      <c r="AJ40">
        <v>48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>
      <c r="A41">
        <f>ROW(Source!A127)</f>
        <v>127</v>
      </c>
      <c r="B41">
        <v>42225083</v>
      </c>
      <c r="C41">
        <v>42225077</v>
      </c>
      <c r="D41">
        <v>38803640</v>
      </c>
      <c r="E41">
        <v>1</v>
      </c>
      <c r="F41">
        <v>1</v>
      </c>
      <c r="G41">
        <v>27</v>
      </c>
      <c r="H41">
        <v>3</v>
      </c>
      <c r="I41" t="s">
        <v>346</v>
      </c>
      <c r="J41" t="s">
        <v>372</v>
      </c>
      <c r="K41" t="s">
        <v>348</v>
      </c>
      <c r="L41">
        <v>1339</v>
      </c>
      <c r="N41">
        <v>1007</v>
      </c>
      <c r="O41" t="s">
        <v>349</v>
      </c>
      <c r="P41" t="s">
        <v>349</v>
      </c>
      <c r="Q41">
        <v>1</v>
      </c>
      <c r="X41">
        <v>6.2</v>
      </c>
      <c r="Y41">
        <v>753.67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 t="s">
        <v>3</v>
      </c>
      <c r="AG41">
        <v>6.2</v>
      </c>
      <c r="AH41">
        <v>2</v>
      </c>
      <c r="AI41">
        <v>42225080</v>
      </c>
      <c r="AJ41">
        <v>49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>
      <c r="A42">
        <f>ROW(Source!A128)</f>
        <v>128</v>
      </c>
      <c r="B42">
        <v>42225086</v>
      </c>
      <c r="C42">
        <v>42225084</v>
      </c>
      <c r="D42">
        <v>38799032</v>
      </c>
      <c r="E42">
        <v>1</v>
      </c>
      <c r="F42">
        <v>1</v>
      </c>
      <c r="G42">
        <v>27</v>
      </c>
      <c r="H42">
        <v>2</v>
      </c>
      <c r="I42" t="s">
        <v>373</v>
      </c>
      <c r="J42" t="s">
        <v>374</v>
      </c>
      <c r="K42" t="s">
        <v>375</v>
      </c>
      <c r="L42">
        <v>1368</v>
      </c>
      <c r="N42">
        <v>1011</v>
      </c>
      <c r="O42" t="s">
        <v>345</v>
      </c>
      <c r="P42" t="s">
        <v>345</v>
      </c>
      <c r="Q42">
        <v>1</v>
      </c>
      <c r="X42">
        <v>0.31</v>
      </c>
      <c r="Y42">
        <v>0</v>
      </c>
      <c r="Z42">
        <v>956.79</v>
      </c>
      <c r="AA42">
        <v>359.44</v>
      </c>
      <c r="AB42">
        <v>0</v>
      </c>
      <c r="AC42">
        <v>0</v>
      </c>
      <c r="AD42">
        <v>1</v>
      </c>
      <c r="AE42">
        <v>0</v>
      </c>
      <c r="AF42" t="s">
        <v>3</v>
      </c>
      <c r="AG42">
        <v>0.31</v>
      </c>
      <c r="AH42">
        <v>2</v>
      </c>
      <c r="AI42">
        <v>42225085</v>
      </c>
      <c r="AJ42">
        <v>50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>
      <c r="A43">
        <f>ROW(Source!A129)</f>
        <v>129</v>
      </c>
      <c r="B43">
        <v>42225089</v>
      </c>
      <c r="C43">
        <v>42225087</v>
      </c>
      <c r="D43">
        <v>38786840</v>
      </c>
      <c r="E43">
        <v>27</v>
      </c>
      <c r="F43">
        <v>1</v>
      </c>
      <c r="G43">
        <v>27</v>
      </c>
      <c r="H43">
        <v>1</v>
      </c>
      <c r="I43" t="s">
        <v>339</v>
      </c>
      <c r="J43" t="s">
        <v>3</v>
      </c>
      <c r="K43" t="s">
        <v>340</v>
      </c>
      <c r="L43">
        <v>1191</v>
      </c>
      <c r="N43">
        <v>1013</v>
      </c>
      <c r="O43" t="s">
        <v>341</v>
      </c>
      <c r="P43" t="s">
        <v>341</v>
      </c>
      <c r="Q43">
        <v>1</v>
      </c>
      <c r="X43">
        <v>11.73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 t="s">
        <v>3</v>
      </c>
      <c r="AG43">
        <v>11.73</v>
      </c>
      <c r="AH43">
        <v>2</v>
      </c>
      <c r="AI43">
        <v>42225088</v>
      </c>
      <c r="AJ43">
        <v>51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>
      <c r="A44">
        <f>ROW(Source!A130)</f>
        <v>130</v>
      </c>
      <c r="B44">
        <v>42225098</v>
      </c>
      <c r="C44">
        <v>42225090</v>
      </c>
      <c r="D44">
        <v>38786840</v>
      </c>
      <c r="E44">
        <v>27</v>
      </c>
      <c r="F44">
        <v>1</v>
      </c>
      <c r="G44">
        <v>27</v>
      </c>
      <c r="H44">
        <v>1</v>
      </c>
      <c r="I44" t="s">
        <v>339</v>
      </c>
      <c r="J44" t="s">
        <v>3</v>
      </c>
      <c r="K44" t="s">
        <v>340</v>
      </c>
      <c r="L44">
        <v>1191</v>
      </c>
      <c r="N44">
        <v>1013</v>
      </c>
      <c r="O44" t="s">
        <v>341</v>
      </c>
      <c r="P44" t="s">
        <v>341</v>
      </c>
      <c r="Q44">
        <v>1</v>
      </c>
      <c r="X44">
        <v>20.71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 t="s">
        <v>3</v>
      </c>
      <c r="AG44">
        <v>20.71</v>
      </c>
      <c r="AH44">
        <v>2</v>
      </c>
      <c r="AI44">
        <v>42225091</v>
      </c>
      <c r="AJ44">
        <v>52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>
      <c r="A45">
        <f>ROW(Source!A130)</f>
        <v>130</v>
      </c>
      <c r="B45">
        <v>42225099</v>
      </c>
      <c r="C45">
        <v>42225090</v>
      </c>
      <c r="D45">
        <v>38799213</v>
      </c>
      <c r="E45">
        <v>1</v>
      </c>
      <c r="F45">
        <v>1</v>
      </c>
      <c r="G45">
        <v>27</v>
      </c>
      <c r="H45">
        <v>2</v>
      </c>
      <c r="I45" t="s">
        <v>376</v>
      </c>
      <c r="J45" t="s">
        <v>377</v>
      </c>
      <c r="K45" t="s">
        <v>378</v>
      </c>
      <c r="L45">
        <v>1368</v>
      </c>
      <c r="N45">
        <v>1011</v>
      </c>
      <c r="O45" t="s">
        <v>345</v>
      </c>
      <c r="P45" t="s">
        <v>345</v>
      </c>
      <c r="Q45">
        <v>1</v>
      </c>
      <c r="X45">
        <v>0.76</v>
      </c>
      <c r="Y45">
        <v>0</v>
      </c>
      <c r="Z45">
        <v>2020.59</v>
      </c>
      <c r="AA45">
        <v>458.56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0.76</v>
      </c>
      <c r="AH45">
        <v>2</v>
      </c>
      <c r="AI45">
        <v>42225092</v>
      </c>
      <c r="AJ45">
        <v>53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>
      <c r="A46">
        <f>ROW(Source!A130)</f>
        <v>130</v>
      </c>
      <c r="B46">
        <v>42225100</v>
      </c>
      <c r="C46">
        <v>42225090</v>
      </c>
      <c r="D46">
        <v>38801734</v>
      </c>
      <c r="E46">
        <v>1</v>
      </c>
      <c r="F46">
        <v>1</v>
      </c>
      <c r="G46">
        <v>27</v>
      </c>
      <c r="H46">
        <v>3</v>
      </c>
      <c r="I46" t="s">
        <v>380</v>
      </c>
      <c r="J46" t="s">
        <v>381</v>
      </c>
      <c r="K46" t="s">
        <v>382</v>
      </c>
      <c r="L46">
        <v>1327</v>
      </c>
      <c r="N46">
        <v>1005</v>
      </c>
      <c r="O46" t="s">
        <v>302</v>
      </c>
      <c r="P46" t="s">
        <v>302</v>
      </c>
      <c r="Q46">
        <v>1</v>
      </c>
      <c r="X46">
        <v>1.5</v>
      </c>
      <c r="Y46">
        <v>91.89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1.5</v>
      </c>
      <c r="AH46">
        <v>2</v>
      </c>
      <c r="AI46">
        <v>42225093</v>
      </c>
      <c r="AJ46">
        <v>54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>
      <c r="A47">
        <f>ROW(Source!A130)</f>
        <v>130</v>
      </c>
      <c r="B47">
        <v>42225101</v>
      </c>
      <c r="C47">
        <v>42225090</v>
      </c>
      <c r="D47">
        <v>38801771</v>
      </c>
      <c r="E47">
        <v>1</v>
      </c>
      <c r="F47">
        <v>1</v>
      </c>
      <c r="G47">
        <v>27</v>
      </c>
      <c r="H47">
        <v>3</v>
      </c>
      <c r="I47" t="s">
        <v>350</v>
      </c>
      <c r="J47" t="s">
        <v>351</v>
      </c>
      <c r="K47" t="s">
        <v>352</v>
      </c>
      <c r="L47">
        <v>1346</v>
      </c>
      <c r="N47">
        <v>1009</v>
      </c>
      <c r="O47" t="s">
        <v>353</v>
      </c>
      <c r="P47" t="s">
        <v>353</v>
      </c>
      <c r="Q47">
        <v>1</v>
      </c>
      <c r="X47">
        <v>0.3</v>
      </c>
      <c r="Y47">
        <v>171.21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0.3</v>
      </c>
      <c r="AH47">
        <v>2</v>
      </c>
      <c r="AI47">
        <v>42225094</v>
      </c>
      <c r="AJ47">
        <v>55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>
      <c r="A48">
        <f>ROW(Source!A130)</f>
        <v>130</v>
      </c>
      <c r="B48">
        <v>42225102</v>
      </c>
      <c r="C48">
        <v>42225090</v>
      </c>
      <c r="D48">
        <v>38801911</v>
      </c>
      <c r="E48">
        <v>1</v>
      </c>
      <c r="F48">
        <v>1</v>
      </c>
      <c r="G48">
        <v>27</v>
      </c>
      <c r="H48">
        <v>3</v>
      </c>
      <c r="I48" t="s">
        <v>354</v>
      </c>
      <c r="J48" t="s">
        <v>355</v>
      </c>
      <c r="K48" t="s">
        <v>356</v>
      </c>
      <c r="L48">
        <v>1339</v>
      </c>
      <c r="N48">
        <v>1007</v>
      </c>
      <c r="O48" t="s">
        <v>349</v>
      </c>
      <c r="P48" t="s">
        <v>349</v>
      </c>
      <c r="Q48">
        <v>1</v>
      </c>
      <c r="X48">
        <v>2.6</v>
      </c>
      <c r="Y48">
        <v>35.25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2.6</v>
      </c>
      <c r="AH48">
        <v>2</v>
      </c>
      <c r="AI48">
        <v>42225095</v>
      </c>
      <c r="AJ48">
        <v>56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>
      <c r="A49">
        <f>ROW(Source!A130)</f>
        <v>130</v>
      </c>
      <c r="B49">
        <v>42225103</v>
      </c>
      <c r="C49">
        <v>42225090</v>
      </c>
      <c r="D49">
        <v>38803641</v>
      </c>
      <c r="E49">
        <v>1</v>
      </c>
      <c r="F49">
        <v>1</v>
      </c>
      <c r="G49">
        <v>27</v>
      </c>
      <c r="H49">
        <v>3</v>
      </c>
      <c r="I49" t="s">
        <v>383</v>
      </c>
      <c r="J49" t="s">
        <v>384</v>
      </c>
      <c r="K49" t="s">
        <v>385</v>
      </c>
      <c r="L49">
        <v>1339</v>
      </c>
      <c r="N49">
        <v>1007</v>
      </c>
      <c r="O49" t="s">
        <v>349</v>
      </c>
      <c r="P49" t="s">
        <v>349</v>
      </c>
      <c r="Q49">
        <v>1</v>
      </c>
      <c r="X49">
        <v>0.15840000000000001</v>
      </c>
      <c r="Y49">
        <v>3467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0.15840000000000001</v>
      </c>
      <c r="AH49">
        <v>2</v>
      </c>
      <c r="AI49">
        <v>42225096</v>
      </c>
      <c r="AJ49">
        <v>57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>
      <c r="A50">
        <f>ROW(Source!A130)</f>
        <v>130</v>
      </c>
      <c r="B50">
        <v>42225104</v>
      </c>
      <c r="C50">
        <v>42225090</v>
      </c>
      <c r="D50">
        <v>38786919</v>
      </c>
      <c r="E50">
        <v>27</v>
      </c>
      <c r="F50">
        <v>1</v>
      </c>
      <c r="G50">
        <v>27</v>
      </c>
      <c r="H50">
        <v>3</v>
      </c>
      <c r="I50" t="s">
        <v>546</v>
      </c>
      <c r="J50" t="s">
        <v>3</v>
      </c>
      <c r="K50" t="s">
        <v>547</v>
      </c>
      <c r="L50">
        <v>1354</v>
      </c>
      <c r="N50">
        <v>1010</v>
      </c>
      <c r="O50" t="s">
        <v>51</v>
      </c>
      <c r="P50" t="s">
        <v>51</v>
      </c>
      <c r="Q50">
        <v>1</v>
      </c>
      <c r="X50">
        <v>10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3</v>
      </c>
      <c r="AG50">
        <v>10</v>
      </c>
      <c r="AH50">
        <v>3</v>
      </c>
      <c r="AI50">
        <v>-1</v>
      </c>
      <c r="AJ50" t="s">
        <v>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>
      <c r="A51">
        <f>ROW(Source!A169)</f>
        <v>169</v>
      </c>
      <c r="B51">
        <v>42225111</v>
      </c>
      <c r="C51">
        <v>42225106</v>
      </c>
      <c r="D51">
        <v>38786840</v>
      </c>
      <c r="E51">
        <v>27</v>
      </c>
      <c r="F51">
        <v>1</v>
      </c>
      <c r="G51">
        <v>27</v>
      </c>
      <c r="H51">
        <v>1</v>
      </c>
      <c r="I51" t="s">
        <v>339</v>
      </c>
      <c r="J51" t="s">
        <v>3</v>
      </c>
      <c r="K51" t="s">
        <v>340</v>
      </c>
      <c r="L51">
        <v>1191</v>
      </c>
      <c r="N51">
        <v>1013</v>
      </c>
      <c r="O51" t="s">
        <v>341</v>
      </c>
      <c r="P51" t="s">
        <v>341</v>
      </c>
      <c r="Q51">
        <v>1</v>
      </c>
      <c r="X51">
        <v>34.44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 t="s">
        <v>3</v>
      </c>
      <c r="AG51">
        <v>34.44</v>
      </c>
      <c r="AH51">
        <v>2</v>
      </c>
      <c r="AI51">
        <v>42225107</v>
      </c>
      <c r="AJ51">
        <v>59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>
      <c r="A52">
        <f>ROW(Source!A169)</f>
        <v>169</v>
      </c>
      <c r="B52">
        <v>42225112</v>
      </c>
      <c r="C52">
        <v>42225106</v>
      </c>
      <c r="D52">
        <v>38799022</v>
      </c>
      <c r="E52">
        <v>1</v>
      </c>
      <c r="F52">
        <v>1</v>
      </c>
      <c r="G52">
        <v>27</v>
      </c>
      <c r="H52">
        <v>2</v>
      </c>
      <c r="I52" t="s">
        <v>342</v>
      </c>
      <c r="J52" t="s">
        <v>379</v>
      </c>
      <c r="K52" t="s">
        <v>344</v>
      </c>
      <c r="L52">
        <v>1368</v>
      </c>
      <c r="N52">
        <v>1011</v>
      </c>
      <c r="O52" t="s">
        <v>345</v>
      </c>
      <c r="P52" t="s">
        <v>345</v>
      </c>
      <c r="Q52">
        <v>1</v>
      </c>
      <c r="X52">
        <v>0.68</v>
      </c>
      <c r="Y52">
        <v>0</v>
      </c>
      <c r="Z52">
        <v>812.16</v>
      </c>
      <c r="AA52">
        <v>448.48</v>
      </c>
      <c r="AB52">
        <v>0</v>
      </c>
      <c r="AC52">
        <v>0</v>
      </c>
      <c r="AD52">
        <v>1</v>
      </c>
      <c r="AE52">
        <v>0</v>
      </c>
      <c r="AF52" t="s">
        <v>3</v>
      </c>
      <c r="AG52">
        <v>0.68</v>
      </c>
      <c r="AH52">
        <v>2</v>
      </c>
      <c r="AI52">
        <v>42225108</v>
      </c>
      <c r="AJ52">
        <v>60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>
      <c r="A53">
        <f>ROW(Source!A169)</f>
        <v>169</v>
      </c>
      <c r="B53">
        <v>42225113</v>
      </c>
      <c r="C53">
        <v>42225106</v>
      </c>
      <c r="D53">
        <v>38803649</v>
      </c>
      <c r="E53">
        <v>1</v>
      </c>
      <c r="F53">
        <v>1</v>
      </c>
      <c r="G53">
        <v>27</v>
      </c>
      <c r="H53">
        <v>3</v>
      </c>
      <c r="I53" t="s">
        <v>369</v>
      </c>
      <c r="J53" t="s">
        <v>370</v>
      </c>
      <c r="K53" t="s">
        <v>371</v>
      </c>
      <c r="L53">
        <v>1339</v>
      </c>
      <c r="N53">
        <v>1007</v>
      </c>
      <c r="O53" t="s">
        <v>349</v>
      </c>
      <c r="P53" t="s">
        <v>349</v>
      </c>
      <c r="Q53">
        <v>1</v>
      </c>
      <c r="X53">
        <v>2.1</v>
      </c>
      <c r="Y53">
        <v>810.33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 t="s">
        <v>3</v>
      </c>
      <c r="AG53">
        <v>2.1</v>
      </c>
      <c r="AH53">
        <v>2</v>
      </c>
      <c r="AI53">
        <v>42225109</v>
      </c>
      <c r="AJ53">
        <v>61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A54">
        <f>ROW(Source!A169)</f>
        <v>169</v>
      </c>
      <c r="B54">
        <v>42225114</v>
      </c>
      <c r="C54">
        <v>42225106</v>
      </c>
      <c r="D54">
        <v>38803640</v>
      </c>
      <c r="E54">
        <v>1</v>
      </c>
      <c r="F54">
        <v>1</v>
      </c>
      <c r="G54">
        <v>27</v>
      </c>
      <c r="H54">
        <v>3</v>
      </c>
      <c r="I54" t="s">
        <v>346</v>
      </c>
      <c r="J54" t="s">
        <v>372</v>
      </c>
      <c r="K54" t="s">
        <v>348</v>
      </c>
      <c r="L54">
        <v>1339</v>
      </c>
      <c r="N54">
        <v>1007</v>
      </c>
      <c r="O54" t="s">
        <v>349</v>
      </c>
      <c r="P54" t="s">
        <v>349</v>
      </c>
      <c r="Q54">
        <v>1</v>
      </c>
      <c r="X54">
        <v>6.2</v>
      </c>
      <c r="Y54">
        <v>753.67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 t="s">
        <v>3</v>
      </c>
      <c r="AG54">
        <v>6.2</v>
      </c>
      <c r="AH54">
        <v>2</v>
      </c>
      <c r="AI54">
        <v>42225110</v>
      </c>
      <c r="AJ54">
        <v>62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>
      <c r="A55">
        <f>ROW(Source!A170)</f>
        <v>170</v>
      </c>
      <c r="B55">
        <v>42225119</v>
      </c>
      <c r="C55">
        <v>42225115</v>
      </c>
      <c r="D55">
        <v>38786840</v>
      </c>
      <c r="E55">
        <v>27</v>
      </c>
      <c r="F55">
        <v>1</v>
      </c>
      <c r="G55">
        <v>27</v>
      </c>
      <c r="H55">
        <v>1</v>
      </c>
      <c r="I55" t="s">
        <v>339</v>
      </c>
      <c r="J55" t="s">
        <v>3</v>
      </c>
      <c r="K55" t="s">
        <v>340</v>
      </c>
      <c r="L55">
        <v>1191</v>
      </c>
      <c r="N55">
        <v>1013</v>
      </c>
      <c r="O55" t="s">
        <v>341</v>
      </c>
      <c r="P55" t="s">
        <v>341</v>
      </c>
      <c r="Q55">
        <v>1</v>
      </c>
      <c r="X55">
        <v>58.75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 t="s">
        <v>3</v>
      </c>
      <c r="AG55">
        <v>58.75</v>
      </c>
      <c r="AH55">
        <v>2</v>
      </c>
      <c r="AI55">
        <v>42225116</v>
      </c>
      <c r="AJ55">
        <v>63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A56">
        <f>ROW(Source!A170)</f>
        <v>170</v>
      </c>
      <c r="B56">
        <v>42225120</v>
      </c>
      <c r="C56">
        <v>42225115</v>
      </c>
      <c r="D56">
        <v>38803649</v>
      </c>
      <c r="E56">
        <v>1</v>
      </c>
      <c r="F56">
        <v>1</v>
      </c>
      <c r="G56">
        <v>27</v>
      </c>
      <c r="H56">
        <v>3</v>
      </c>
      <c r="I56" t="s">
        <v>369</v>
      </c>
      <c r="J56" t="s">
        <v>370</v>
      </c>
      <c r="K56" t="s">
        <v>371</v>
      </c>
      <c r="L56">
        <v>1339</v>
      </c>
      <c r="N56">
        <v>1007</v>
      </c>
      <c r="O56" t="s">
        <v>349</v>
      </c>
      <c r="P56" t="s">
        <v>349</v>
      </c>
      <c r="Q56">
        <v>1</v>
      </c>
      <c r="X56">
        <v>2.1</v>
      </c>
      <c r="Y56">
        <v>810.33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2.1</v>
      </c>
      <c r="AH56">
        <v>2</v>
      </c>
      <c r="AI56">
        <v>42225117</v>
      </c>
      <c r="AJ56">
        <v>64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>
      <c r="A57">
        <f>ROW(Source!A170)</f>
        <v>170</v>
      </c>
      <c r="B57">
        <v>42225121</v>
      </c>
      <c r="C57">
        <v>42225115</v>
      </c>
      <c r="D57">
        <v>38803640</v>
      </c>
      <c r="E57">
        <v>1</v>
      </c>
      <c r="F57">
        <v>1</v>
      </c>
      <c r="G57">
        <v>27</v>
      </c>
      <c r="H57">
        <v>3</v>
      </c>
      <c r="I57" t="s">
        <v>346</v>
      </c>
      <c r="J57" t="s">
        <v>372</v>
      </c>
      <c r="K57" t="s">
        <v>348</v>
      </c>
      <c r="L57">
        <v>1339</v>
      </c>
      <c r="N57">
        <v>1007</v>
      </c>
      <c r="O57" t="s">
        <v>349</v>
      </c>
      <c r="P57" t="s">
        <v>349</v>
      </c>
      <c r="Q57">
        <v>1</v>
      </c>
      <c r="X57">
        <v>6.2</v>
      </c>
      <c r="Y57">
        <v>753.67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 t="s">
        <v>3</v>
      </c>
      <c r="AG57">
        <v>6.2</v>
      </c>
      <c r="AH57">
        <v>2</v>
      </c>
      <c r="AI57">
        <v>42225118</v>
      </c>
      <c r="AJ57">
        <v>65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58">
        <f>ROW(Source!A171)</f>
        <v>171</v>
      </c>
      <c r="B58">
        <v>42225124</v>
      </c>
      <c r="C58">
        <v>42225122</v>
      </c>
      <c r="D58">
        <v>38799032</v>
      </c>
      <c r="E58">
        <v>1</v>
      </c>
      <c r="F58">
        <v>1</v>
      </c>
      <c r="G58">
        <v>27</v>
      </c>
      <c r="H58">
        <v>2</v>
      </c>
      <c r="I58" t="s">
        <v>373</v>
      </c>
      <c r="J58" t="s">
        <v>374</v>
      </c>
      <c r="K58" t="s">
        <v>375</v>
      </c>
      <c r="L58">
        <v>1368</v>
      </c>
      <c r="N58">
        <v>1011</v>
      </c>
      <c r="O58" t="s">
        <v>345</v>
      </c>
      <c r="P58" t="s">
        <v>345</v>
      </c>
      <c r="Q58">
        <v>1</v>
      </c>
      <c r="X58">
        <v>0.31</v>
      </c>
      <c r="Y58">
        <v>0</v>
      </c>
      <c r="Z58">
        <v>956.79</v>
      </c>
      <c r="AA58">
        <v>359.44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0.31</v>
      </c>
      <c r="AH58">
        <v>2</v>
      </c>
      <c r="AI58">
        <v>42225123</v>
      </c>
      <c r="AJ58">
        <v>66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>
      <c r="A59">
        <f>ROW(Source!A172)</f>
        <v>172</v>
      </c>
      <c r="B59">
        <v>42225127</v>
      </c>
      <c r="C59">
        <v>42225125</v>
      </c>
      <c r="D59">
        <v>38786840</v>
      </c>
      <c r="E59">
        <v>27</v>
      </c>
      <c r="F59">
        <v>1</v>
      </c>
      <c r="G59">
        <v>27</v>
      </c>
      <c r="H59">
        <v>1</v>
      </c>
      <c r="I59" t="s">
        <v>339</v>
      </c>
      <c r="J59" t="s">
        <v>3</v>
      </c>
      <c r="K59" t="s">
        <v>340</v>
      </c>
      <c r="L59">
        <v>1191</v>
      </c>
      <c r="N59">
        <v>1013</v>
      </c>
      <c r="O59" t="s">
        <v>341</v>
      </c>
      <c r="P59" t="s">
        <v>341</v>
      </c>
      <c r="Q59">
        <v>1</v>
      </c>
      <c r="X59">
        <v>11.73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 t="s">
        <v>3</v>
      </c>
      <c r="AG59">
        <v>11.73</v>
      </c>
      <c r="AH59">
        <v>2</v>
      </c>
      <c r="AI59">
        <v>42225126</v>
      </c>
      <c r="AJ59">
        <v>67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>
      <c r="A60">
        <f>ROW(Source!A173)</f>
        <v>173</v>
      </c>
      <c r="B60">
        <v>42225137</v>
      </c>
      <c r="C60">
        <v>42225128</v>
      </c>
      <c r="D60">
        <v>38786840</v>
      </c>
      <c r="E60">
        <v>27</v>
      </c>
      <c r="F60">
        <v>1</v>
      </c>
      <c r="G60">
        <v>27</v>
      </c>
      <c r="H60">
        <v>1</v>
      </c>
      <c r="I60" t="s">
        <v>339</v>
      </c>
      <c r="J60" t="s">
        <v>3</v>
      </c>
      <c r="K60" t="s">
        <v>340</v>
      </c>
      <c r="L60">
        <v>1191</v>
      </c>
      <c r="N60">
        <v>1013</v>
      </c>
      <c r="O60" t="s">
        <v>341</v>
      </c>
      <c r="P60" t="s">
        <v>341</v>
      </c>
      <c r="Q60">
        <v>1</v>
      </c>
      <c r="X60">
        <v>20.71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 t="s">
        <v>3</v>
      </c>
      <c r="AG60">
        <v>20.71</v>
      </c>
      <c r="AH60">
        <v>2</v>
      </c>
      <c r="AI60">
        <v>42225129</v>
      </c>
      <c r="AJ60">
        <v>68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>
      <c r="A61">
        <f>ROW(Source!A173)</f>
        <v>173</v>
      </c>
      <c r="B61">
        <v>42225138</v>
      </c>
      <c r="C61">
        <v>42225128</v>
      </c>
      <c r="D61">
        <v>38799213</v>
      </c>
      <c r="E61">
        <v>1</v>
      </c>
      <c r="F61">
        <v>1</v>
      </c>
      <c r="G61">
        <v>27</v>
      </c>
      <c r="H61">
        <v>2</v>
      </c>
      <c r="I61" t="s">
        <v>376</v>
      </c>
      <c r="J61" t="s">
        <v>377</v>
      </c>
      <c r="K61" t="s">
        <v>378</v>
      </c>
      <c r="L61">
        <v>1368</v>
      </c>
      <c r="N61">
        <v>1011</v>
      </c>
      <c r="O61" t="s">
        <v>345</v>
      </c>
      <c r="P61" t="s">
        <v>345</v>
      </c>
      <c r="Q61">
        <v>1</v>
      </c>
      <c r="X61">
        <v>0.76</v>
      </c>
      <c r="Y61">
        <v>0</v>
      </c>
      <c r="Z61">
        <v>2020.59</v>
      </c>
      <c r="AA61">
        <v>458.56</v>
      </c>
      <c r="AB61">
        <v>0</v>
      </c>
      <c r="AC61">
        <v>0</v>
      </c>
      <c r="AD61">
        <v>1</v>
      </c>
      <c r="AE61">
        <v>0</v>
      </c>
      <c r="AF61" t="s">
        <v>3</v>
      </c>
      <c r="AG61">
        <v>0.76</v>
      </c>
      <c r="AH61">
        <v>2</v>
      </c>
      <c r="AI61">
        <v>42225130</v>
      </c>
      <c r="AJ61">
        <v>69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>
      <c r="A62">
        <f>ROW(Source!A173)</f>
        <v>173</v>
      </c>
      <c r="B62">
        <v>42225139</v>
      </c>
      <c r="C62">
        <v>42225128</v>
      </c>
      <c r="D62">
        <v>38801734</v>
      </c>
      <c r="E62">
        <v>1</v>
      </c>
      <c r="F62">
        <v>1</v>
      </c>
      <c r="G62">
        <v>27</v>
      </c>
      <c r="H62">
        <v>3</v>
      </c>
      <c r="I62" t="s">
        <v>380</v>
      </c>
      <c r="J62" t="s">
        <v>381</v>
      </c>
      <c r="K62" t="s">
        <v>382</v>
      </c>
      <c r="L62">
        <v>1327</v>
      </c>
      <c r="N62">
        <v>1005</v>
      </c>
      <c r="O62" t="s">
        <v>302</v>
      </c>
      <c r="P62" t="s">
        <v>302</v>
      </c>
      <c r="Q62">
        <v>1</v>
      </c>
      <c r="X62">
        <v>1.5</v>
      </c>
      <c r="Y62">
        <v>91.89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3</v>
      </c>
      <c r="AG62">
        <v>1.5</v>
      </c>
      <c r="AH62">
        <v>2</v>
      </c>
      <c r="AI62">
        <v>42225131</v>
      </c>
      <c r="AJ62">
        <v>70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>
      <c r="A63">
        <f>ROW(Source!A173)</f>
        <v>173</v>
      </c>
      <c r="B63">
        <v>42225140</v>
      </c>
      <c r="C63">
        <v>42225128</v>
      </c>
      <c r="D63">
        <v>38801771</v>
      </c>
      <c r="E63">
        <v>1</v>
      </c>
      <c r="F63">
        <v>1</v>
      </c>
      <c r="G63">
        <v>27</v>
      </c>
      <c r="H63">
        <v>3</v>
      </c>
      <c r="I63" t="s">
        <v>350</v>
      </c>
      <c r="J63" t="s">
        <v>351</v>
      </c>
      <c r="K63" t="s">
        <v>352</v>
      </c>
      <c r="L63">
        <v>1346</v>
      </c>
      <c r="N63">
        <v>1009</v>
      </c>
      <c r="O63" t="s">
        <v>353</v>
      </c>
      <c r="P63" t="s">
        <v>353</v>
      </c>
      <c r="Q63">
        <v>1</v>
      </c>
      <c r="X63">
        <v>0.3</v>
      </c>
      <c r="Y63">
        <v>171.21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 t="s">
        <v>3</v>
      </c>
      <c r="AG63">
        <v>0.3</v>
      </c>
      <c r="AH63">
        <v>2</v>
      </c>
      <c r="AI63">
        <v>42225132</v>
      </c>
      <c r="AJ63">
        <v>71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>
      <c r="A64">
        <f>ROW(Source!A173)</f>
        <v>173</v>
      </c>
      <c r="B64">
        <v>42225141</v>
      </c>
      <c r="C64">
        <v>42225128</v>
      </c>
      <c r="D64">
        <v>38801911</v>
      </c>
      <c r="E64">
        <v>1</v>
      </c>
      <c r="F64">
        <v>1</v>
      </c>
      <c r="G64">
        <v>27</v>
      </c>
      <c r="H64">
        <v>3</v>
      </c>
      <c r="I64" t="s">
        <v>354</v>
      </c>
      <c r="J64" t="s">
        <v>355</v>
      </c>
      <c r="K64" t="s">
        <v>356</v>
      </c>
      <c r="L64">
        <v>1339</v>
      </c>
      <c r="N64">
        <v>1007</v>
      </c>
      <c r="O64" t="s">
        <v>349</v>
      </c>
      <c r="P64" t="s">
        <v>349</v>
      </c>
      <c r="Q64">
        <v>1</v>
      </c>
      <c r="X64">
        <v>2.6</v>
      </c>
      <c r="Y64">
        <v>35.25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 t="s">
        <v>3</v>
      </c>
      <c r="AG64">
        <v>2.6</v>
      </c>
      <c r="AH64">
        <v>2</v>
      </c>
      <c r="AI64">
        <v>42225133</v>
      </c>
      <c r="AJ64">
        <v>72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>
      <c r="A65">
        <f>ROW(Source!A173)</f>
        <v>173</v>
      </c>
      <c r="B65">
        <v>42225142</v>
      </c>
      <c r="C65">
        <v>42225128</v>
      </c>
      <c r="D65">
        <v>38803641</v>
      </c>
      <c r="E65">
        <v>1</v>
      </c>
      <c r="F65">
        <v>1</v>
      </c>
      <c r="G65">
        <v>27</v>
      </c>
      <c r="H65">
        <v>3</v>
      </c>
      <c r="I65" t="s">
        <v>383</v>
      </c>
      <c r="J65" t="s">
        <v>384</v>
      </c>
      <c r="K65" t="s">
        <v>385</v>
      </c>
      <c r="L65">
        <v>1339</v>
      </c>
      <c r="N65">
        <v>1007</v>
      </c>
      <c r="O65" t="s">
        <v>349</v>
      </c>
      <c r="P65" t="s">
        <v>349</v>
      </c>
      <c r="Q65">
        <v>1</v>
      </c>
      <c r="X65">
        <v>0.15840000000000001</v>
      </c>
      <c r="Y65">
        <v>3467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0.15840000000000001</v>
      </c>
      <c r="AH65">
        <v>2</v>
      </c>
      <c r="AI65">
        <v>42225134</v>
      </c>
      <c r="AJ65">
        <v>73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>
      <c r="A66">
        <f>ROW(Source!A173)</f>
        <v>173</v>
      </c>
      <c r="B66">
        <v>42225143</v>
      </c>
      <c r="C66">
        <v>42225128</v>
      </c>
      <c r="D66">
        <v>38786919</v>
      </c>
      <c r="E66">
        <v>27</v>
      </c>
      <c r="F66">
        <v>1</v>
      </c>
      <c r="G66">
        <v>27</v>
      </c>
      <c r="H66">
        <v>3</v>
      </c>
      <c r="I66" t="s">
        <v>546</v>
      </c>
      <c r="J66" t="s">
        <v>3</v>
      </c>
      <c r="K66" t="s">
        <v>547</v>
      </c>
      <c r="L66">
        <v>1354</v>
      </c>
      <c r="N66">
        <v>1010</v>
      </c>
      <c r="O66" t="s">
        <v>51</v>
      </c>
      <c r="P66" t="s">
        <v>51</v>
      </c>
      <c r="Q66">
        <v>1</v>
      </c>
      <c r="X66">
        <v>10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3</v>
      </c>
      <c r="AG66">
        <v>10</v>
      </c>
      <c r="AH66">
        <v>3</v>
      </c>
      <c r="AI66">
        <v>-1</v>
      </c>
      <c r="AJ66" t="s">
        <v>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>
      <c r="A67">
        <f>ROW(Source!A176)</f>
        <v>176</v>
      </c>
      <c r="B67">
        <v>42225150</v>
      </c>
      <c r="C67">
        <v>42225146</v>
      </c>
      <c r="D67">
        <v>38786840</v>
      </c>
      <c r="E67">
        <v>27</v>
      </c>
      <c r="F67">
        <v>1</v>
      </c>
      <c r="G67">
        <v>27</v>
      </c>
      <c r="H67">
        <v>1</v>
      </c>
      <c r="I67" t="s">
        <v>339</v>
      </c>
      <c r="J67" t="s">
        <v>3</v>
      </c>
      <c r="K67" t="s">
        <v>340</v>
      </c>
      <c r="L67">
        <v>1191</v>
      </c>
      <c r="N67">
        <v>1013</v>
      </c>
      <c r="O67" t="s">
        <v>341</v>
      </c>
      <c r="P67" t="s">
        <v>341</v>
      </c>
      <c r="Q67">
        <v>1</v>
      </c>
      <c r="X67">
        <v>21.77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1</v>
      </c>
      <c r="AF67" t="s">
        <v>3</v>
      </c>
      <c r="AG67">
        <v>21.77</v>
      </c>
      <c r="AH67">
        <v>2</v>
      </c>
      <c r="AI67">
        <v>42225147</v>
      </c>
      <c r="AJ67">
        <v>76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>
      <c r="A68">
        <f>ROW(Source!A176)</f>
        <v>176</v>
      </c>
      <c r="B68">
        <v>42225151</v>
      </c>
      <c r="C68">
        <v>42225146</v>
      </c>
      <c r="D68">
        <v>38803649</v>
      </c>
      <c r="E68">
        <v>1</v>
      </c>
      <c r="F68">
        <v>1</v>
      </c>
      <c r="G68">
        <v>27</v>
      </c>
      <c r="H68">
        <v>3</v>
      </c>
      <c r="I68" t="s">
        <v>369</v>
      </c>
      <c r="J68" t="s">
        <v>370</v>
      </c>
      <c r="K68" t="s">
        <v>371</v>
      </c>
      <c r="L68">
        <v>1339</v>
      </c>
      <c r="N68">
        <v>1007</v>
      </c>
      <c r="O68" t="s">
        <v>349</v>
      </c>
      <c r="P68" t="s">
        <v>349</v>
      </c>
      <c r="Q68">
        <v>1</v>
      </c>
      <c r="X68">
        <v>1.08</v>
      </c>
      <c r="Y68">
        <v>810.33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 t="s">
        <v>3</v>
      </c>
      <c r="AG68">
        <v>1.08</v>
      </c>
      <c r="AH68">
        <v>2</v>
      </c>
      <c r="AI68">
        <v>42225148</v>
      </c>
      <c r="AJ68">
        <v>77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>
      <c r="A69">
        <f>ROW(Source!A176)</f>
        <v>176</v>
      </c>
      <c r="B69">
        <v>42225152</v>
      </c>
      <c r="C69">
        <v>42225146</v>
      </c>
      <c r="D69">
        <v>38803640</v>
      </c>
      <c r="E69">
        <v>1</v>
      </c>
      <c r="F69">
        <v>1</v>
      </c>
      <c r="G69">
        <v>27</v>
      </c>
      <c r="H69">
        <v>3</v>
      </c>
      <c r="I69" t="s">
        <v>346</v>
      </c>
      <c r="J69" t="s">
        <v>372</v>
      </c>
      <c r="K69" t="s">
        <v>348</v>
      </c>
      <c r="L69">
        <v>1339</v>
      </c>
      <c r="N69">
        <v>1007</v>
      </c>
      <c r="O69" t="s">
        <v>349</v>
      </c>
      <c r="P69" t="s">
        <v>349</v>
      </c>
      <c r="Q69">
        <v>1</v>
      </c>
      <c r="X69">
        <v>3.23</v>
      </c>
      <c r="Y69">
        <v>753.67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 t="s">
        <v>3</v>
      </c>
      <c r="AG69">
        <v>3.23</v>
      </c>
      <c r="AH69">
        <v>2</v>
      </c>
      <c r="AI69">
        <v>42225149</v>
      </c>
      <c r="AJ69">
        <v>78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>
      <c r="A70">
        <f>ROW(Source!A177)</f>
        <v>177</v>
      </c>
      <c r="B70">
        <v>42225159</v>
      </c>
      <c r="C70">
        <v>42225153</v>
      </c>
      <c r="D70">
        <v>38786840</v>
      </c>
      <c r="E70">
        <v>27</v>
      </c>
      <c r="F70">
        <v>1</v>
      </c>
      <c r="G70">
        <v>27</v>
      </c>
      <c r="H70">
        <v>1</v>
      </c>
      <c r="I70" t="s">
        <v>339</v>
      </c>
      <c r="J70" t="s">
        <v>3</v>
      </c>
      <c r="K70" t="s">
        <v>340</v>
      </c>
      <c r="L70">
        <v>1191</v>
      </c>
      <c r="N70">
        <v>1013</v>
      </c>
      <c r="O70" t="s">
        <v>341</v>
      </c>
      <c r="P70" t="s">
        <v>341</v>
      </c>
      <c r="Q70">
        <v>1</v>
      </c>
      <c r="X70">
        <v>15.52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 t="s">
        <v>3</v>
      </c>
      <c r="AG70">
        <v>15.52</v>
      </c>
      <c r="AH70">
        <v>2</v>
      </c>
      <c r="AI70">
        <v>42225154</v>
      </c>
      <c r="AJ70">
        <v>79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>
      <c r="A71">
        <f>ROW(Source!A177)</f>
        <v>177</v>
      </c>
      <c r="B71">
        <v>42225160</v>
      </c>
      <c r="C71">
        <v>42225153</v>
      </c>
      <c r="D71">
        <v>38799622</v>
      </c>
      <c r="E71">
        <v>1</v>
      </c>
      <c r="F71">
        <v>1</v>
      </c>
      <c r="G71">
        <v>27</v>
      </c>
      <c r="H71">
        <v>2</v>
      </c>
      <c r="I71" t="s">
        <v>363</v>
      </c>
      <c r="J71" t="s">
        <v>364</v>
      </c>
      <c r="K71" t="s">
        <v>365</v>
      </c>
      <c r="L71">
        <v>1368</v>
      </c>
      <c r="N71">
        <v>1011</v>
      </c>
      <c r="O71" t="s">
        <v>345</v>
      </c>
      <c r="P71" t="s">
        <v>345</v>
      </c>
      <c r="Q71">
        <v>1</v>
      </c>
      <c r="X71">
        <v>0.28000000000000003</v>
      </c>
      <c r="Y71">
        <v>0</v>
      </c>
      <c r="Z71">
        <v>27.58</v>
      </c>
      <c r="AA71">
        <v>12.08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0.28000000000000003</v>
      </c>
      <c r="AH71">
        <v>2</v>
      </c>
      <c r="AI71">
        <v>42225155</v>
      </c>
      <c r="AJ71">
        <v>80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>
      <c r="A72">
        <f>ROW(Source!A177)</f>
        <v>177</v>
      </c>
      <c r="B72">
        <v>42225161</v>
      </c>
      <c r="C72">
        <v>42225153</v>
      </c>
      <c r="D72">
        <v>38799061</v>
      </c>
      <c r="E72">
        <v>1</v>
      </c>
      <c r="F72">
        <v>1</v>
      </c>
      <c r="G72">
        <v>27</v>
      </c>
      <c r="H72">
        <v>2</v>
      </c>
      <c r="I72" t="s">
        <v>366</v>
      </c>
      <c r="J72" t="s">
        <v>367</v>
      </c>
      <c r="K72" t="s">
        <v>368</v>
      </c>
      <c r="L72">
        <v>1368</v>
      </c>
      <c r="N72">
        <v>1011</v>
      </c>
      <c r="O72" t="s">
        <v>345</v>
      </c>
      <c r="P72" t="s">
        <v>345</v>
      </c>
      <c r="Q72">
        <v>1</v>
      </c>
      <c r="X72">
        <v>0.28000000000000003</v>
      </c>
      <c r="Y72">
        <v>0</v>
      </c>
      <c r="Z72">
        <v>991.89</v>
      </c>
      <c r="AA72">
        <v>360.79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0.28000000000000003</v>
      </c>
      <c r="AH72">
        <v>2</v>
      </c>
      <c r="AI72">
        <v>42225156</v>
      </c>
      <c r="AJ72">
        <v>81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>
      <c r="A73">
        <f>ROW(Source!A177)</f>
        <v>177</v>
      </c>
      <c r="B73">
        <v>42225162</v>
      </c>
      <c r="C73">
        <v>42225153</v>
      </c>
      <c r="D73">
        <v>38803649</v>
      </c>
      <c r="E73">
        <v>1</v>
      </c>
      <c r="F73">
        <v>1</v>
      </c>
      <c r="G73">
        <v>27</v>
      </c>
      <c r="H73">
        <v>3</v>
      </c>
      <c r="I73" t="s">
        <v>369</v>
      </c>
      <c r="J73" t="s">
        <v>370</v>
      </c>
      <c r="K73" t="s">
        <v>371</v>
      </c>
      <c r="L73">
        <v>1339</v>
      </c>
      <c r="N73">
        <v>1007</v>
      </c>
      <c r="O73" t="s">
        <v>349</v>
      </c>
      <c r="P73" t="s">
        <v>349</v>
      </c>
      <c r="Q73">
        <v>1</v>
      </c>
      <c r="X73">
        <v>1.08</v>
      </c>
      <c r="Y73">
        <v>810.33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 t="s">
        <v>3</v>
      </c>
      <c r="AG73">
        <v>1.08</v>
      </c>
      <c r="AH73">
        <v>2</v>
      </c>
      <c r="AI73">
        <v>42225157</v>
      </c>
      <c r="AJ73">
        <v>82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>
      <c r="A74">
        <f>ROW(Source!A177)</f>
        <v>177</v>
      </c>
      <c r="B74">
        <v>42225163</v>
      </c>
      <c r="C74">
        <v>42225153</v>
      </c>
      <c r="D74">
        <v>38803640</v>
      </c>
      <c r="E74">
        <v>1</v>
      </c>
      <c r="F74">
        <v>1</v>
      </c>
      <c r="G74">
        <v>27</v>
      </c>
      <c r="H74">
        <v>3</v>
      </c>
      <c r="I74" t="s">
        <v>346</v>
      </c>
      <c r="J74" t="s">
        <v>372</v>
      </c>
      <c r="K74" t="s">
        <v>348</v>
      </c>
      <c r="L74">
        <v>1339</v>
      </c>
      <c r="N74">
        <v>1007</v>
      </c>
      <c r="O74" t="s">
        <v>349</v>
      </c>
      <c r="P74" t="s">
        <v>349</v>
      </c>
      <c r="Q74">
        <v>1</v>
      </c>
      <c r="X74">
        <v>3.23</v>
      </c>
      <c r="Y74">
        <v>753.67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 t="s">
        <v>3</v>
      </c>
      <c r="AG74">
        <v>3.23</v>
      </c>
      <c r="AH74">
        <v>2</v>
      </c>
      <c r="AI74">
        <v>42225158</v>
      </c>
      <c r="AJ74">
        <v>83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>
      <c r="A75">
        <f>ROW(Source!A178)</f>
        <v>178</v>
      </c>
      <c r="B75">
        <v>42225166</v>
      </c>
      <c r="C75">
        <v>42225164</v>
      </c>
      <c r="D75">
        <v>38799032</v>
      </c>
      <c r="E75">
        <v>1</v>
      </c>
      <c r="F75">
        <v>1</v>
      </c>
      <c r="G75">
        <v>27</v>
      </c>
      <c r="H75">
        <v>2</v>
      </c>
      <c r="I75" t="s">
        <v>373</v>
      </c>
      <c r="J75" t="s">
        <v>374</v>
      </c>
      <c r="K75" t="s">
        <v>375</v>
      </c>
      <c r="L75">
        <v>1368</v>
      </c>
      <c r="N75">
        <v>1011</v>
      </c>
      <c r="O75" t="s">
        <v>345</v>
      </c>
      <c r="P75" t="s">
        <v>345</v>
      </c>
      <c r="Q75">
        <v>1</v>
      </c>
      <c r="X75">
        <v>0.31</v>
      </c>
      <c r="Y75">
        <v>0</v>
      </c>
      <c r="Z75">
        <v>956.79</v>
      </c>
      <c r="AA75">
        <v>359.44</v>
      </c>
      <c r="AB75">
        <v>0</v>
      </c>
      <c r="AC75">
        <v>0</v>
      </c>
      <c r="AD75">
        <v>1</v>
      </c>
      <c r="AE75">
        <v>0</v>
      </c>
      <c r="AF75" t="s">
        <v>3</v>
      </c>
      <c r="AG75">
        <v>0.31</v>
      </c>
      <c r="AH75">
        <v>2</v>
      </c>
      <c r="AI75">
        <v>42225165</v>
      </c>
      <c r="AJ75">
        <v>84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>
      <c r="A76">
        <f>ROW(Source!A179)</f>
        <v>179</v>
      </c>
      <c r="B76">
        <v>42225169</v>
      </c>
      <c r="C76">
        <v>42225167</v>
      </c>
      <c r="D76">
        <v>38786840</v>
      </c>
      <c r="E76">
        <v>27</v>
      </c>
      <c r="F76">
        <v>1</v>
      </c>
      <c r="G76">
        <v>27</v>
      </c>
      <c r="H76">
        <v>1</v>
      </c>
      <c r="I76" t="s">
        <v>339</v>
      </c>
      <c r="J76" t="s">
        <v>3</v>
      </c>
      <c r="K76" t="s">
        <v>340</v>
      </c>
      <c r="L76">
        <v>1191</v>
      </c>
      <c r="N76">
        <v>1013</v>
      </c>
      <c r="O76" t="s">
        <v>341</v>
      </c>
      <c r="P76" t="s">
        <v>341</v>
      </c>
      <c r="Q76">
        <v>1</v>
      </c>
      <c r="X76">
        <v>11.73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 t="s">
        <v>3</v>
      </c>
      <c r="AG76">
        <v>11.73</v>
      </c>
      <c r="AH76">
        <v>2</v>
      </c>
      <c r="AI76">
        <v>42225168</v>
      </c>
      <c r="AJ76">
        <v>85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>
      <c r="A77">
        <f>ROW(Source!A180)</f>
        <v>180</v>
      </c>
      <c r="B77">
        <v>42225182</v>
      </c>
      <c r="C77">
        <v>42225170</v>
      </c>
      <c r="D77">
        <v>38786840</v>
      </c>
      <c r="E77">
        <v>27</v>
      </c>
      <c r="F77">
        <v>1</v>
      </c>
      <c r="G77">
        <v>27</v>
      </c>
      <c r="H77">
        <v>1</v>
      </c>
      <c r="I77" t="s">
        <v>339</v>
      </c>
      <c r="J77" t="s">
        <v>3</v>
      </c>
      <c r="K77" t="s">
        <v>340</v>
      </c>
      <c r="L77">
        <v>1191</v>
      </c>
      <c r="N77">
        <v>1013</v>
      </c>
      <c r="O77" t="s">
        <v>341</v>
      </c>
      <c r="P77" t="s">
        <v>341</v>
      </c>
      <c r="Q77">
        <v>1</v>
      </c>
      <c r="X77">
        <v>14.42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1</v>
      </c>
      <c r="AF77" t="s">
        <v>3</v>
      </c>
      <c r="AG77">
        <v>14.42</v>
      </c>
      <c r="AH77">
        <v>2</v>
      </c>
      <c r="AI77">
        <v>42225171</v>
      </c>
      <c r="AJ77">
        <v>86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>
      <c r="A78">
        <f>ROW(Source!A180)</f>
        <v>180</v>
      </c>
      <c r="B78">
        <v>42225183</v>
      </c>
      <c r="C78">
        <v>42225170</v>
      </c>
      <c r="D78">
        <v>38799213</v>
      </c>
      <c r="E78">
        <v>1</v>
      </c>
      <c r="F78">
        <v>1</v>
      </c>
      <c r="G78">
        <v>27</v>
      </c>
      <c r="H78">
        <v>2</v>
      </c>
      <c r="I78" t="s">
        <v>376</v>
      </c>
      <c r="J78" t="s">
        <v>377</v>
      </c>
      <c r="K78" t="s">
        <v>378</v>
      </c>
      <c r="L78">
        <v>1368</v>
      </c>
      <c r="N78">
        <v>1011</v>
      </c>
      <c r="O78" t="s">
        <v>345</v>
      </c>
      <c r="P78" t="s">
        <v>345</v>
      </c>
      <c r="Q78">
        <v>1</v>
      </c>
      <c r="X78">
        <v>0.66</v>
      </c>
      <c r="Y78">
        <v>0</v>
      </c>
      <c r="Z78">
        <v>2020.59</v>
      </c>
      <c r="AA78">
        <v>458.56</v>
      </c>
      <c r="AB78">
        <v>0</v>
      </c>
      <c r="AC78">
        <v>0</v>
      </c>
      <c r="AD78">
        <v>1</v>
      </c>
      <c r="AE78">
        <v>0</v>
      </c>
      <c r="AF78" t="s">
        <v>3</v>
      </c>
      <c r="AG78">
        <v>0.66</v>
      </c>
      <c r="AH78">
        <v>2</v>
      </c>
      <c r="AI78">
        <v>42225172</v>
      </c>
      <c r="AJ78">
        <v>87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>
      <c r="A79">
        <f>ROW(Source!A180)</f>
        <v>180</v>
      </c>
      <c r="B79">
        <v>42225184</v>
      </c>
      <c r="C79">
        <v>42225170</v>
      </c>
      <c r="D79">
        <v>38801734</v>
      </c>
      <c r="E79">
        <v>1</v>
      </c>
      <c r="F79">
        <v>1</v>
      </c>
      <c r="G79">
        <v>27</v>
      </c>
      <c r="H79">
        <v>3</v>
      </c>
      <c r="I79" t="s">
        <v>380</v>
      </c>
      <c r="J79" t="s">
        <v>381</v>
      </c>
      <c r="K79" t="s">
        <v>382</v>
      </c>
      <c r="L79">
        <v>1327</v>
      </c>
      <c r="N79">
        <v>1005</v>
      </c>
      <c r="O79" t="s">
        <v>302</v>
      </c>
      <c r="P79" t="s">
        <v>302</v>
      </c>
      <c r="Q79">
        <v>1</v>
      </c>
      <c r="X79">
        <v>1.5</v>
      </c>
      <c r="Y79">
        <v>91.89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 t="s">
        <v>3</v>
      </c>
      <c r="AG79">
        <v>1.5</v>
      </c>
      <c r="AH79">
        <v>2</v>
      </c>
      <c r="AI79">
        <v>42225173</v>
      </c>
      <c r="AJ79">
        <v>88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>
      <c r="A80">
        <f>ROW(Source!A180)</f>
        <v>180</v>
      </c>
      <c r="B80">
        <v>42225185</v>
      </c>
      <c r="C80">
        <v>42225170</v>
      </c>
      <c r="D80">
        <v>38801771</v>
      </c>
      <c r="E80">
        <v>1</v>
      </c>
      <c r="F80">
        <v>1</v>
      </c>
      <c r="G80">
        <v>27</v>
      </c>
      <c r="H80">
        <v>3</v>
      </c>
      <c r="I80" t="s">
        <v>350</v>
      </c>
      <c r="J80" t="s">
        <v>351</v>
      </c>
      <c r="K80" t="s">
        <v>352</v>
      </c>
      <c r="L80">
        <v>1346</v>
      </c>
      <c r="N80">
        <v>1009</v>
      </c>
      <c r="O80" t="s">
        <v>353</v>
      </c>
      <c r="P80" t="s">
        <v>353</v>
      </c>
      <c r="Q80">
        <v>1</v>
      </c>
      <c r="X80">
        <v>0.3</v>
      </c>
      <c r="Y80">
        <v>171.21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0.3</v>
      </c>
      <c r="AH80">
        <v>2</v>
      </c>
      <c r="AI80">
        <v>42225174</v>
      </c>
      <c r="AJ80">
        <v>89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>
      <c r="A81">
        <f>ROW(Source!A180)</f>
        <v>180</v>
      </c>
      <c r="B81">
        <v>42225186</v>
      </c>
      <c r="C81">
        <v>42225170</v>
      </c>
      <c r="D81">
        <v>38801911</v>
      </c>
      <c r="E81">
        <v>1</v>
      </c>
      <c r="F81">
        <v>1</v>
      </c>
      <c r="G81">
        <v>27</v>
      </c>
      <c r="H81">
        <v>3</v>
      </c>
      <c r="I81" t="s">
        <v>354</v>
      </c>
      <c r="J81" t="s">
        <v>355</v>
      </c>
      <c r="K81" t="s">
        <v>356</v>
      </c>
      <c r="L81">
        <v>1339</v>
      </c>
      <c r="N81">
        <v>1007</v>
      </c>
      <c r="O81" t="s">
        <v>349</v>
      </c>
      <c r="P81" t="s">
        <v>349</v>
      </c>
      <c r="Q81">
        <v>1</v>
      </c>
      <c r="X81">
        <v>2.2000000000000002</v>
      </c>
      <c r="Y81">
        <v>35.25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 t="s">
        <v>3</v>
      </c>
      <c r="AG81">
        <v>2.2000000000000002</v>
      </c>
      <c r="AH81">
        <v>2</v>
      </c>
      <c r="AI81">
        <v>42225175</v>
      </c>
      <c r="AJ81">
        <v>90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>
      <c r="A82">
        <f>ROW(Source!A180)</f>
        <v>180</v>
      </c>
      <c r="B82">
        <v>42225187</v>
      </c>
      <c r="C82">
        <v>42225170</v>
      </c>
      <c r="D82">
        <v>38803641</v>
      </c>
      <c r="E82">
        <v>1</v>
      </c>
      <c r="F82">
        <v>1</v>
      </c>
      <c r="G82">
        <v>27</v>
      </c>
      <c r="H82">
        <v>3</v>
      </c>
      <c r="I82" t="s">
        <v>383</v>
      </c>
      <c r="J82" t="s">
        <v>384</v>
      </c>
      <c r="K82" t="s">
        <v>385</v>
      </c>
      <c r="L82">
        <v>1339</v>
      </c>
      <c r="N82">
        <v>1007</v>
      </c>
      <c r="O82" t="s">
        <v>349</v>
      </c>
      <c r="P82" t="s">
        <v>349</v>
      </c>
      <c r="Q82">
        <v>1</v>
      </c>
      <c r="X82">
        <v>0.15840000000000001</v>
      </c>
      <c r="Y82">
        <v>3467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0.15840000000000001</v>
      </c>
      <c r="AH82">
        <v>2</v>
      </c>
      <c r="AI82">
        <v>42225176</v>
      </c>
      <c r="AJ82">
        <v>91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>
      <c r="A83">
        <f>ROW(Source!A180)</f>
        <v>180</v>
      </c>
      <c r="B83">
        <v>42225188</v>
      </c>
      <c r="C83">
        <v>42225170</v>
      </c>
      <c r="D83">
        <v>38786919</v>
      </c>
      <c r="E83">
        <v>27</v>
      </c>
      <c r="F83">
        <v>1</v>
      </c>
      <c r="G83">
        <v>27</v>
      </c>
      <c r="H83">
        <v>3</v>
      </c>
      <c r="I83" t="s">
        <v>546</v>
      </c>
      <c r="J83" t="s">
        <v>3</v>
      </c>
      <c r="K83" t="s">
        <v>547</v>
      </c>
      <c r="L83">
        <v>1354</v>
      </c>
      <c r="N83">
        <v>1010</v>
      </c>
      <c r="O83" t="s">
        <v>51</v>
      </c>
      <c r="P83" t="s">
        <v>51</v>
      </c>
      <c r="Q83">
        <v>1</v>
      </c>
      <c r="X83">
        <v>10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3</v>
      </c>
      <c r="AG83">
        <v>10</v>
      </c>
      <c r="AH83">
        <v>3</v>
      </c>
      <c r="AI83">
        <v>-1</v>
      </c>
      <c r="AJ83" t="s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>
      <c r="A84">
        <f>ROW(Source!A223)</f>
        <v>223</v>
      </c>
      <c r="B84">
        <v>42225197</v>
      </c>
      <c r="C84">
        <v>42225194</v>
      </c>
      <c r="D84">
        <v>38786840</v>
      </c>
      <c r="E84">
        <v>27</v>
      </c>
      <c r="F84">
        <v>1</v>
      </c>
      <c r="G84">
        <v>27</v>
      </c>
      <c r="H84">
        <v>1</v>
      </c>
      <c r="I84" t="s">
        <v>339</v>
      </c>
      <c r="J84" t="s">
        <v>3</v>
      </c>
      <c r="K84" t="s">
        <v>340</v>
      </c>
      <c r="L84">
        <v>1191</v>
      </c>
      <c r="N84">
        <v>1013</v>
      </c>
      <c r="O84" t="s">
        <v>341</v>
      </c>
      <c r="P84" t="s">
        <v>341</v>
      </c>
      <c r="Q84">
        <v>1</v>
      </c>
      <c r="X84">
        <v>1.96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 t="s">
        <v>3</v>
      </c>
      <c r="AG84">
        <v>1.96</v>
      </c>
      <c r="AH84">
        <v>2</v>
      </c>
      <c r="AI84">
        <v>42225195</v>
      </c>
      <c r="AJ84">
        <v>97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>
      <c r="A85">
        <f>ROW(Source!A223)</f>
        <v>223</v>
      </c>
      <c r="B85">
        <v>42225198</v>
      </c>
      <c r="C85">
        <v>42225194</v>
      </c>
      <c r="D85">
        <v>38803651</v>
      </c>
      <c r="E85">
        <v>1</v>
      </c>
      <c r="F85">
        <v>1</v>
      </c>
      <c r="G85">
        <v>27</v>
      </c>
      <c r="H85">
        <v>3</v>
      </c>
      <c r="I85" t="s">
        <v>386</v>
      </c>
      <c r="J85" t="s">
        <v>387</v>
      </c>
      <c r="K85" t="s">
        <v>388</v>
      </c>
      <c r="L85">
        <v>1346</v>
      </c>
      <c r="N85">
        <v>1009</v>
      </c>
      <c r="O85" t="s">
        <v>353</v>
      </c>
      <c r="P85" t="s">
        <v>353</v>
      </c>
      <c r="Q85">
        <v>1</v>
      </c>
      <c r="X85">
        <v>120</v>
      </c>
      <c r="Y85">
        <v>43.69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120</v>
      </c>
      <c r="AH85">
        <v>2</v>
      </c>
      <c r="AI85">
        <v>42225196</v>
      </c>
      <c r="AJ85">
        <v>98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>
      <c r="A86">
        <f>ROW(Source!A224)</f>
        <v>224</v>
      </c>
      <c r="B86">
        <v>42225202</v>
      </c>
      <c r="C86">
        <v>42225199</v>
      </c>
      <c r="D86">
        <v>38786840</v>
      </c>
      <c r="E86">
        <v>27</v>
      </c>
      <c r="F86">
        <v>1</v>
      </c>
      <c r="G86">
        <v>27</v>
      </c>
      <c r="H86">
        <v>1</v>
      </c>
      <c r="I86" t="s">
        <v>339</v>
      </c>
      <c r="J86" t="s">
        <v>3</v>
      </c>
      <c r="K86" t="s">
        <v>340</v>
      </c>
      <c r="L86">
        <v>1191</v>
      </c>
      <c r="N86">
        <v>1013</v>
      </c>
      <c r="O86" t="s">
        <v>341</v>
      </c>
      <c r="P86" t="s">
        <v>341</v>
      </c>
      <c r="Q86">
        <v>1</v>
      </c>
      <c r="X86">
        <v>0.85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 t="s">
        <v>221</v>
      </c>
      <c r="AG86">
        <v>2.5499999999999998</v>
      </c>
      <c r="AH86">
        <v>2</v>
      </c>
      <c r="AI86">
        <v>42225200</v>
      </c>
      <c r="AJ86">
        <v>99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>
      <c r="A87">
        <f>ROW(Source!A224)</f>
        <v>224</v>
      </c>
      <c r="B87">
        <v>42225203</v>
      </c>
      <c r="C87">
        <v>42225199</v>
      </c>
      <c r="D87">
        <v>38803651</v>
      </c>
      <c r="E87">
        <v>1</v>
      </c>
      <c r="F87">
        <v>1</v>
      </c>
      <c r="G87">
        <v>27</v>
      </c>
      <c r="H87">
        <v>3</v>
      </c>
      <c r="I87" t="s">
        <v>386</v>
      </c>
      <c r="J87" t="s">
        <v>387</v>
      </c>
      <c r="K87" t="s">
        <v>388</v>
      </c>
      <c r="L87">
        <v>1346</v>
      </c>
      <c r="N87">
        <v>1009</v>
      </c>
      <c r="O87" t="s">
        <v>353</v>
      </c>
      <c r="P87" t="s">
        <v>353</v>
      </c>
      <c r="Q87">
        <v>1</v>
      </c>
      <c r="X87">
        <v>60</v>
      </c>
      <c r="Y87">
        <v>43.69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 t="s">
        <v>221</v>
      </c>
      <c r="AG87">
        <v>180</v>
      </c>
      <c r="AH87">
        <v>2</v>
      </c>
      <c r="AI87">
        <v>42225201</v>
      </c>
      <c r="AJ87">
        <v>100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>
      <c r="A88">
        <f>ROW(Source!A225)</f>
        <v>225</v>
      </c>
      <c r="B88">
        <v>42225216</v>
      </c>
      <c r="C88">
        <v>42225204</v>
      </c>
      <c r="D88">
        <v>38786840</v>
      </c>
      <c r="E88">
        <v>27</v>
      </c>
      <c r="F88">
        <v>1</v>
      </c>
      <c r="G88">
        <v>27</v>
      </c>
      <c r="H88">
        <v>1</v>
      </c>
      <c r="I88" t="s">
        <v>339</v>
      </c>
      <c r="J88" t="s">
        <v>3</v>
      </c>
      <c r="K88" t="s">
        <v>340</v>
      </c>
      <c r="L88">
        <v>1191</v>
      </c>
      <c r="N88">
        <v>1013</v>
      </c>
      <c r="O88" t="s">
        <v>341</v>
      </c>
      <c r="P88" t="s">
        <v>341</v>
      </c>
      <c r="Q88">
        <v>1</v>
      </c>
      <c r="X88">
        <v>124.37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 t="s">
        <v>3</v>
      </c>
      <c r="AG88">
        <v>124.37</v>
      </c>
      <c r="AH88">
        <v>2</v>
      </c>
      <c r="AI88">
        <v>42225205</v>
      </c>
      <c r="AJ88">
        <v>101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>
      <c r="A89">
        <f>ROW(Source!A225)</f>
        <v>225</v>
      </c>
      <c r="B89">
        <v>42225217</v>
      </c>
      <c r="C89">
        <v>42225204</v>
      </c>
      <c r="D89">
        <v>38799817</v>
      </c>
      <c r="E89">
        <v>1</v>
      </c>
      <c r="F89">
        <v>1</v>
      </c>
      <c r="G89">
        <v>27</v>
      </c>
      <c r="H89">
        <v>2</v>
      </c>
      <c r="I89" t="s">
        <v>389</v>
      </c>
      <c r="J89" t="s">
        <v>390</v>
      </c>
      <c r="K89" t="s">
        <v>391</v>
      </c>
      <c r="L89">
        <v>1368</v>
      </c>
      <c r="N89">
        <v>1011</v>
      </c>
      <c r="O89" t="s">
        <v>345</v>
      </c>
      <c r="P89" t="s">
        <v>345</v>
      </c>
      <c r="Q89">
        <v>1</v>
      </c>
      <c r="X89">
        <v>1.1000000000000001</v>
      </c>
      <c r="Y89">
        <v>0</v>
      </c>
      <c r="Z89">
        <v>641.88</v>
      </c>
      <c r="AA89">
        <v>413.66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1.1000000000000001</v>
      </c>
      <c r="AH89">
        <v>2</v>
      </c>
      <c r="AI89">
        <v>42225206</v>
      </c>
      <c r="AJ89">
        <v>102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>
      <c r="A90">
        <f>ROW(Source!A225)</f>
        <v>225</v>
      </c>
      <c r="B90">
        <v>42225218</v>
      </c>
      <c r="C90">
        <v>42225204</v>
      </c>
      <c r="D90">
        <v>38799852</v>
      </c>
      <c r="E90">
        <v>1</v>
      </c>
      <c r="F90">
        <v>1</v>
      </c>
      <c r="G90">
        <v>27</v>
      </c>
      <c r="H90">
        <v>2</v>
      </c>
      <c r="I90" t="s">
        <v>392</v>
      </c>
      <c r="J90" t="s">
        <v>393</v>
      </c>
      <c r="K90" t="s">
        <v>394</v>
      </c>
      <c r="L90">
        <v>1368</v>
      </c>
      <c r="N90">
        <v>1011</v>
      </c>
      <c r="O90" t="s">
        <v>345</v>
      </c>
      <c r="P90" t="s">
        <v>345</v>
      </c>
      <c r="Q90">
        <v>1</v>
      </c>
      <c r="X90">
        <v>7.12</v>
      </c>
      <c r="Y90">
        <v>0</v>
      </c>
      <c r="Z90">
        <v>7.97</v>
      </c>
      <c r="AA90">
        <v>1.87</v>
      </c>
      <c r="AB90">
        <v>0</v>
      </c>
      <c r="AC90">
        <v>0</v>
      </c>
      <c r="AD90">
        <v>1</v>
      </c>
      <c r="AE90">
        <v>0</v>
      </c>
      <c r="AF90" t="s">
        <v>3</v>
      </c>
      <c r="AG90">
        <v>7.12</v>
      </c>
      <c r="AH90">
        <v>2</v>
      </c>
      <c r="AI90">
        <v>42225207</v>
      </c>
      <c r="AJ90">
        <v>103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>
      <c r="A91">
        <f>ROW(Source!A225)</f>
        <v>225</v>
      </c>
      <c r="B91">
        <v>42225219</v>
      </c>
      <c r="C91">
        <v>42225204</v>
      </c>
      <c r="D91">
        <v>38800826</v>
      </c>
      <c r="E91">
        <v>1</v>
      </c>
      <c r="F91">
        <v>1</v>
      </c>
      <c r="G91">
        <v>27</v>
      </c>
      <c r="H91">
        <v>3</v>
      </c>
      <c r="I91" t="s">
        <v>395</v>
      </c>
      <c r="J91" t="s">
        <v>396</v>
      </c>
      <c r="K91" t="s">
        <v>397</v>
      </c>
      <c r="L91">
        <v>1348</v>
      </c>
      <c r="N91">
        <v>1009</v>
      </c>
      <c r="O91" t="s">
        <v>281</v>
      </c>
      <c r="P91" t="s">
        <v>281</v>
      </c>
      <c r="Q91">
        <v>1000</v>
      </c>
      <c r="X91">
        <v>0.11</v>
      </c>
      <c r="Y91">
        <v>53313.54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 t="s">
        <v>3</v>
      </c>
      <c r="AG91">
        <v>0.11</v>
      </c>
      <c r="AH91">
        <v>2</v>
      </c>
      <c r="AI91">
        <v>42225208</v>
      </c>
      <c r="AJ91">
        <v>104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>
      <c r="A92">
        <f>ROW(Source!A225)</f>
        <v>225</v>
      </c>
      <c r="B92">
        <v>42225220</v>
      </c>
      <c r="C92">
        <v>42225204</v>
      </c>
      <c r="D92">
        <v>38801166</v>
      </c>
      <c r="E92">
        <v>1</v>
      </c>
      <c r="F92">
        <v>1</v>
      </c>
      <c r="G92">
        <v>27</v>
      </c>
      <c r="H92">
        <v>3</v>
      </c>
      <c r="I92" t="s">
        <v>398</v>
      </c>
      <c r="J92" t="s">
        <v>399</v>
      </c>
      <c r="K92" t="s">
        <v>400</v>
      </c>
      <c r="L92">
        <v>1339</v>
      </c>
      <c r="N92">
        <v>1007</v>
      </c>
      <c r="O92" t="s">
        <v>349</v>
      </c>
      <c r="P92" t="s">
        <v>349</v>
      </c>
      <c r="Q92">
        <v>1</v>
      </c>
      <c r="X92">
        <v>3.4</v>
      </c>
      <c r="Y92">
        <v>590.78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3.4</v>
      </c>
      <c r="AH92">
        <v>2</v>
      </c>
      <c r="AI92">
        <v>42225209</v>
      </c>
      <c r="AJ92">
        <v>105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>
      <c r="A93">
        <f>ROW(Source!A225)</f>
        <v>225</v>
      </c>
      <c r="B93">
        <v>42225221</v>
      </c>
      <c r="C93">
        <v>42225204</v>
      </c>
      <c r="D93">
        <v>38801184</v>
      </c>
      <c r="E93">
        <v>1</v>
      </c>
      <c r="F93">
        <v>1</v>
      </c>
      <c r="G93">
        <v>27</v>
      </c>
      <c r="H93">
        <v>3</v>
      </c>
      <c r="I93" t="s">
        <v>401</v>
      </c>
      <c r="J93" t="s">
        <v>402</v>
      </c>
      <c r="K93" t="s">
        <v>403</v>
      </c>
      <c r="L93">
        <v>1339</v>
      </c>
      <c r="N93">
        <v>1007</v>
      </c>
      <c r="O93" t="s">
        <v>349</v>
      </c>
      <c r="P93" t="s">
        <v>349</v>
      </c>
      <c r="Q93">
        <v>1</v>
      </c>
      <c r="X93">
        <v>3.4</v>
      </c>
      <c r="Y93">
        <v>1436.5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3.4</v>
      </c>
      <c r="AH93">
        <v>2</v>
      </c>
      <c r="AI93">
        <v>42225210</v>
      </c>
      <c r="AJ93">
        <v>106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>
      <c r="A94">
        <f>ROW(Source!A225)</f>
        <v>225</v>
      </c>
      <c r="B94">
        <v>42225222</v>
      </c>
      <c r="C94">
        <v>42225204</v>
      </c>
      <c r="D94">
        <v>38801216</v>
      </c>
      <c r="E94">
        <v>1</v>
      </c>
      <c r="F94">
        <v>1</v>
      </c>
      <c r="G94">
        <v>27</v>
      </c>
      <c r="H94">
        <v>3</v>
      </c>
      <c r="I94" t="s">
        <v>404</v>
      </c>
      <c r="J94" t="s">
        <v>405</v>
      </c>
      <c r="K94" t="s">
        <v>406</v>
      </c>
      <c r="L94">
        <v>1348</v>
      </c>
      <c r="N94">
        <v>1009</v>
      </c>
      <c r="O94" t="s">
        <v>281</v>
      </c>
      <c r="P94" t="s">
        <v>281</v>
      </c>
      <c r="Q94">
        <v>1000</v>
      </c>
      <c r="X94">
        <v>1.46</v>
      </c>
      <c r="Y94">
        <v>9548.1200000000008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1.46</v>
      </c>
      <c r="AH94">
        <v>2</v>
      </c>
      <c r="AI94">
        <v>42225211</v>
      </c>
      <c r="AJ94">
        <v>107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>
      <c r="A95">
        <f>ROW(Source!A225)</f>
        <v>225</v>
      </c>
      <c r="B95">
        <v>42225223</v>
      </c>
      <c r="C95">
        <v>42225204</v>
      </c>
      <c r="D95">
        <v>38801217</v>
      </c>
      <c r="E95">
        <v>1</v>
      </c>
      <c r="F95">
        <v>1</v>
      </c>
      <c r="G95">
        <v>27</v>
      </c>
      <c r="H95">
        <v>3</v>
      </c>
      <c r="I95" t="s">
        <v>407</v>
      </c>
      <c r="J95" t="s">
        <v>408</v>
      </c>
      <c r="K95" t="s">
        <v>409</v>
      </c>
      <c r="L95">
        <v>1327</v>
      </c>
      <c r="N95">
        <v>1005</v>
      </c>
      <c r="O95" t="s">
        <v>302</v>
      </c>
      <c r="P95" t="s">
        <v>302</v>
      </c>
      <c r="Q95">
        <v>1</v>
      </c>
      <c r="X95">
        <v>10</v>
      </c>
      <c r="Y95">
        <v>4659.1099999999997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3</v>
      </c>
      <c r="AG95">
        <v>10</v>
      </c>
      <c r="AH95">
        <v>2</v>
      </c>
      <c r="AI95">
        <v>42225212</v>
      </c>
      <c r="AJ95">
        <v>108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>
      <c r="A96">
        <f>ROW(Source!A225)</f>
        <v>225</v>
      </c>
      <c r="B96">
        <v>42225224</v>
      </c>
      <c r="C96">
        <v>42225204</v>
      </c>
      <c r="D96">
        <v>38800114</v>
      </c>
      <c r="E96">
        <v>1</v>
      </c>
      <c r="F96">
        <v>1</v>
      </c>
      <c r="G96">
        <v>27</v>
      </c>
      <c r="H96">
        <v>3</v>
      </c>
      <c r="I96" t="s">
        <v>410</v>
      </c>
      <c r="J96" t="s">
        <v>411</v>
      </c>
      <c r="K96" t="s">
        <v>412</v>
      </c>
      <c r="L96">
        <v>1348</v>
      </c>
      <c r="N96">
        <v>1009</v>
      </c>
      <c r="O96" t="s">
        <v>281</v>
      </c>
      <c r="P96" t="s">
        <v>281</v>
      </c>
      <c r="Q96">
        <v>1000</v>
      </c>
      <c r="X96">
        <v>1.3</v>
      </c>
      <c r="Y96">
        <v>4207.5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 t="s">
        <v>3</v>
      </c>
      <c r="AG96">
        <v>1.3</v>
      </c>
      <c r="AH96">
        <v>2</v>
      </c>
      <c r="AI96">
        <v>42225213</v>
      </c>
      <c r="AJ96">
        <v>109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>
      <c r="A97">
        <f>ROW(Source!A225)</f>
        <v>225</v>
      </c>
      <c r="B97">
        <v>42225225</v>
      </c>
      <c r="C97">
        <v>42225204</v>
      </c>
      <c r="D97">
        <v>38801911</v>
      </c>
      <c r="E97">
        <v>1</v>
      </c>
      <c r="F97">
        <v>1</v>
      </c>
      <c r="G97">
        <v>27</v>
      </c>
      <c r="H97">
        <v>3</v>
      </c>
      <c r="I97" t="s">
        <v>354</v>
      </c>
      <c r="J97" t="s">
        <v>355</v>
      </c>
      <c r="K97" t="s">
        <v>356</v>
      </c>
      <c r="L97">
        <v>1339</v>
      </c>
      <c r="N97">
        <v>1007</v>
      </c>
      <c r="O97" t="s">
        <v>349</v>
      </c>
      <c r="P97" t="s">
        <v>349</v>
      </c>
      <c r="Q97">
        <v>1</v>
      </c>
      <c r="X97">
        <v>1</v>
      </c>
      <c r="Y97">
        <v>35.25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 t="s">
        <v>3</v>
      </c>
      <c r="AG97">
        <v>1</v>
      </c>
      <c r="AH97">
        <v>2</v>
      </c>
      <c r="AI97">
        <v>42225214</v>
      </c>
      <c r="AJ97">
        <v>110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>
      <c r="A98">
        <f>ROW(Source!A225)</f>
        <v>225</v>
      </c>
      <c r="B98">
        <v>42225226</v>
      </c>
      <c r="C98">
        <v>42225204</v>
      </c>
      <c r="D98">
        <v>38803130</v>
      </c>
      <c r="E98">
        <v>1</v>
      </c>
      <c r="F98">
        <v>1</v>
      </c>
      <c r="G98">
        <v>27</v>
      </c>
      <c r="H98">
        <v>3</v>
      </c>
      <c r="I98" t="s">
        <v>413</v>
      </c>
      <c r="J98" t="s">
        <v>414</v>
      </c>
      <c r="K98" t="s">
        <v>415</v>
      </c>
      <c r="L98">
        <v>1348</v>
      </c>
      <c r="N98">
        <v>1009</v>
      </c>
      <c r="O98" t="s">
        <v>281</v>
      </c>
      <c r="P98" t="s">
        <v>281</v>
      </c>
      <c r="Q98">
        <v>1000</v>
      </c>
      <c r="X98">
        <v>0.03</v>
      </c>
      <c r="Y98">
        <v>36434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 t="s">
        <v>3</v>
      </c>
      <c r="AG98">
        <v>0.03</v>
      </c>
      <c r="AH98">
        <v>2</v>
      </c>
      <c r="AI98">
        <v>42225215</v>
      </c>
      <c r="AJ98">
        <v>111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>
      <c r="A99">
        <f>ROW(Source!A263)</f>
        <v>263</v>
      </c>
      <c r="B99">
        <v>42225232</v>
      </c>
      <c r="C99">
        <v>42225227</v>
      </c>
      <c r="D99">
        <v>38786840</v>
      </c>
      <c r="E99">
        <v>27</v>
      </c>
      <c r="F99">
        <v>1</v>
      </c>
      <c r="G99">
        <v>27</v>
      </c>
      <c r="H99">
        <v>1</v>
      </c>
      <c r="I99" t="s">
        <v>339</v>
      </c>
      <c r="J99" t="s">
        <v>3</v>
      </c>
      <c r="K99" t="s">
        <v>340</v>
      </c>
      <c r="L99">
        <v>1191</v>
      </c>
      <c r="N99">
        <v>1013</v>
      </c>
      <c r="O99" t="s">
        <v>341</v>
      </c>
      <c r="P99" t="s">
        <v>341</v>
      </c>
      <c r="Q99">
        <v>1</v>
      </c>
      <c r="X99">
        <v>30.8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 t="s">
        <v>3</v>
      </c>
      <c r="AG99">
        <v>30.8</v>
      </c>
      <c r="AH99">
        <v>2</v>
      </c>
      <c r="AI99">
        <v>42225228</v>
      </c>
      <c r="AJ99">
        <v>112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>
      <c r="A100">
        <f>ROW(Source!A263)</f>
        <v>263</v>
      </c>
      <c r="B100">
        <v>42225233</v>
      </c>
      <c r="C100">
        <v>42225227</v>
      </c>
      <c r="D100">
        <v>38799611</v>
      </c>
      <c r="E100">
        <v>1</v>
      </c>
      <c r="F100">
        <v>1</v>
      </c>
      <c r="G100">
        <v>27</v>
      </c>
      <c r="H100">
        <v>2</v>
      </c>
      <c r="I100" t="s">
        <v>416</v>
      </c>
      <c r="J100" t="s">
        <v>417</v>
      </c>
      <c r="K100" t="s">
        <v>418</v>
      </c>
      <c r="L100">
        <v>1368</v>
      </c>
      <c r="N100">
        <v>1011</v>
      </c>
      <c r="O100" t="s">
        <v>345</v>
      </c>
      <c r="P100" t="s">
        <v>345</v>
      </c>
      <c r="Q100">
        <v>1</v>
      </c>
      <c r="X100">
        <v>0.06</v>
      </c>
      <c r="Y100">
        <v>0</v>
      </c>
      <c r="Z100">
        <v>20.7</v>
      </c>
      <c r="AA100">
        <v>9.74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0.06</v>
      </c>
      <c r="AH100">
        <v>2</v>
      </c>
      <c r="AI100">
        <v>42225229</v>
      </c>
      <c r="AJ100">
        <v>113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>
      <c r="A101">
        <f>ROW(Source!A263)</f>
        <v>263</v>
      </c>
      <c r="B101">
        <v>42225234</v>
      </c>
      <c r="C101">
        <v>42225227</v>
      </c>
      <c r="D101">
        <v>38799061</v>
      </c>
      <c r="E101">
        <v>1</v>
      </c>
      <c r="F101">
        <v>1</v>
      </c>
      <c r="G101">
        <v>27</v>
      </c>
      <c r="H101">
        <v>2</v>
      </c>
      <c r="I101" t="s">
        <v>366</v>
      </c>
      <c r="J101" t="s">
        <v>367</v>
      </c>
      <c r="K101" t="s">
        <v>368</v>
      </c>
      <c r="L101">
        <v>1368</v>
      </c>
      <c r="N101">
        <v>1011</v>
      </c>
      <c r="O101" t="s">
        <v>345</v>
      </c>
      <c r="P101" t="s">
        <v>345</v>
      </c>
      <c r="Q101">
        <v>1</v>
      </c>
      <c r="X101">
        <v>0.06</v>
      </c>
      <c r="Y101">
        <v>0</v>
      </c>
      <c r="Z101">
        <v>991.89</v>
      </c>
      <c r="AA101">
        <v>360.79</v>
      </c>
      <c r="AB101">
        <v>0</v>
      </c>
      <c r="AC101">
        <v>0</v>
      </c>
      <c r="AD101">
        <v>1</v>
      </c>
      <c r="AE101">
        <v>0</v>
      </c>
      <c r="AF101" t="s">
        <v>3</v>
      </c>
      <c r="AG101">
        <v>0.06</v>
      </c>
      <c r="AH101">
        <v>2</v>
      </c>
      <c r="AI101">
        <v>42225230</v>
      </c>
      <c r="AJ101">
        <v>114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>
      <c r="A102">
        <f>ROW(Source!A263)</f>
        <v>263</v>
      </c>
      <c r="B102">
        <v>42225235</v>
      </c>
      <c r="C102">
        <v>42225227</v>
      </c>
      <c r="D102">
        <v>38803640</v>
      </c>
      <c r="E102">
        <v>1</v>
      </c>
      <c r="F102">
        <v>1</v>
      </c>
      <c r="G102">
        <v>27</v>
      </c>
      <c r="H102">
        <v>3</v>
      </c>
      <c r="I102" t="s">
        <v>346</v>
      </c>
      <c r="J102" t="s">
        <v>372</v>
      </c>
      <c r="K102" t="s">
        <v>348</v>
      </c>
      <c r="L102">
        <v>1339</v>
      </c>
      <c r="N102">
        <v>1007</v>
      </c>
      <c r="O102" t="s">
        <v>349</v>
      </c>
      <c r="P102" t="s">
        <v>349</v>
      </c>
      <c r="Q102">
        <v>1</v>
      </c>
      <c r="X102">
        <v>15</v>
      </c>
      <c r="Y102">
        <v>753.67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 t="s">
        <v>3</v>
      </c>
      <c r="AG102">
        <v>15</v>
      </c>
      <c r="AH102">
        <v>2</v>
      </c>
      <c r="AI102">
        <v>42225231</v>
      </c>
      <c r="AJ102">
        <v>115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>
      <c r="A103">
        <f>ROW(Source!A264)</f>
        <v>264</v>
      </c>
      <c r="B103">
        <v>42225239</v>
      </c>
      <c r="C103">
        <v>42225236</v>
      </c>
      <c r="D103">
        <v>38786840</v>
      </c>
      <c r="E103">
        <v>27</v>
      </c>
      <c r="F103">
        <v>1</v>
      </c>
      <c r="G103">
        <v>27</v>
      </c>
      <c r="H103">
        <v>1</v>
      </c>
      <c r="I103" t="s">
        <v>339</v>
      </c>
      <c r="J103" t="s">
        <v>3</v>
      </c>
      <c r="K103" t="s">
        <v>340</v>
      </c>
      <c r="L103">
        <v>1191</v>
      </c>
      <c r="N103">
        <v>1013</v>
      </c>
      <c r="O103" t="s">
        <v>341</v>
      </c>
      <c r="P103" t="s">
        <v>341</v>
      </c>
      <c r="Q103">
        <v>1</v>
      </c>
      <c r="X103">
        <v>46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1</v>
      </c>
      <c r="AF103" t="s">
        <v>3</v>
      </c>
      <c r="AG103">
        <v>46</v>
      </c>
      <c r="AH103">
        <v>2</v>
      </c>
      <c r="AI103">
        <v>42225237</v>
      </c>
      <c r="AJ103">
        <v>116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>
      <c r="A104">
        <f>ROW(Source!A264)</f>
        <v>264</v>
      </c>
      <c r="B104">
        <v>42225240</v>
      </c>
      <c r="C104">
        <v>42225236</v>
      </c>
      <c r="D104">
        <v>38803640</v>
      </c>
      <c r="E104">
        <v>1</v>
      </c>
      <c r="F104">
        <v>1</v>
      </c>
      <c r="G104">
        <v>27</v>
      </c>
      <c r="H104">
        <v>3</v>
      </c>
      <c r="I104" t="s">
        <v>346</v>
      </c>
      <c r="J104" t="s">
        <v>372</v>
      </c>
      <c r="K104" t="s">
        <v>348</v>
      </c>
      <c r="L104">
        <v>1339</v>
      </c>
      <c r="N104">
        <v>1007</v>
      </c>
      <c r="O104" t="s">
        <v>349</v>
      </c>
      <c r="P104" t="s">
        <v>349</v>
      </c>
      <c r="Q104">
        <v>1</v>
      </c>
      <c r="X104">
        <v>15</v>
      </c>
      <c r="Y104">
        <v>753.67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15</v>
      </c>
      <c r="AH104">
        <v>2</v>
      </c>
      <c r="AI104">
        <v>42225238</v>
      </c>
      <c r="AJ104">
        <v>117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>
      <c r="A105">
        <f>ROW(Source!A265)</f>
        <v>265</v>
      </c>
      <c r="B105">
        <v>42225244</v>
      </c>
      <c r="C105">
        <v>42225241</v>
      </c>
      <c r="D105">
        <v>38786840</v>
      </c>
      <c r="E105">
        <v>27</v>
      </c>
      <c r="F105">
        <v>1</v>
      </c>
      <c r="G105">
        <v>27</v>
      </c>
      <c r="H105">
        <v>1</v>
      </c>
      <c r="I105" t="s">
        <v>339</v>
      </c>
      <c r="J105" t="s">
        <v>3</v>
      </c>
      <c r="K105" t="s">
        <v>340</v>
      </c>
      <c r="L105">
        <v>1191</v>
      </c>
      <c r="N105">
        <v>1013</v>
      </c>
      <c r="O105" t="s">
        <v>341</v>
      </c>
      <c r="P105" t="s">
        <v>341</v>
      </c>
      <c r="Q105">
        <v>1</v>
      </c>
      <c r="X105">
        <v>6.29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 t="s">
        <v>3</v>
      </c>
      <c r="AG105">
        <v>6.29</v>
      </c>
      <c r="AH105">
        <v>2</v>
      </c>
      <c r="AI105">
        <v>42225242</v>
      </c>
      <c r="AJ105">
        <v>118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>
      <c r="A106">
        <f>ROW(Source!A265)</f>
        <v>265</v>
      </c>
      <c r="B106">
        <v>42225245</v>
      </c>
      <c r="C106">
        <v>42225241</v>
      </c>
      <c r="D106">
        <v>38803640</v>
      </c>
      <c r="E106">
        <v>1</v>
      </c>
      <c r="F106">
        <v>1</v>
      </c>
      <c r="G106">
        <v>27</v>
      </c>
      <c r="H106">
        <v>3</v>
      </c>
      <c r="I106" t="s">
        <v>346</v>
      </c>
      <c r="J106" t="s">
        <v>372</v>
      </c>
      <c r="K106" t="s">
        <v>348</v>
      </c>
      <c r="L106">
        <v>1339</v>
      </c>
      <c r="N106">
        <v>1007</v>
      </c>
      <c r="O106" t="s">
        <v>349</v>
      </c>
      <c r="P106" t="s">
        <v>349</v>
      </c>
      <c r="Q106">
        <v>1</v>
      </c>
      <c r="X106">
        <v>5</v>
      </c>
      <c r="Y106">
        <v>753.67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5</v>
      </c>
      <c r="AH106">
        <v>2</v>
      </c>
      <c r="AI106">
        <v>42225243</v>
      </c>
      <c r="AJ106">
        <v>119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>
      <c r="A107">
        <f>ROW(Source!A266)</f>
        <v>266</v>
      </c>
      <c r="B107">
        <v>42225250</v>
      </c>
      <c r="C107">
        <v>42225246</v>
      </c>
      <c r="D107">
        <v>38786840</v>
      </c>
      <c r="E107">
        <v>27</v>
      </c>
      <c r="F107">
        <v>1</v>
      </c>
      <c r="G107">
        <v>27</v>
      </c>
      <c r="H107">
        <v>1</v>
      </c>
      <c r="I107" t="s">
        <v>339</v>
      </c>
      <c r="J107" t="s">
        <v>3</v>
      </c>
      <c r="K107" t="s">
        <v>340</v>
      </c>
      <c r="L107">
        <v>1191</v>
      </c>
      <c r="N107">
        <v>1013</v>
      </c>
      <c r="O107" t="s">
        <v>341</v>
      </c>
      <c r="P107" t="s">
        <v>341</v>
      </c>
      <c r="Q107">
        <v>1</v>
      </c>
      <c r="X107">
        <v>6.04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 t="s">
        <v>3</v>
      </c>
      <c r="AG107">
        <v>6.04</v>
      </c>
      <c r="AH107">
        <v>2</v>
      </c>
      <c r="AI107">
        <v>42225249</v>
      </c>
      <c r="AJ107">
        <v>120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>
      <c r="A108">
        <f>ROW(Source!A266)</f>
        <v>266</v>
      </c>
      <c r="B108">
        <v>42225251</v>
      </c>
      <c r="C108">
        <v>42225246</v>
      </c>
      <c r="D108">
        <v>38801911</v>
      </c>
      <c r="E108">
        <v>1</v>
      </c>
      <c r="F108">
        <v>1</v>
      </c>
      <c r="G108">
        <v>27</v>
      </c>
      <c r="H108">
        <v>3</v>
      </c>
      <c r="I108" t="s">
        <v>354</v>
      </c>
      <c r="J108" t="s">
        <v>355</v>
      </c>
      <c r="K108" t="s">
        <v>356</v>
      </c>
      <c r="L108">
        <v>1339</v>
      </c>
      <c r="N108">
        <v>1007</v>
      </c>
      <c r="O108" t="s">
        <v>349</v>
      </c>
      <c r="P108" t="s">
        <v>349</v>
      </c>
      <c r="Q108">
        <v>1</v>
      </c>
      <c r="X108">
        <v>10</v>
      </c>
      <c r="Y108">
        <v>35.25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 t="s">
        <v>3</v>
      </c>
      <c r="AG108">
        <v>10</v>
      </c>
      <c r="AH108">
        <v>2</v>
      </c>
      <c r="AI108">
        <v>42225247</v>
      </c>
      <c r="AJ108">
        <v>121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>
      <c r="A109">
        <f>ROW(Source!A266)</f>
        <v>266</v>
      </c>
      <c r="B109">
        <v>42225252</v>
      </c>
      <c r="C109">
        <v>42225246</v>
      </c>
      <c r="D109">
        <v>38803645</v>
      </c>
      <c r="E109">
        <v>1</v>
      </c>
      <c r="F109">
        <v>1</v>
      </c>
      <c r="G109">
        <v>27</v>
      </c>
      <c r="H109">
        <v>3</v>
      </c>
      <c r="I109" t="s">
        <v>419</v>
      </c>
      <c r="J109" t="s">
        <v>420</v>
      </c>
      <c r="K109" t="s">
        <v>421</v>
      </c>
      <c r="L109">
        <v>1346</v>
      </c>
      <c r="N109">
        <v>1009</v>
      </c>
      <c r="O109" t="s">
        <v>353</v>
      </c>
      <c r="P109" t="s">
        <v>353</v>
      </c>
      <c r="Q109">
        <v>1</v>
      </c>
      <c r="X109">
        <v>4</v>
      </c>
      <c r="Y109">
        <v>303.08999999999997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 t="s">
        <v>3</v>
      </c>
      <c r="AG109">
        <v>4</v>
      </c>
      <c r="AH109">
        <v>2</v>
      </c>
      <c r="AI109">
        <v>42225248</v>
      </c>
      <c r="AJ109">
        <v>122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>
      <c r="A110">
        <f>ROW(Source!A304)</f>
        <v>304</v>
      </c>
      <c r="B110">
        <v>42225255</v>
      </c>
      <c r="C110">
        <v>42225253</v>
      </c>
      <c r="D110">
        <v>38786840</v>
      </c>
      <c r="E110">
        <v>27</v>
      </c>
      <c r="F110">
        <v>1</v>
      </c>
      <c r="G110">
        <v>27</v>
      </c>
      <c r="H110">
        <v>1</v>
      </c>
      <c r="I110" t="s">
        <v>339</v>
      </c>
      <c r="J110" t="s">
        <v>3</v>
      </c>
      <c r="K110" t="s">
        <v>340</v>
      </c>
      <c r="L110">
        <v>1191</v>
      </c>
      <c r="N110">
        <v>1013</v>
      </c>
      <c r="O110" t="s">
        <v>341</v>
      </c>
      <c r="P110" t="s">
        <v>341</v>
      </c>
      <c r="Q110">
        <v>1</v>
      </c>
      <c r="X110">
        <v>221.6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 t="s">
        <v>3</v>
      </c>
      <c r="AG110">
        <v>221.6</v>
      </c>
      <c r="AH110">
        <v>2</v>
      </c>
      <c r="AI110">
        <v>42225254</v>
      </c>
      <c r="AJ110">
        <v>123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>
      <c r="A111">
        <f>ROW(Source!A305)</f>
        <v>305</v>
      </c>
      <c r="B111">
        <v>42225260</v>
      </c>
      <c r="C111">
        <v>42225256</v>
      </c>
      <c r="D111">
        <v>38786840</v>
      </c>
      <c r="E111">
        <v>27</v>
      </c>
      <c r="F111">
        <v>1</v>
      </c>
      <c r="G111">
        <v>27</v>
      </c>
      <c r="H111">
        <v>1</v>
      </c>
      <c r="I111" t="s">
        <v>339</v>
      </c>
      <c r="J111" t="s">
        <v>3</v>
      </c>
      <c r="K111" t="s">
        <v>340</v>
      </c>
      <c r="L111">
        <v>1191</v>
      </c>
      <c r="N111">
        <v>1013</v>
      </c>
      <c r="O111" t="s">
        <v>341</v>
      </c>
      <c r="P111" t="s">
        <v>341</v>
      </c>
      <c r="Q111">
        <v>1</v>
      </c>
      <c r="X111">
        <v>1.59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1</v>
      </c>
      <c r="AF111" t="s">
        <v>3</v>
      </c>
      <c r="AG111">
        <v>1.59</v>
      </c>
      <c r="AH111">
        <v>2</v>
      </c>
      <c r="AI111">
        <v>42225257</v>
      </c>
      <c r="AJ111">
        <v>124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>
      <c r="A112">
        <f>ROW(Source!A305)</f>
        <v>305</v>
      </c>
      <c r="B112">
        <v>42225261</v>
      </c>
      <c r="C112">
        <v>42225256</v>
      </c>
      <c r="D112">
        <v>38799010</v>
      </c>
      <c r="E112">
        <v>1</v>
      </c>
      <c r="F112">
        <v>1</v>
      </c>
      <c r="G112">
        <v>27</v>
      </c>
      <c r="H112">
        <v>2</v>
      </c>
      <c r="I112" t="s">
        <v>422</v>
      </c>
      <c r="J112" t="s">
        <v>423</v>
      </c>
      <c r="K112" t="s">
        <v>424</v>
      </c>
      <c r="L112">
        <v>1368</v>
      </c>
      <c r="N112">
        <v>1011</v>
      </c>
      <c r="O112" t="s">
        <v>345</v>
      </c>
      <c r="P112" t="s">
        <v>345</v>
      </c>
      <c r="Q112">
        <v>1</v>
      </c>
      <c r="X112">
        <v>4.9800000000000004</v>
      </c>
      <c r="Y112">
        <v>0</v>
      </c>
      <c r="Z112">
        <v>1493.72</v>
      </c>
      <c r="AA112">
        <v>566.86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4.9800000000000004</v>
      </c>
      <c r="AH112">
        <v>2</v>
      </c>
      <c r="AI112">
        <v>42225258</v>
      </c>
      <c r="AJ112">
        <v>125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>
      <c r="A113">
        <f>ROW(Source!A305)</f>
        <v>305</v>
      </c>
      <c r="B113">
        <v>42225262</v>
      </c>
      <c r="C113">
        <v>42225256</v>
      </c>
      <c r="D113">
        <v>38799033</v>
      </c>
      <c r="E113">
        <v>1</v>
      </c>
      <c r="F113">
        <v>1</v>
      </c>
      <c r="G113">
        <v>27</v>
      </c>
      <c r="H113">
        <v>2</v>
      </c>
      <c r="I113" t="s">
        <v>425</v>
      </c>
      <c r="J113" t="s">
        <v>426</v>
      </c>
      <c r="K113" t="s">
        <v>427</v>
      </c>
      <c r="L113">
        <v>1368</v>
      </c>
      <c r="N113">
        <v>1011</v>
      </c>
      <c r="O113" t="s">
        <v>345</v>
      </c>
      <c r="P113" t="s">
        <v>345</v>
      </c>
      <c r="Q113">
        <v>1</v>
      </c>
      <c r="X113">
        <v>1.25</v>
      </c>
      <c r="Y113">
        <v>0</v>
      </c>
      <c r="Z113">
        <v>1072.23</v>
      </c>
      <c r="AA113">
        <v>488.73</v>
      </c>
      <c r="AB113">
        <v>0</v>
      </c>
      <c r="AC113">
        <v>0</v>
      </c>
      <c r="AD113">
        <v>1</v>
      </c>
      <c r="AE113">
        <v>0</v>
      </c>
      <c r="AF113" t="s">
        <v>3</v>
      </c>
      <c r="AG113">
        <v>1.25</v>
      </c>
      <c r="AH113">
        <v>2</v>
      </c>
      <c r="AI113">
        <v>42225259</v>
      </c>
      <c r="AJ113">
        <v>126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>
      <c r="A114">
        <f>ROW(Source!A306)</f>
        <v>306</v>
      </c>
      <c r="B114">
        <v>42225265</v>
      </c>
      <c r="C114">
        <v>42225263</v>
      </c>
      <c r="D114">
        <v>38799032</v>
      </c>
      <c r="E114">
        <v>1</v>
      </c>
      <c r="F114">
        <v>1</v>
      </c>
      <c r="G114">
        <v>27</v>
      </c>
      <c r="H114">
        <v>2</v>
      </c>
      <c r="I114" t="s">
        <v>373</v>
      </c>
      <c r="J114" t="s">
        <v>374</v>
      </c>
      <c r="K114" t="s">
        <v>375</v>
      </c>
      <c r="L114">
        <v>1368</v>
      </c>
      <c r="N114">
        <v>1011</v>
      </c>
      <c r="O114" t="s">
        <v>345</v>
      </c>
      <c r="P114" t="s">
        <v>345</v>
      </c>
      <c r="Q114">
        <v>1</v>
      </c>
      <c r="X114">
        <v>0.31</v>
      </c>
      <c r="Y114">
        <v>0</v>
      </c>
      <c r="Z114">
        <v>956.79</v>
      </c>
      <c r="AA114">
        <v>359.44</v>
      </c>
      <c r="AB114">
        <v>0</v>
      </c>
      <c r="AC114">
        <v>0</v>
      </c>
      <c r="AD114">
        <v>1</v>
      </c>
      <c r="AE114">
        <v>0</v>
      </c>
      <c r="AF114" t="s">
        <v>3</v>
      </c>
      <c r="AG114">
        <v>0.31</v>
      </c>
      <c r="AH114">
        <v>2</v>
      </c>
      <c r="AI114">
        <v>42225264</v>
      </c>
      <c r="AJ114">
        <v>127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>
      <c r="A115">
        <f>ROW(Source!A307)</f>
        <v>307</v>
      </c>
      <c r="B115">
        <v>42225268</v>
      </c>
      <c r="C115">
        <v>42225266</v>
      </c>
      <c r="D115">
        <v>38786840</v>
      </c>
      <c r="E115">
        <v>27</v>
      </c>
      <c r="F115">
        <v>1</v>
      </c>
      <c r="G115">
        <v>27</v>
      </c>
      <c r="H115">
        <v>1</v>
      </c>
      <c r="I115" t="s">
        <v>339</v>
      </c>
      <c r="J115" t="s">
        <v>3</v>
      </c>
      <c r="K115" t="s">
        <v>340</v>
      </c>
      <c r="L115">
        <v>1191</v>
      </c>
      <c r="N115">
        <v>1013</v>
      </c>
      <c r="O115" t="s">
        <v>341</v>
      </c>
      <c r="P115" t="s">
        <v>341</v>
      </c>
      <c r="Q115">
        <v>1</v>
      </c>
      <c r="X115">
        <v>11.73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 t="s">
        <v>3</v>
      </c>
      <c r="AG115">
        <v>11.73</v>
      </c>
      <c r="AH115">
        <v>2</v>
      </c>
      <c r="AI115">
        <v>42225267</v>
      </c>
      <c r="AJ115">
        <v>128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>
      <c r="A116">
        <f>ROW(Source!A308)</f>
        <v>308</v>
      </c>
      <c r="B116">
        <v>42225278</v>
      </c>
      <c r="C116">
        <v>42225269</v>
      </c>
      <c r="D116">
        <v>38786840</v>
      </c>
      <c r="E116">
        <v>27</v>
      </c>
      <c r="F116">
        <v>1</v>
      </c>
      <c r="G116">
        <v>27</v>
      </c>
      <c r="H116">
        <v>1</v>
      </c>
      <c r="I116" t="s">
        <v>339</v>
      </c>
      <c r="J116" t="s">
        <v>3</v>
      </c>
      <c r="K116" t="s">
        <v>340</v>
      </c>
      <c r="L116">
        <v>1191</v>
      </c>
      <c r="N116">
        <v>1013</v>
      </c>
      <c r="O116" t="s">
        <v>341</v>
      </c>
      <c r="P116" t="s">
        <v>341</v>
      </c>
      <c r="Q116">
        <v>1</v>
      </c>
      <c r="X116">
        <v>16.559999999999999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1</v>
      </c>
      <c r="AF116" t="s">
        <v>3</v>
      </c>
      <c r="AG116">
        <v>16.559999999999999</v>
      </c>
      <c r="AH116">
        <v>2</v>
      </c>
      <c r="AI116">
        <v>42225270</v>
      </c>
      <c r="AJ116">
        <v>129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>
      <c r="A117">
        <f>ROW(Source!A308)</f>
        <v>308</v>
      </c>
      <c r="B117">
        <v>42225279</v>
      </c>
      <c r="C117">
        <v>42225269</v>
      </c>
      <c r="D117">
        <v>38799055</v>
      </c>
      <c r="E117">
        <v>1</v>
      </c>
      <c r="F117">
        <v>1</v>
      </c>
      <c r="G117">
        <v>27</v>
      </c>
      <c r="H117">
        <v>2</v>
      </c>
      <c r="I117" t="s">
        <v>428</v>
      </c>
      <c r="J117" t="s">
        <v>429</v>
      </c>
      <c r="K117" t="s">
        <v>430</v>
      </c>
      <c r="L117">
        <v>1368</v>
      </c>
      <c r="N117">
        <v>1011</v>
      </c>
      <c r="O117" t="s">
        <v>345</v>
      </c>
      <c r="P117" t="s">
        <v>345</v>
      </c>
      <c r="Q117">
        <v>1</v>
      </c>
      <c r="X117">
        <v>2.08</v>
      </c>
      <c r="Y117">
        <v>0</v>
      </c>
      <c r="Z117">
        <v>740.94</v>
      </c>
      <c r="AA117">
        <v>413.22</v>
      </c>
      <c r="AB117">
        <v>0</v>
      </c>
      <c r="AC117">
        <v>0</v>
      </c>
      <c r="AD117">
        <v>1</v>
      </c>
      <c r="AE117">
        <v>0</v>
      </c>
      <c r="AF117" t="s">
        <v>3</v>
      </c>
      <c r="AG117">
        <v>2.08</v>
      </c>
      <c r="AH117">
        <v>2</v>
      </c>
      <c r="AI117">
        <v>42225271</v>
      </c>
      <c r="AJ117">
        <v>130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>
      <c r="A118">
        <f>ROW(Source!A308)</f>
        <v>308</v>
      </c>
      <c r="B118">
        <v>42225280</v>
      </c>
      <c r="C118">
        <v>42225269</v>
      </c>
      <c r="D118">
        <v>38799210</v>
      </c>
      <c r="E118">
        <v>1</v>
      </c>
      <c r="F118">
        <v>1</v>
      </c>
      <c r="G118">
        <v>27</v>
      </c>
      <c r="H118">
        <v>2</v>
      </c>
      <c r="I118" t="s">
        <v>431</v>
      </c>
      <c r="J118" t="s">
        <v>432</v>
      </c>
      <c r="K118" t="s">
        <v>433</v>
      </c>
      <c r="L118">
        <v>1368</v>
      </c>
      <c r="N118">
        <v>1011</v>
      </c>
      <c r="O118" t="s">
        <v>345</v>
      </c>
      <c r="P118" t="s">
        <v>345</v>
      </c>
      <c r="Q118">
        <v>1</v>
      </c>
      <c r="X118">
        <v>2.08</v>
      </c>
      <c r="Y118">
        <v>0</v>
      </c>
      <c r="Z118">
        <v>430.32</v>
      </c>
      <c r="AA118">
        <v>215.31</v>
      </c>
      <c r="AB118">
        <v>0</v>
      </c>
      <c r="AC118">
        <v>0</v>
      </c>
      <c r="AD118">
        <v>1</v>
      </c>
      <c r="AE118">
        <v>0</v>
      </c>
      <c r="AF118" t="s">
        <v>3</v>
      </c>
      <c r="AG118">
        <v>2.08</v>
      </c>
      <c r="AH118">
        <v>2</v>
      </c>
      <c r="AI118">
        <v>42225272</v>
      </c>
      <c r="AJ118">
        <v>131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>
      <c r="A119">
        <f>ROW(Source!A308)</f>
        <v>308</v>
      </c>
      <c r="B119">
        <v>42225281</v>
      </c>
      <c r="C119">
        <v>42225269</v>
      </c>
      <c r="D119">
        <v>38799213</v>
      </c>
      <c r="E119">
        <v>1</v>
      </c>
      <c r="F119">
        <v>1</v>
      </c>
      <c r="G119">
        <v>27</v>
      </c>
      <c r="H119">
        <v>2</v>
      </c>
      <c r="I119" t="s">
        <v>376</v>
      </c>
      <c r="J119" t="s">
        <v>434</v>
      </c>
      <c r="K119" t="s">
        <v>378</v>
      </c>
      <c r="L119">
        <v>1368</v>
      </c>
      <c r="N119">
        <v>1011</v>
      </c>
      <c r="O119" t="s">
        <v>345</v>
      </c>
      <c r="P119" t="s">
        <v>345</v>
      </c>
      <c r="Q119">
        <v>1</v>
      </c>
      <c r="X119">
        <v>0.81</v>
      </c>
      <c r="Y119">
        <v>0</v>
      </c>
      <c r="Z119">
        <v>2020.59</v>
      </c>
      <c r="AA119">
        <v>458.56</v>
      </c>
      <c r="AB119">
        <v>0</v>
      </c>
      <c r="AC119">
        <v>0</v>
      </c>
      <c r="AD119">
        <v>1</v>
      </c>
      <c r="AE119">
        <v>0</v>
      </c>
      <c r="AF119" t="s">
        <v>3</v>
      </c>
      <c r="AG119">
        <v>0.81</v>
      </c>
      <c r="AH119">
        <v>2</v>
      </c>
      <c r="AI119">
        <v>42225273</v>
      </c>
      <c r="AJ119">
        <v>132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>
      <c r="A120">
        <f>ROW(Source!A308)</f>
        <v>308</v>
      </c>
      <c r="B120">
        <v>42225282</v>
      </c>
      <c r="C120">
        <v>42225269</v>
      </c>
      <c r="D120">
        <v>38799237</v>
      </c>
      <c r="E120">
        <v>1</v>
      </c>
      <c r="F120">
        <v>1</v>
      </c>
      <c r="G120">
        <v>27</v>
      </c>
      <c r="H120">
        <v>2</v>
      </c>
      <c r="I120" t="s">
        <v>435</v>
      </c>
      <c r="J120" t="s">
        <v>436</v>
      </c>
      <c r="K120" t="s">
        <v>437</v>
      </c>
      <c r="L120">
        <v>1368</v>
      </c>
      <c r="N120">
        <v>1011</v>
      </c>
      <c r="O120" t="s">
        <v>345</v>
      </c>
      <c r="P120" t="s">
        <v>345</v>
      </c>
      <c r="Q120">
        <v>1</v>
      </c>
      <c r="X120">
        <v>1.94</v>
      </c>
      <c r="Y120">
        <v>0</v>
      </c>
      <c r="Z120">
        <v>1412.71</v>
      </c>
      <c r="AA120">
        <v>641.32000000000005</v>
      </c>
      <c r="AB120">
        <v>0</v>
      </c>
      <c r="AC120">
        <v>0</v>
      </c>
      <c r="AD120">
        <v>1</v>
      </c>
      <c r="AE120">
        <v>0</v>
      </c>
      <c r="AF120" t="s">
        <v>3</v>
      </c>
      <c r="AG120">
        <v>1.94</v>
      </c>
      <c r="AH120">
        <v>2</v>
      </c>
      <c r="AI120">
        <v>42225274</v>
      </c>
      <c r="AJ120">
        <v>133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>
      <c r="A121">
        <f>ROW(Source!A308)</f>
        <v>308</v>
      </c>
      <c r="B121">
        <v>42225283</v>
      </c>
      <c r="C121">
        <v>42225269</v>
      </c>
      <c r="D121">
        <v>38799203</v>
      </c>
      <c r="E121">
        <v>1</v>
      </c>
      <c r="F121">
        <v>1</v>
      </c>
      <c r="G121">
        <v>27</v>
      </c>
      <c r="H121">
        <v>2</v>
      </c>
      <c r="I121" t="s">
        <v>438</v>
      </c>
      <c r="J121" t="s">
        <v>439</v>
      </c>
      <c r="K121" t="s">
        <v>440</v>
      </c>
      <c r="L121">
        <v>1368</v>
      </c>
      <c r="N121">
        <v>1011</v>
      </c>
      <c r="O121" t="s">
        <v>345</v>
      </c>
      <c r="P121" t="s">
        <v>345</v>
      </c>
      <c r="Q121">
        <v>1</v>
      </c>
      <c r="X121">
        <v>0.65</v>
      </c>
      <c r="Y121">
        <v>0</v>
      </c>
      <c r="Z121">
        <v>1213.3399999999999</v>
      </c>
      <c r="AA121">
        <v>461.6</v>
      </c>
      <c r="AB121">
        <v>0</v>
      </c>
      <c r="AC121">
        <v>0</v>
      </c>
      <c r="AD121">
        <v>1</v>
      </c>
      <c r="AE121">
        <v>0</v>
      </c>
      <c r="AF121" t="s">
        <v>3</v>
      </c>
      <c r="AG121">
        <v>0.65</v>
      </c>
      <c r="AH121">
        <v>2</v>
      </c>
      <c r="AI121">
        <v>42225275</v>
      </c>
      <c r="AJ121">
        <v>134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>
      <c r="A122">
        <f>ROW(Source!A308)</f>
        <v>308</v>
      </c>
      <c r="B122">
        <v>42225284</v>
      </c>
      <c r="C122">
        <v>42225269</v>
      </c>
      <c r="D122">
        <v>38801165</v>
      </c>
      <c r="E122">
        <v>1</v>
      </c>
      <c r="F122">
        <v>1</v>
      </c>
      <c r="G122">
        <v>27</v>
      </c>
      <c r="H122">
        <v>3</v>
      </c>
      <c r="I122" t="s">
        <v>441</v>
      </c>
      <c r="J122" t="s">
        <v>442</v>
      </c>
      <c r="K122" t="s">
        <v>443</v>
      </c>
      <c r="L122">
        <v>1339</v>
      </c>
      <c r="N122">
        <v>1007</v>
      </c>
      <c r="O122" t="s">
        <v>349</v>
      </c>
      <c r="P122" t="s">
        <v>349</v>
      </c>
      <c r="Q122">
        <v>1</v>
      </c>
      <c r="X122">
        <v>110</v>
      </c>
      <c r="Y122">
        <v>590.78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 t="s">
        <v>3</v>
      </c>
      <c r="AG122">
        <v>110</v>
      </c>
      <c r="AH122">
        <v>2</v>
      </c>
      <c r="AI122">
        <v>42225276</v>
      </c>
      <c r="AJ122">
        <v>135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>
      <c r="A123">
        <f>ROW(Source!A308)</f>
        <v>308</v>
      </c>
      <c r="B123">
        <v>42225285</v>
      </c>
      <c r="C123">
        <v>42225269</v>
      </c>
      <c r="D123">
        <v>38801911</v>
      </c>
      <c r="E123">
        <v>1</v>
      </c>
      <c r="F123">
        <v>1</v>
      </c>
      <c r="G123">
        <v>27</v>
      </c>
      <c r="H123">
        <v>3</v>
      </c>
      <c r="I123" t="s">
        <v>354</v>
      </c>
      <c r="J123" t="s">
        <v>444</v>
      </c>
      <c r="K123" t="s">
        <v>356</v>
      </c>
      <c r="L123">
        <v>1339</v>
      </c>
      <c r="N123">
        <v>1007</v>
      </c>
      <c r="O123" t="s">
        <v>349</v>
      </c>
      <c r="P123" t="s">
        <v>349</v>
      </c>
      <c r="Q123">
        <v>1</v>
      </c>
      <c r="X123">
        <v>5</v>
      </c>
      <c r="Y123">
        <v>35.25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 t="s">
        <v>3</v>
      </c>
      <c r="AG123">
        <v>5</v>
      </c>
      <c r="AH123">
        <v>2</v>
      </c>
      <c r="AI123">
        <v>42225277</v>
      </c>
      <c r="AJ123">
        <v>136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>
      <c r="A124">
        <f>ROW(Source!A309)</f>
        <v>309</v>
      </c>
      <c r="B124">
        <v>42225296</v>
      </c>
      <c r="C124">
        <v>42225286</v>
      </c>
      <c r="D124">
        <v>38786840</v>
      </c>
      <c r="E124">
        <v>27</v>
      </c>
      <c r="F124">
        <v>1</v>
      </c>
      <c r="G124">
        <v>27</v>
      </c>
      <c r="H124">
        <v>1</v>
      </c>
      <c r="I124" t="s">
        <v>339</v>
      </c>
      <c r="J124" t="s">
        <v>3</v>
      </c>
      <c r="K124" t="s">
        <v>340</v>
      </c>
      <c r="L124">
        <v>1191</v>
      </c>
      <c r="N124">
        <v>1013</v>
      </c>
      <c r="O124" t="s">
        <v>341</v>
      </c>
      <c r="P124" t="s">
        <v>341</v>
      </c>
      <c r="Q124">
        <v>1</v>
      </c>
      <c r="X124">
        <v>24.84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1</v>
      </c>
      <c r="AF124" t="s">
        <v>3</v>
      </c>
      <c r="AG124">
        <v>24.84</v>
      </c>
      <c r="AH124">
        <v>2</v>
      </c>
      <c r="AI124">
        <v>42225287</v>
      </c>
      <c r="AJ124">
        <v>137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>
      <c r="A125">
        <f>ROW(Source!A309)</f>
        <v>309</v>
      </c>
      <c r="B125">
        <v>42225297</v>
      </c>
      <c r="C125">
        <v>42225286</v>
      </c>
      <c r="D125">
        <v>38799032</v>
      </c>
      <c r="E125">
        <v>1</v>
      </c>
      <c r="F125">
        <v>1</v>
      </c>
      <c r="G125">
        <v>27</v>
      </c>
      <c r="H125">
        <v>2</v>
      </c>
      <c r="I125" t="s">
        <v>373</v>
      </c>
      <c r="J125" t="s">
        <v>374</v>
      </c>
      <c r="K125" t="s">
        <v>375</v>
      </c>
      <c r="L125">
        <v>1368</v>
      </c>
      <c r="N125">
        <v>1011</v>
      </c>
      <c r="O125" t="s">
        <v>345</v>
      </c>
      <c r="P125" t="s">
        <v>345</v>
      </c>
      <c r="Q125">
        <v>1</v>
      </c>
      <c r="X125">
        <v>2.94</v>
      </c>
      <c r="Y125">
        <v>0</v>
      </c>
      <c r="Z125">
        <v>956.79</v>
      </c>
      <c r="AA125">
        <v>359.44</v>
      </c>
      <c r="AB125">
        <v>0</v>
      </c>
      <c r="AC125">
        <v>0</v>
      </c>
      <c r="AD125">
        <v>1</v>
      </c>
      <c r="AE125">
        <v>0</v>
      </c>
      <c r="AF125" t="s">
        <v>3</v>
      </c>
      <c r="AG125">
        <v>2.94</v>
      </c>
      <c r="AH125">
        <v>2</v>
      </c>
      <c r="AI125">
        <v>42225288</v>
      </c>
      <c r="AJ125">
        <v>138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>
      <c r="A126">
        <f>ROW(Source!A309)</f>
        <v>309</v>
      </c>
      <c r="B126">
        <v>42225298</v>
      </c>
      <c r="C126">
        <v>42225286</v>
      </c>
      <c r="D126">
        <v>38799213</v>
      </c>
      <c r="E126">
        <v>1</v>
      </c>
      <c r="F126">
        <v>1</v>
      </c>
      <c r="G126">
        <v>27</v>
      </c>
      <c r="H126">
        <v>2</v>
      </c>
      <c r="I126" t="s">
        <v>376</v>
      </c>
      <c r="J126" t="s">
        <v>434</v>
      </c>
      <c r="K126" t="s">
        <v>378</v>
      </c>
      <c r="L126">
        <v>1368</v>
      </c>
      <c r="N126">
        <v>1011</v>
      </c>
      <c r="O126" t="s">
        <v>345</v>
      </c>
      <c r="P126" t="s">
        <v>345</v>
      </c>
      <c r="Q126">
        <v>1</v>
      </c>
      <c r="X126">
        <v>1.1399999999999999</v>
      </c>
      <c r="Y126">
        <v>0</v>
      </c>
      <c r="Z126">
        <v>2020.59</v>
      </c>
      <c r="AA126">
        <v>458.56</v>
      </c>
      <c r="AB126">
        <v>0</v>
      </c>
      <c r="AC126">
        <v>0</v>
      </c>
      <c r="AD126">
        <v>1</v>
      </c>
      <c r="AE126">
        <v>0</v>
      </c>
      <c r="AF126" t="s">
        <v>3</v>
      </c>
      <c r="AG126">
        <v>1.1399999999999999</v>
      </c>
      <c r="AH126">
        <v>2</v>
      </c>
      <c r="AI126">
        <v>42225289</v>
      </c>
      <c r="AJ126">
        <v>139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>
      <c r="A127">
        <f>ROW(Source!A309)</f>
        <v>309</v>
      </c>
      <c r="B127">
        <v>42225299</v>
      </c>
      <c r="C127">
        <v>42225286</v>
      </c>
      <c r="D127">
        <v>38799198</v>
      </c>
      <c r="E127">
        <v>1</v>
      </c>
      <c r="F127">
        <v>1</v>
      </c>
      <c r="G127">
        <v>27</v>
      </c>
      <c r="H127">
        <v>2</v>
      </c>
      <c r="I127" t="s">
        <v>445</v>
      </c>
      <c r="J127" t="s">
        <v>446</v>
      </c>
      <c r="K127" t="s">
        <v>447</v>
      </c>
      <c r="L127">
        <v>1368</v>
      </c>
      <c r="N127">
        <v>1011</v>
      </c>
      <c r="O127" t="s">
        <v>345</v>
      </c>
      <c r="P127" t="s">
        <v>345</v>
      </c>
      <c r="Q127">
        <v>1</v>
      </c>
      <c r="X127">
        <v>8.9600000000000009</v>
      </c>
      <c r="Y127">
        <v>0</v>
      </c>
      <c r="Z127">
        <v>1261.8699999999999</v>
      </c>
      <c r="AA127">
        <v>530.02</v>
      </c>
      <c r="AB127">
        <v>0</v>
      </c>
      <c r="AC127">
        <v>0</v>
      </c>
      <c r="AD127">
        <v>1</v>
      </c>
      <c r="AE127">
        <v>0</v>
      </c>
      <c r="AF127" t="s">
        <v>3</v>
      </c>
      <c r="AG127">
        <v>8.9600000000000009</v>
      </c>
      <c r="AH127">
        <v>2</v>
      </c>
      <c r="AI127">
        <v>42225290</v>
      </c>
      <c r="AJ127">
        <v>140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>
      <c r="A128">
        <f>ROW(Source!A309)</f>
        <v>309</v>
      </c>
      <c r="B128">
        <v>42225300</v>
      </c>
      <c r="C128">
        <v>42225286</v>
      </c>
      <c r="D128">
        <v>38799199</v>
      </c>
      <c r="E128">
        <v>1</v>
      </c>
      <c r="F128">
        <v>1</v>
      </c>
      <c r="G128">
        <v>27</v>
      </c>
      <c r="H128">
        <v>2</v>
      </c>
      <c r="I128" t="s">
        <v>448</v>
      </c>
      <c r="J128" t="s">
        <v>449</v>
      </c>
      <c r="K128" t="s">
        <v>450</v>
      </c>
      <c r="L128">
        <v>1368</v>
      </c>
      <c r="N128">
        <v>1011</v>
      </c>
      <c r="O128" t="s">
        <v>345</v>
      </c>
      <c r="P128" t="s">
        <v>345</v>
      </c>
      <c r="Q128">
        <v>1</v>
      </c>
      <c r="X128">
        <v>18.25</v>
      </c>
      <c r="Y128">
        <v>0</v>
      </c>
      <c r="Z128">
        <v>1827.95</v>
      </c>
      <c r="AA128">
        <v>720.55</v>
      </c>
      <c r="AB128">
        <v>0</v>
      </c>
      <c r="AC128">
        <v>0</v>
      </c>
      <c r="AD128">
        <v>1</v>
      </c>
      <c r="AE128">
        <v>0</v>
      </c>
      <c r="AF128" t="s">
        <v>3</v>
      </c>
      <c r="AG128">
        <v>18.25</v>
      </c>
      <c r="AH128">
        <v>2</v>
      </c>
      <c r="AI128">
        <v>42225291</v>
      </c>
      <c r="AJ128">
        <v>141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>
      <c r="A129">
        <f>ROW(Source!A309)</f>
        <v>309</v>
      </c>
      <c r="B129">
        <v>42225301</v>
      </c>
      <c r="C129">
        <v>42225286</v>
      </c>
      <c r="D129">
        <v>38799237</v>
      </c>
      <c r="E129">
        <v>1</v>
      </c>
      <c r="F129">
        <v>1</v>
      </c>
      <c r="G129">
        <v>27</v>
      </c>
      <c r="H129">
        <v>2</v>
      </c>
      <c r="I129" t="s">
        <v>435</v>
      </c>
      <c r="J129" t="s">
        <v>436</v>
      </c>
      <c r="K129" t="s">
        <v>437</v>
      </c>
      <c r="L129">
        <v>1368</v>
      </c>
      <c r="N129">
        <v>1011</v>
      </c>
      <c r="O129" t="s">
        <v>345</v>
      </c>
      <c r="P129" t="s">
        <v>345</v>
      </c>
      <c r="Q129">
        <v>1</v>
      </c>
      <c r="X129">
        <v>2.2400000000000002</v>
      </c>
      <c r="Y129">
        <v>0</v>
      </c>
      <c r="Z129">
        <v>1412.71</v>
      </c>
      <c r="AA129">
        <v>641.32000000000005</v>
      </c>
      <c r="AB129">
        <v>0</v>
      </c>
      <c r="AC129">
        <v>0</v>
      </c>
      <c r="AD129">
        <v>1</v>
      </c>
      <c r="AE129">
        <v>0</v>
      </c>
      <c r="AF129" t="s">
        <v>3</v>
      </c>
      <c r="AG129">
        <v>2.2400000000000002</v>
      </c>
      <c r="AH129">
        <v>2</v>
      </c>
      <c r="AI129">
        <v>42225292</v>
      </c>
      <c r="AJ129">
        <v>142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>
      <c r="A130">
        <f>ROW(Source!A309)</f>
        <v>309</v>
      </c>
      <c r="B130">
        <v>42225302</v>
      </c>
      <c r="C130">
        <v>42225286</v>
      </c>
      <c r="D130">
        <v>38799203</v>
      </c>
      <c r="E130">
        <v>1</v>
      </c>
      <c r="F130">
        <v>1</v>
      </c>
      <c r="G130">
        <v>27</v>
      </c>
      <c r="H130">
        <v>2</v>
      </c>
      <c r="I130" t="s">
        <v>438</v>
      </c>
      <c r="J130" t="s">
        <v>439</v>
      </c>
      <c r="K130" t="s">
        <v>440</v>
      </c>
      <c r="L130">
        <v>1368</v>
      </c>
      <c r="N130">
        <v>1011</v>
      </c>
      <c r="O130" t="s">
        <v>345</v>
      </c>
      <c r="P130" t="s">
        <v>345</v>
      </c>
      <c r="Q130">
        <v>1</v>
      </c>
      <c r="X130">
        <v>0.65</v>
      </c>
      <c r="Y130">
        <v>0</v>
      </c>
      <c r="Z130">
        <v>1213.3399999999999</v>
      </c>
      <c r="AA130">
        <v>461.6</v>
      </c>
      <c r="AB130">
        <v>0</v>
      </c>
      <c r="AC130">
        <v>0</v>
      </c>
      <c r="AD130">
        <v>1</v>
      </c>
      <c r="AE130">
        <v>0</v>
      </c>
      <c r="AF130" t="s">
        <v>3</v>
      </c>
      <c r="AG130">
        <v>0.65</v>
      </c>
      <c r="AH130">
        <v>2</v>
      </c>
      <c r="AI130">
        <v>42225293</v>
      </c>
      <c r="AJ130">
        <v>143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>
      <c r="A131">
        <f>ROW(Source!A309)</f>
        <v>309</v>
      </c>
      <c r="B131">
        <v>42225303</v>
      </c>
      <c r="C131">
        <v>42225286</v>
      </c>
      <c r="D131">
        <v>38801191</v>
      </c>
      <c r="E131">
        <v>1</v>
      </c>
      <c r="F131">
        <v>1</v>
      </c>
      <c r="G131">
        <v>27</v>
      </c>
      <c r="H131">
        <v>3</v>
      </c>
      <c r="I131" t="s">
        <v>451</v>
      </c>
      <c r="J131" t="s">
        <v>452</v>
      </c>
      <c r="K131" t="s">
        <v>453</v>
      </c>
      <c r="L131">
        <v>1339</v>
      </c>
      <c r="N131">
        <v>1007</v>
      </c>
      <c r="O131" t="s">
        <v>349</v>
      </c>
      <c r="P131" t="s">
        <v>349</v>
      </c>
      <c r="Q131">
        <v>1</v>
      </c>
      <c r="X131">
        <v>126</v>
      </c>
      <c r="Y131">
        <v>1763.75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 t="s">
        <v>3</v>
      </c>
      <c r="AG131">
        <v>126</v>
      </c>
      <c r="AH131">
        <v>2</v>
      </c>
      <c r="AI131">
        <v>42225294</v>
      </c>
      <c r="AJ131">
        <v>144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>
      <c r="A132">
        <f>ROW(Source!A309)</f>
        <v>309</v>
      </c>
      <c r="B132">
        <v>42225304</v>
      </c>
      <c r="C132">
        <v>42225286</v>
      </c>
      <c r="D132">
        <v>38801911</v>
      </c>
      <c r="E132">
        <v>1</v>
      </c>
      <c r="F132">
        <v>1</v>
      </c>
      <c r="G132">
        <v>27</v>
      </c>
      <c r="H132">
        <v>3</v>
      </c>
      <c r="I132" t="s">
        <v>354</v>
      </c>
      <c r="J132" t="s">
        <v>444</v>
      </c>
      <c r="K132" t="s">
        <v>356</v>
      </c>
      <c r="L132">
        <v>1339</v>
      </c>
      <c r="N132">
        <v>1007</v>
      </c>
      <c r="O132" t="s">
        <v>349</v>
      </c>
      <c r="P132" t="s">
        <v>349</v>
      </c>
      <c r="Q132">
        <v>1</v>
      </c>
      <c r="X132">
        <v>7</v>
      </c>
      <c r="Y132">
        <v>35.25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 t="s">
        <v>3</v>
      </c>
      <c r="AG132">
        <v>7</v>
      </c>
      <c r="AH132">
        <v>2</v>
      </c>
      <c r="AI132">
        <v>42225295</v>
      </c>
      <c r="AJ132">
        <v>145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>
      <c r="A133">
        <f>ROW(Source!A310)</f>
        <v>310</v>
      </c>
      <c r="B133">
        <v>42225317</v>
      </c>
      <c r="C133">
        <v>42225305</v>
      </c>
      <c r="D133">
        <v>38786840</v>
      </c>
      <c r="E133">
        <v>27</v>
      </c>
      <c r="F133">
        <v>1</v>
      </c>
      <c r="G133">
        <v>27</v>
      </c>
      <c r="H133">
        <v>1</v>
      </c>
      <c r="I133" t="s">
        <v>339</v>
      </c>
      <c r="J133" t="s">
        <v>3</v>
      </c>
      <c r="K133" t="s">
        <v>340</v>
      </c>
      <c r="L133">
        <v>1191</v>
      </c>
      <c r="N133">
        <v>1013</v>
      </c>
      <c r="O133" t="s">
        <v>341</v>
      </c>
      <c r="P133" t="s">
        <v>341</v>
      </c>
      <c r="Q133">
        <v>1</v>
      </c>
      <c r="X133">
        <v>111.55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1</v>
      </c>
      <c r="AF133" t="s">
        <v>3</v>
      </c>
      <c r="AG133">
        <v>111.55</v>
      </c>
      <c r="AH133">
        <v>2</v>
      </c>
      <c r="AI133">
        <v>42225306</v>
      </c>
      <c r="AJ133">
        <v>146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>
      <c r="A134">
        <f>ROW(Source!A310)</f>
        <v>310</v>
      </c>
      <c r="B134">
        <v>42225318</v>
      </c>
      <c r="C134">
        <v>42225305</v>
      </c>
      <c r="D134">
        <v>38799857</v>
      </c>
      <c r="E134">
        <v>1</v>
      </c>
      <c r="F134">
        <v>1</v>
      </c>
      <c r="G134">
        <v>27</v>
      </c>
      <c r="H134">
        <v>2</v>
      </c>
      <c r="I134" t="s">
        <v>454</v>
      </c>
      <c r="J134" t="s">
        <v>455</v>
      </c>
      <c r="K134" t="s">
        <v>456</v>
      </c>
      <c r="L134">
        <v>1368</v>
      </c>
      <c r="N134">
        <v>1011</v>
      </c>
      <c r="O134" t="s">
        <v>345</v>
      </c>
      <c r="P134" t="s">
        <v>345</v>
      </c>
      <c r="Q134">
        <v>1</v>
      </c>
      <c r="X134">
        <v>0.12</v>
      </c>
      <c r="Y134">
        <v>0</v>
      </c>
      <c r="Z134">
        <v>3.67</v>
      </c>
      <c r="AA134">
        <v>0.01</v>
      </c>
      <c r="AB134">
        <v>0</v>
      </c>
      <c r="AC134">
        <v>0</v>
      </c>
      <c r="AD134">
        <v>1</v>
      </c>
      <c r="AE134">
        <v>0</v>
      </c>
      <c r="AF134" t="s">
        <v>3</v>
      </c>
      <c r="AG134">
        <v>0.12</v>
      </c>
      <c r="AH134">
        <v>2</v>
      </c>
      <c r="AI134">
        <v>42225307</v>
      </c>
      <c r="AJ134">
        <v>147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>
      <c r="A135">
        <f>ROW(Source!A310)</f>
        <v>310</v>
      </c>
      <c r="B135">
        <v>42225319</v>
      </c>
      <c r="C135">
        <v>42225305</v>
      </c>
      <c r="D135">
        <v>38799127</v>
      </c>
      <c r="E135">
        <v>1</v>
      </c>
      <c r="F135">
        <v>1</v>
      </c>
      <c r="G135">
        <v>27</v>
      </c>
      <c r="H135">
        <v>2</v>
      </c>
      <c r="I135" t="s">
        <v>457</v>
      </c>
      <c r="J135" t="s">
        <v>458</v>
      </c>
      <c r="K135" t="s">
        <v>459</v>
      </c>
      <c r="L135">
        <v>1368</v>
      </c>
      <c r="N135">
        <v>1011</v>
      </c>
      <c r="O135" t="s">
        <v>345</v>
      </c>
      <c r="P135" t="s">
        <v>345</v>
      </c>
      <c r="Q135">
        <v>1</v>
      </c>
      <c r="X135">
        <v>0.31</v>
      </c>
      <c r="Y135">
        <v>0</v>
      </c>
      <c r="Z135">
        <v>683.9</v>
      </c>
      <c r="AA135">
        <v>371.27</v>
      </c>
      <c r="AB135">
        <v>0</v>
      </c>
      <c r="AC135">
        <v>0</v>
      </c>
      <c r="AD135">
        <v>1</v>
      </c>
      <c r="AE135">
        <v>0</v>
      </c>
      <c r="AF135" t="s">
        <v>3</v>
      </c>
      <c r="AG135">
        <v>0.31</v>
      </c>
      <c r="AH135">
        <v>2</v>
      </c>
      <c r="AI135">
        <v>42225308</v>
      </c>
      <c r="AJ135">
        <v>148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>
      <c r="A136">
        <f>ROW(Source!A310)</f>
        <v>310</v>
      </c>
      <c r="B136">
        <v>42225320</v>
      </c>
      <c r="C136">
        <v>42225305</v>
      </c>
      <c r="D136">
        <v>38799297</v>
      </c>
      <c r="E136">
        <v>1</v>
      </c>
      <c r="F136">
        <v>1</v>
      </c>
      <c r="G136">
        <v>27</v>
      </c>
      <c r="H136">
        <v>2</v>
      </c>
      <c r="I136" t="s">
        <v>460</v>
      </c>
      <c r="J136" t="s">
        <v>461</v>
      </c>
      <c r="K136" t="s">
        <v>462</v>
      </c>
      <c r="L136">
        <v>1368</v>
      </c>
      <c r="N136">
        <v>1011</v>
      </c>
      <c r="O136" t="s">
        <v>345</v>
      </c>
      <c r="P136" t="s">
        <v>345</v>
      </c>
      <c r="Q136">
        <v>1</v>
      </c>
      <c r="X136">
        <v>6.12</v>
      </c>
      <c r="Y136">
        <v>0</v>
      </c>
      <c r="Z136">
        <v>10.82</v>
      </c>
      <c r="AA136">
        <v>2.97</v>
      </c>
      <c r="AB136">
        <v>0</v>
      </c>
      <c r="AC136">
        <v>0</v>
      </c>
      <c r="AD136">
        <v>1</v>
      </c>
      <c r="AE136">
        <v>0</v>
      </c>
      <c r="AF136" t="s">
        <v>3</v>
      </c>
      <c r="AG136">
        <v>6.12</v>
      </c>
      <c r="AH136">
        <v>2</v>
      </c>
      <c r="AI136">
        <v>42225309</v>
      </c>
      <c r="AJ136">
        <v>149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>
      <c r="A137">
        <f>ROW(Source!A310)</f>
        <v>310</v>
      </c>
      <c r="B137">
        <v>42225321</v>
      </c>
      <c r="C137">
        <v>42225305</v>
      </c>
      <c r="D137">
        <v>38800986</v>
      </c>
      <c r="E137">
        <v>1</v>
      </c>
      <c r="F137">
        <v>1</v>
      </c>
      <c r="G137">
        <v>27</v>
      </c>
      <c r="H137">
        <v>3</v>
      </c>
      <c r="I137" t="s">
        <v>463</v>
      </c>
      <c r="J137" t="s">
        <v>464</v>
      </c>
      <c r="K137" t="s">
        <v>465</v>
      </c>
      <c r="L137">
        <v>1348</v>
      </c>
      <c r="N137">
        <v>1009</v>
      </c>
      <c r="O137" t="s">
        <v>281</v>
      </c>
      <c r="P137" t="s">
        <v>281</v>
      </c>
      <c r="Q137">
        <v>1000</v>
      </c>
      <c r="X137">
        <v>2E-3</v>
      </c>
      <c r="Y137">
        <v>49736.04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 t="s">
        <v>3</v>
      </c>
      <c r="AG137">
        <v>2E-3</v>
      </c>
      <c r="AH137">
        <v>2</v>
      </c>
      <c r="AI137">
        <v>42225310</v>
      </c>
      <c r="AJ137">
        <v>150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>
      <c r="A138">
        <f>ROW(Source!A310)</f>
        <v>310</v>
      </c>
      <c r="B138">
        <v>42225323</v>
      </c>
      <c r="C138">
        <v>42225305</v>
      </c>
      <c r="D138">
        <v>38801734</v>
      </c>
      <c r="E138">
        <v>1</v>
      </c>
      <c r="F138">
        <v>1</v>
      </c>
      <c r="G138">
        <v>27</v>
      </c>
      <c r="H138">
        <v>3</v>
      </c>
      <c r="I138" t="s">
        <v>380</v>
      </c>
      <c r="J138" t="s">
        <v>381</v>
      </c>
      <c r="K138" t="s">
        <v>382</v>
      </c>
      <c r="L138">
        <v>1327</v>
      </c>
      <c r="N138">
        <v>1005</v>
      </c>
      <c r="O138" t="s">
        <v>302</v>
      </c>
      <c r="P138" t="s">
        <v>302</v>
      </c>
      <c r="Q138">
        <v>1</v>
      </c>
      <c r="X138">
        <v>30</v>
      </c>
      <c r="Y138">
        <v>91.89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 t="s">
        <v>3</v>
      </c>
      <c r="AG138">
        <v>30</v>
      </c>
      <c r="AH138">
        <v>2</v>
      </c>
      <c r="AI138">
        <v>42225312</v>
      </c>
      <c r="AJ138">
        <v>151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>
      <c r="A139">
        <f>ROW(Source!A310)</f>
        <v>310</v>
      </c>
      <c r="B139">
        <v>42225322</v>
      </c>
      <c r="C139">
        <v>42225305</v>
      </c>
      <c r="D139">
        <v>38800105</v>
      </c>
      <c r="E139">
        <v>1</v>
      </c>
      <c r="F139">
        <v>1</v>
      </c>
      <c r="G139">
        <v>27</v>
      </c>
      <c r="H139">
        <v>3</v>
      </c>
      <c r="I139" t="s">
        <v>466</v>
      </c>
      <c r="J139" t="s">
        <v>467</v>
      </c>
      <c r="K139" t="s">
        <v>468</v>
      </c>
      <c r="L139">
        <v>1348</v>
      </c>
      <c r="N139">
        <v>1009</v>
      </c>
      <c r="O139" t="s">
        <v>281</v>
      </c>
      <c r="P139" t="s">
        <v>281</v>
      </c>
      <c r="Q139">
        <v>1000</v>
      </c>
      <c r="X139">
        <v>0.01</v>
      </c>
      <c r="Y139">
        <v>4752.34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 t="s">
        <v>3</v>
      </c>
      <c r="AG139">
        <v>0.01</v>
      </c>
      <c r="AH139">
        <v>2</v>
      </c>
      <c r="AI139">
        <v>42225311</v>
      </c>
      <c r="AJ139">
        <v>152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>
      <c r="A140">
        <f>ROW(Source!A310)</f>
        <v>310</v>
      </c>
      <c r="B140">
        <v>42225324</v>
      </c>
      <c r="C140">
        <v>42225305</v>
      </c>
      <c r="D140">
        <v>38801911</v>
      </c>
      <c r="E140">
        <v>1</v>
      </c>
      <c r="F140">
        <v>1</v>
      </c>
      <c r="G140">
        <v>27</v>
      </c>
      <c r="H140">
        <v>3</v>
      </c>
      <c r="I140" t="s">
        <v>354</v>
      </c>
      <c r="J140" t="s">
        <v>355</v>
      </c>
      <c r="K140" t="s">
        <v>356</v>
      </c>
      <c r="L140">
        <v>1339</v>
      </c>
      <c r="N140">
        <v>1007</v>
      </c>
      <c r="O140" t="s">
        <v>349</v>
      </c>
      <c r="P140" t="s">
        <v>349</v>
      </c>
      <c r="Q140">
        <v>1</v>
      </c>
      <c r="X140">
        <v>0.73</v>
      </c>
      <c r="Y140">
        <v>35.25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 t="s">
        <v>3</v>
      </c>
      <c r="AG140">
        <v>0.73</v>
      </c>
      <c r="AH140">
        <v>2</v>
      </c>
      <c r="AI140">
        <v>42225313</v>
      </c>
      <c r="AJ140">
        <v>153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>
      <c r="A141">
        <f>ROW(Source!A310)</f>
        <v>310</v>
      </c>
      <c r="B141">
        <v>42225325</v>
      </c>
      <c r="C141">
        <v>42225305</v>
      </c>
      <c r="D141">
        <v>38800613</v>
      </c>
      <c r="E141">
        <v>1</v>
      </c>
      <c r="F141">
        <v>1</v>
      </c>
      <c r="G141">
        <v>27</v>
      </c>
      <c r="H141">
        <v>3</v>
      </c>
      <c r="I141" t="s">
        <v>357</v>
      </c>
      <c r="J141" t="s">
        <v>358</v>
      </c>
      <c r="K141" t="s">
        <v>359</v>
      </c>
      <c r="L141">
        <v>1339</v>
      </c>
      <c r="N141">
        <v>1007</v>
      </c>
      <c r="O141" t="s">
        <v>349</v>
      </c>
      <c r="P141" t="s">
        <v>349</v>
      </c>
      <c r="Q141">
        <v>1</v>
      </c>
      <c r="X141">
        <v>0.04</v>
      </c>
      <c r="Y141">
        <v>7098.7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 t="s">
        <v>3</v>
      </c>
      <c r="AG141">
        <v>0.04</v>
      </c>
      <c r="AH141">
        <v>2</v>
      </c>
      <c r="AI141">
        <v>42225314</v>
      </c>
      <c r="AJ141">
        <v>154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>
      <c r="A142">
        <f>ROW(Source!A310)</f>
        <v>310</v>
      </c>
      <c r="B142">
        <v>42225326</v>
      </c>
      <c r="C142">
        <v>42225305</v>
      </c>
      <c r="D142">
        <v>38802875</v>
      </c>
      <c r="E142">
        <v>1</v>
      </c>
      <c r="F142">
        <v>1</v>
      </c>
      <c r="G142">
        <v>27</v>
      </c>
      <c r="H142">
        <v>3</v>
      </c>
      <c r="I142" t="s">
        <v>469</v>
      </c>
      <c r="J142" t="s">
        <v>470</v>
      </c>
      <c r="K142" t="s">
        <v>471</v>
      </c>
      <c r="L142">
        <v>1339</v>
      </c>
      <c r="N142">
        <v>1007</v>
      </c>
      <c r="O142" t="s">
        <v>349</v>
      </c>
      <c r="P142" t="s">
        <v>349</v>
      </c>
      <c r="Q142">
        <v>1</v>
      </c>
      <c r="X142">
        <v>102</v>
      </c>
      <c r="Y142">
        <v>3247.23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 t="s">
        <v>3</v>
      </c>
      <c r="AG142">
        <v>102</v>
      </c>
      <c r="AH142">
        <v>2</v>
      </c>
      <c r="AI142">
        <v>42225315</v>
      </c>
      <c r="AJ142">
        <v>155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>
      <c r="A143">
        <f>ROW(Source!A310)</f>
        <v>310</v>
      </c>
      <c r="B143">
        <v>42225327</v>
      </c>
      <c r="C143">
        <v>42225305</v>
      </c>
      <c r="D143">
        <v>38805042</v>
      </c>
      <c r="E143">
        <v>1</v>
      </c>
      <c r="F143">
        <v>1</v>
      </c>
      <c r="G143">
        <v>27</v>
      </c>
      <c r="H143">
        <v>3</v>
      </c>
      <c r="I143" t="s">
        <v>472</v>
      </c>
      <c r="J143" t="s">
        <v>473</v>
      </c>
      <c r="K143" t="s">
        <v>474</v>
      </c>
      <c r="L143">
        <v>1327</v>
      </c>
      <c r="N143">
        <v>1005</v>
      </c>
      <c r="O143" t="s">
        <v>302</v>
      </c>
      <c r="P143" t="s">
        <v>302</v>
      </c>
      <c r="Q143">
        <v>1</v>
      </c>
      <c r="X143">
        <v>3.6</v>
      </c>
      <c r="Y143">
        <v>473.82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 t="s">
        <v>3</v>
      </c>
      <c r="AG143">
        <v>3.6</v>
      </c>
      <c r="AH143">
        <v>2</v>
      </c>
      <c r="AI143">
        <v>42225316</v>
      </c>
      <c r="AJ143">
        <v>156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>
      <c r="A144">
        <f>ROW(Source!A311)</f>
        <v>311</v>
      </c>
      <c r="B144">
        <v>42225334</v>
      </c>
      <c r="C144">
        <v>42225328</v>
      </c>
      <c r="D144">
        <v>38786840</v>
      </c>
      <c r="E144">
        <v>27</v>
      </c>
      <c r="F144">
        <v>1</v>
      </c>
      <c r="G144">
        <v>27</v>
      </c>
      <c r="H144">
        <v>1</v>
      </c>
      <c r="I144" t="s">
        <v>339</v>
      </c>
      <c r="J144" t="s">
        <v>3</v>
      </c>
      <c r="K144" t="s">
        <v>340</v>
      </c>
      <c r="L144">
        <v>1191</v>
      </c>
      <c r="N144">
        <v>1013</v>
      </c>
      <c r="O144" t="s">
        <v>341</v>
      </c>
      <c r="P144" t="s">
        <v>341</v>
      </c>
      <c r="Q144">
        <v>1</v>
      </c>
      <c r="X144">
        <v>44.85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 t="s">
        <v>3</v>
      </c>
      <c r="AG144">
        <v>44.85</v>
      </c>
      <c r="AH144">
        <v>2</v>
      </c>
      <c r="AI144">
        <v>42225329</v>
      </c>
      <c r="AJ144">
        <v>157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>
      <c r="A145">
        <f>ROW(Source!A311)</f>
        <v>311</v>
      </c>
      <c r="B145">
        <v>42225335</v>
      </c>
      <c r="C145">
        <v>42225328</v>
      </c>
      <c r="D145">
        <v>38800006</v>
      </c>
      <c r="E145">
        <v>1</v>
      </c>
      <c r="F145">
        <v>1</v>
      </c>
      <c r="G145">
        <v>27</v>
      </c>
      <c r="H145">
        <v>3</v>
      </c>
      <c r="I145" t="s">
        <v>475</v>
      </c>
      <c r="J145" t="s">
        <v>476</v>
      </c>
      <c r="K145" t="s">
        <v>477</v>
      </c>
      <c r="L145">
        <v>1348</v>
      </c>
      <c r="N145">
        <v>1009</v>
      </c>
      <c r="O145" t="s">
        <v>281</v>
      </c>
      <c r="P145" t="s">
        <v>281</v>
      </c>
      <c r="Q145">
        <v>1000</v>
      </c>
      <c r="X145">
        <v>1.6E-2</v>
      </c>
      <c r="Y145">
        <v>18737.900000000001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 t="s">
        <v>3</v>
      </c>
      <c r="AG145">
        <v>1.6E-2</v>
      </c>
      <c r="AH145">
        <v>2</v>
      </c>
      <c r="AI145">
        <v>42225330</v>
      </c>
      <c r="AJ145">
        <v>158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>
      <c r="A146">
        <f>ROW(Source!A311)</f>
        <v>311</v>
      </c>
      <c r="B146">
        <v>42225336</v>
      </c>
      <c r="C146">
        <v>42225328</v>
      </c>
      <c r="D146">
        <v>38800074</v>
      </c>
      <c r="E146">
        <v>1</v>
      </c>
      <c r="F146">
        <v>1</v>
      </c>
      <c r="G146">
        <v>27</v>
      </c>
      <c r="H146">
        <v>3</v>
      </c>
      <c r="I146" t="s">
        <v>478</v>
      </c>
      <c r="J146" t="s">
        <v>479</v>
      </c>
      <c r="K146" t="s">
        <v>480</v>
      </c>
      <c r="L146">
        <v>1348</v>
      </c>
      <c r="N146">
        <v>1009</v>
      </c>
      <c r="O146" t="s">
        <v>281</v>
      </c>
      <c r="P146" t="s">
        <v>281</v>
      </c>
      <c r="Q146">
        <v>1000</v>
      </c>
      <c r="X146">
        <v>0.24</v>
      </c>
      <c r="Y146">
        <v>142619.79999999999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 t="s">
        <v>3</v>
      </c>
      <c r="AG146">
        <v>0.24</v>
      </c>
      <c r="AH146">
        <v>2</v>
      </c>
      <c r="AI146">
        <v>42225331</v>
      </c>
      <c r="AJ146">
        <v>159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>
      <c r="A147">
        <f>ROW(Source!A311)</f>
        <v>311</v>
      </c>
      <c r="B147">
        <v>42225337</v>
      </c>
      <c r="C147">
        <v>42225328</v>
      </c>
      <c r="D147">
        <v>38801724</v>
      </c>
      <c r="E147">
        <v>1</v>
      </c>
      <c r="F147">
        <v>1</v>
      </c>
      <c r="G147">
        <v>27</v>
      </c>
      <c r="H147">
        <v>3</v>
      </c>
      <c r="I147" t="s">
        <v>481</v>
      </c>
      <c r="J147" t="s">
        <v>482</v>
      </c>
      <c r="K147" t="s">
        <v>483</v>
      </c>
      <c r="L147">
        <v>1346</v>
      </c>
      <c r="N147">
        <v>1009</v>
      </c>
      <c r="O147" t="s">
        <v>353</v>
      </c>
      <c r="P147" t="s">
        <v>353</v>
      </c>
      <c r="Q147">
        <v>1</v>
      </c>
      <c r="X147">
        <v>0.1</v>
      </c>
      <c r="Y147">
        <v>28.41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 t="s">
        <v>3</v>
      </c>
      <c r="AG147">
        <v>0.1</v>
      </c>
      <c r="AH147">
        <v>2</v>
      </c>
      <c r="AI147">
        <v>42225332</v>
      </c>
      <c r="AJ147">
        <v>160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>
      <c r="A148">
        <f>ROW(Source!A311)</f>
        <v>311</v>
      </c>
      <c r="B148">
        <v>42225338</v>
      </c>
      <c r="C148">
        <v>42225328</v>
      </c>
      <c r="D148">
        <v>38800200</v>
      </c>
      <c r="E148">
        <v>1</v>
      </c>
      <c r="F148">
        <v>1</v>
      </c>
      <c r="G148">
        <v>27</v>
      </c>
      <c r="H148">
        <v>3</v>
      </c>
      <c r="I148" t="s">
        <v>484</v>
      </c>
      <c r="J148" t="s">
        <v>485</v>
      </c>
      <c r="K148" t="s">
        <v>486</v>
      </c>
      <c r="L148">
        <v>1348</v>
      </c>
      <c r="N148">
        <v>1009</v>
      </c>
      <c r="O148" t="s">
        <v>281</v>
      </c>
      <c r="P148" t="s">
        <v>281</v>
      </c>
      <c r="Q148">
        <v>1000</v>
      </c>
      <c r="X148">
        <v>2.4E-2</v>
      </c>
      <c r="Y148">
        <v>77719.73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 t="s">
        <v>3</v>
      </c>
      <c r="AG148">
        <v>2.4E-2</v>
      </c>
      <c r="AH148">
        <v>2</v>
      </c>
      <c r="AI148">
        <v>42225333</v>
      </c>
      <c r="AJ148">
        <v>161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>
      <c r="A149">
        <f>ROW(Source!A312)</f>
        <v>312</v>
      </c>
      <c r="B149">
        <v>42225346</v>
      </c>
      <c r="C149">
        <v>42225339</v>
      </c>
      <c r="D149">
        <v>38786840</v>
      </c>
      <c r="E149">
        <v>27</v>
      </c>
      <c r="F149">
        <v>1</v>
      </c>
      <c r="G149">
        <v>27</v>
      </c>
      <c r="H149">
        <v>1</v>
      </c>
      <c r="I149" t="s">
        <v>339</v>
      </c>
      <c r="J149" t="s">
        <v>3</v>
      </c>
      <c r="K149" t="s">
        <v>340</v>
      </c>
      <c r="L149">
        <v>1191</v>
      </c>
      <c r="N149">
        <v>1013</v>
      </c>
      <c r="O149" t="s">
        <v>341</v>
      </c>
      <c r="P149" t="s">
        <v>341</v>
      </c>
      <c r="Q149">
        <v>1</v>
      </c>
      <c r="X149">
        <v>15.93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1</v>
      </c>
      <c r="AF149" t="s">
        <v>3</v>
      </c>
      <c r="AG149">
        <v>15.93</v>
      </c>
      <c r="AH149">
        <v>2</v>
      </c>
      <c r="AI149">
        <v>42225340</v>
      </c>
      <c r="AJ149">
        <v>162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>
      <c r="A150">
        <f>ROW(Source!A312)</f>
        <v>312</v>
      </c>
      <c r="B150">
        <v>42225347</v>
      </c>
      <c r="C150">
        <v>42225339</v>
      </c>
      <c r="D150">
        <v>38802281</v>
      </c>
      <c r="E150">
        <v>1</v>
      </c>
      <c r="F150">
        <v>1</v>
      </c>
      <c r="G150">
        <v>27</v>
      </c>
      <c r="H150">
        <v>3</v>
      </c>
      <c r="I150" t="s">
        <v>487</v>
      </c>
      <c r="J150" t="s">
        <v>488</v>
      </c>
      <c r="K150" t="s">
        <v>489</v>
      </c>
      <c r="L150">
        <v>1348</v>
      </c>
      <c r="N150">
        <v>1009</v>
      </c>
      <c r="O150" t="s">
        <v>281</v>
      </c>
      <c r="P150" t="s">
        <v>281</v>
      </c>
      <c r="Q150">
        <v>1000</v>
      </c>
      <c r="X150">
        <v>1E-3</v>
      </c>
      <c r="Y150">
        <v>26071.29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 t="s">
        <v>3</v>
      </c>
      <c r="AG150">
        <v>1E-3</v>
      </c>
      <c r="AH150">
        <v>2</v>
      </c>
      <c r="AI150">
        <v>42225341</v>
      </c>
      <c r="AJ150">
        <v>163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>
      <c r="A151">
        <f>ROW(Source!A312)</f>
        <v>312</v>
      </c>
      <c r="B151">
        <v>42225348</v>
      </c>
      <c r="C151">
        <v>42225339</v>
      </c>
      <c r="D151">
        <v>38800334</v>
      </c>
      <c r="E151">
        <v>1</v>
      </c>
      <c r="F151">
        <v>1</v>
      </c>
      <c r="G151">
        <v>27</v>
      </c>
      <c r="H151">
        <v>3</v>
      </c>
      <c r="I151" t="s">
        <v>490</v>
      </c>
      <c r="J151" t="s">
        <v>491</v>
      </c>
      <c r="K151" t="s">
        <v>492</v>
      </c>
      <c r="L151">
        <v>1348</v>
      </c>
      <c r="N151">
        <v>1009</v>
      </c>
      <c r="O151" t="s">
        <v>281</v>
      </c>
      <c r="P151" t="s">
        <v>281</v>
      </c>
      <c r="Q151">
        <v>1000</v>
      </c>
      <c r="X151">
        <v>1.8799999999999999E-3</v>
      </c>
      <c r="Y151">
        <v>119906.53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 t="s">
        <v>3</v>
      </c>
      <c r="AG151">
        <v>1.8799999999999999E-3</v>
      </c>
      <c r="AH151">
        <v>2</v>
      </c>
      <c r="AI151">
        <v>42225342</v>
      </c>
      <c r="AJ151">
        <v>164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>
      <c r="A152">
        <f>ROW(Source!A312)</f>
        <v>312</v>
      </c>
      <c r="B152">
        <v>42225349</v>
      </c>
      <c r="C152">
        <v>42225339</v>
      </c>
      <c r="D152">
        <v>38800371</v>
      </c>
      <c r="E152">
        <v>1</v>
      </c>
      <c r="F152">
        <v>1</v>
      </c>
      <c r="G152">
        <v>27</v>
      </c>
      <c r="H152">
        <v>3</v>
      </c>
      <c r="I152" t="s">
        <v>493</v>
      </c>
      <c r="J152" t="s">
        <v>494</v>
      </c>
      <c r="K152" t="s">
        <v>495</v>
      </c>
      <c r="L152">
        <v>1348</v>
      </c>
      <c r="N152">
        <v>1009</v>
      </c>
      <c r="O152" t="s">
        <v>281</v>
      </c>
      <c r="P152" t="s">
        <v>281</v>
      </c>
      <c r="Q152">
        <v>1000</v>
      </c>
      <c r="X152">
        <v>5.11E-2</v>
      </c>
      <c r="Y152">
        <v>103392.57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 t="s">
        <v>3</v>
      </c>
      <c r="AG152">
        <v>5.11E-2</v>
      </c>
      <c r="AH152">
        <v>2</v>
      </c>
      <c r="AI152">
        <v>42225343</v>
      </c>
      <c r="AJ152">
        <v>165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>
      <c r="A153">
        <f>ROW(Source!A312)</f>
        <v>312</v>
      </c>
      <c r="B153">
        <v>42225350</v>
      </c>
      <c r="C153">
        <v>42225339</v>
      </c>
      <c r="D153">
        <v>38800321</v>
      </c>
      <c r="E153">
        <v>1</v>
      </c>
      <c r="F153">
        <v>1</v>
      </c>
      <c r="G153">
        <v>27</v>
      </c>
      <c r="H153">
        <v>3</v>
      </c>
      <c r="I153" t="s">
        <v>496</v>
      </c>
      <c r="J153" t="s">
        <v>497</v>
      </c>
      <c r="K153" t="s">
        <v>498</v>
      </c>
      <c r="L153">
        <v>1348</v>
      </c>
      <c r="N153">
        <v>1009</v>
      </c>
      <c r="O153" t="s">
        <v>281</v>
      </c>
      <c r="P153" t="s">
        <v>281</v>
      </c>
      <c r="Q153">
        <v>1000</v>
      </c>
      <c r="X153">
        <v>2.4199999999999999E-2</v>
      </c>
      <c r="Y153">
        <v>104930.55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 t="s">
        <v>3</v>
      </c>
      <c r="AG153">
        <v>2.4199999999999999E-2</v>
      </c>
      <c r="AH153">
        <v>2</v>
      </c>
      <c r="AI153">
        <v>42225344</v>
      </c>
      <c r="AJ153">
        <v>166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>
      <c r="A154">
        <f>ROW(Source!A312)</f>
        <v>312</v>
      </c>
      <c r="B154">
        <v>42225351</v>
      </c>
      <c r="C154">
        <v>42225339</v>
      </c>
      <c r="D154">
        <v>38803034</v>
      </c>
      <c r="E154">
        <v>1</v>
      </c>
      <c r="F154">
        <v>1</v>
      </c>
      <c r="G154">
        <v>27</v>
      </c>
      <c r="H154">
        <v>3</v>
      </c>
      <c r="I154" t="s">
        <v>499</v>
      </c>
      <c r="J154" t="s">
        <v>500</v>
      </c>
      <c r="K154" t="s">
        <v>501</v>
      </c>
      <c r="L154">
        <v>1348</v>
      </c>
      <c r="N154">
        <v>1009</v>
      </c>
      <c r="O154" t="s">
        <v>281</v>
      </c>
      <c r="P154" t="s">
        <v>281</v>
      </c>
      <c r="Q154">
        <v>1000</v>
      </c>
      <c r="X154">
        <v>5.2499999999999998E-2</v>
      </c>
      <c r="Y154">
        <v>4664.17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 t="s">
        <v>3</v>
      </c>
      <c r="AG154">
        <v>5.2499999999999998E-2</v>
      </c>
      <c r="AH154">
        <v>2</v>
      </c>
      <c r="AI154">
        <v>42225345</v>
      </c>
      <c r="AJ154">
        <v>167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>
      <c r="A155">
        <f>ROW(Source!A313)</f>
        <v>313</v>
      </c>
      <c r="B155">
        <v>42225355</v>
      </c>
      <c r="C155">
        <v>42225352</v>
      </c>
      <c r="D155">
        <v>38786840</v>
      </c>
      <c r="E155">
        <v>27</v>
      </c>
      <c r="F155">
        <v>1</v>
      </c>
      <c r="G155">
        <v>27</v>
      </c>
      <c r="H155">
        <v>1</v>
      </c>
      <c r="I155" t="s">
        <v>339</v>
      </c>
      <c r="J155" t="s">
        <v>3</v>
      </c>
      <c r="K155" t="s">
        <v>340</v>
      </c>
      <c r="L155">
        <v>1191</v>
      </c>
      <c r="N155">
        <v>1013</v>
      </c>
      <c r="O155" t="s">
        <v>341</v>
      </c>
      <c r="P155" t="s">
        <v>341</v>
      </c>
      <c r="Q155">
        <v>1</v>
      </c>
      <c r="X155">
        <v>227.7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1</v>
      </c>
      <c r="AF155" t="s">
        <v>3</v>
      </c>
      <c r="AG155">
        <v>227.7</v>
      </c>
      <c r="AH155">
        <v>2</v>
      </c>
      <c r="AI155">
        <v>42225353</v>
      </c>
      <c r="AJ155">
        <v>168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>
      <c r="A156">
        <f>ROW(Source!A313)</f>
        <v>313</v>
      </c>
      <c r="B156">
        <v>42225356</v>
      </c>
      <c r="C156">
        <v>42225352</v>
      </c>
      <c r="D156">
        <v>38803137</v>
      </c>
      <c r="E156">
        <v>1</v>
      </c>
      <c r="F156">
        <v>1</v>
      </c>
      <c r="G156">
        <v>27</v>
      </c>
      <c r="H156">
        <v>3</v>
      </c>
      <c r="I156" t="s">
        <v>502</v>
      </c>
      <c r="J156" t="s">
        <v>503</v>
      </c>
      <c r="K156" t="s">
        <v>504</v>
      </c>
      <c r="L156">
        <v>1348</v>
      </c>
      <c r="N156">
        <v>1009</v>
      </c>
      <c r="O156" t="s">
        <v>281</v>
      </c>
      <c r="P156" t="s">
        <v>281</v>
      </c>
      <c r="Q156">
        <v>1000</v>
      </c>
      <c r="X156">
        <v>1</v>
      </c>
      <c r="Y156">
        <v>53233.52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 t="s">
        <v>3</v>
      </c>
      <c r="AG156">
        <v>1</v>
      </c>
      <c r="AH156">
        <v>2</v>
      </c>
      <c r="AI156">
        <v>42225354</v>
      </c>
      <c r="AJ156">
        <v>169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>
      <c r="A157">
        <f>ROW(Source!A314)</f>
        <v>314</v>
      </c>
      <c r="B157">
        <v>42225364</v>
      </c>
      <c r="C157">
        <v>42225357</v>
      </c>
      <c r="D157">
        <v>38786840</v>
      </c>
      <c r="E157">
        <v>27</v>
      </c>
      <c r="F157">
        <v>1</v>
      </c>
      <c r="G157">
        <v>27</v>
      </c>
      <c r="H157">
        <v>1</v>
      </c>
      <c r="I157" t="s">
        <v>339</v>
      </c>
      <c r="J157" t="s">
        <v>3</v>
      </c>
      <c r="K157" t="s">
        <v>340</v>
      </c>
      <c r="L157">
        <v>1191</v>
      </c>
      <c r="N157">
        <v>1013</v>
      </c>
      <c r="O157" t="s">
        <v>341</v>
      </c>
      <c r="P157" t="s">
        <v>341</v>
      </c>
      <c r="Q157">
        <v>1</v>
      </c>
      <c r="X157">
        <v>36.11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1</v>
      </c>
      <c r="AF157" t="s">
        <v>3</v>
      </c>
      <c r="AG157">
        <v>36.11</v>
      </c>
      <c r="AH157">
        <v>2</v>
      </c>
      <c r="AI157">
        <v>42225358</v>
      </c>
      <c r="AJ157">
        <v>170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>
      <c r="A158">
        <f>ROW(Source!A314)</f>
        <v>314</v>
      </c>
      <c r="B158">
        <v>42225365</v>
      </c>
      <c r="C158">
        <v>42225357</v>
      </c>
      <c r="D158">
        <v>38799460</v>
      </c>
      <c r="E158">
        <v>1</v>
      </c>
      <c r="F158">
        <v>1</v>
      </c>
      <c r="G158">
        <v>27</v>
      </c>
      <c r="H158">
        <v>2</v>
      </c>
      <c r="I158" t="s">
        <v>505</v>
      </c>
      <c r="J158" t="s">
        <v>506</v>
      </c>
      <c r="K158" t="s">
        <v>507</v>
      </c>
      <c r="L158">
        <v>1368</v>
      </c>
      <c r="N158">
        <v>1011</v>
      </c>
      <c r="O158" t="s">
        <v>345</v>
      </c>
      <c r="P158" t="s">
        <v>345</v>
      </c>
      <c r="Q158">
        <v>1</v>
      </c>
      <c r="X158">
        <v>21.91</v>
      </c>
      <c r="Y158">
        <v>0</v>
      </c>
      <c r="Z158">
        <v>54.65</v>
      </c>
      <c r="AA158">
        <v>0.05</v>
      </c>
      <c r="AB158">
        <v>0</v>
      </c>
      <c r="AC158">
        <v>0</v>
      </c>
      <c r="AD158">
        <v>1</v>
      </c>
      <c r="AE158">
        <v>0</v>
      </c>
      <c r="AF158" t="s">
        <v>3</v>
      </c>
      <c r="AG158">
        <v>21.91</v>
      </c>
      <c r="AH158">
        <v>2</v>
      </c>
      <c r="AI158">
        <v>42225359</v>
      </c>
      <c r="AJ158">
        <v>171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>
      <c r="A159">
        <f>ROW(Source!A314)</f>
        <v>314</v>
      </c>
      <c r="B159">
        <v>42225366</v>
      </c>
      <c r="C159">
        <v>42225357</v>
      </c>
      <c r="D159">
        <v>38801818</v>
      </c>
      <c r="E159">
        <v>1</v>
      </c>
      <c r="F159">
        <v>1</v>
      </c>
      <c r="G159">
        <v>27</v>
      </c>
      <c r="H159">
        <v>3</v>
      </c>
      <c r="I159" t="s">
        <v>508</v>
      </c>
      <c r="J159" t="s">
        <v>509</v>
      </c>
      <c r="K159" t="s">
        <v>510</v>
      </c>
      <c r="L159">
        <v>1348</v>
      </c>
      <c r="N159">
        <v>1009</v>
      </c>
      <c r="O159" t="s">
        <v>281</v>
      </c>
      <c r="P159" t="s">
        <v>281</v>
      </c>
      <c r="Q159">
        <v>1000</v>
      </c>
      <c r="X159">
        <v>0.03</v>
      </c>
      <c r="Y159">
        <v>110781.14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 t="s">
        <v>3</v>
      </c>
      <c r="AG159">
        <v>0.03</v>
      </c>
      <c r="AH159">
        <v>2</v>
      </c>
      <c r="AI159">
        <v>42225361</v>
      </c>
      <c r="AJ159">
        <v>174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>
      <c r="A160">
        <f>ROW(Source!A314)</f>
        <v>314</v>
      </c>
      <c r="B160">
        <v>42225367</v>
      </c>
      <c r="C160">
        <v>42225357</v>
      </c>
      <c r="D160">
        <v>38803137</v>
      </c>
      <c r="E160">
        <v>1</v>
      </c>
      <c r="F160">
        <v>1</v>
      </c>
      <c r="G160">
        <v>27</v>
      </c>
      <c r="H160">
        <v>3</v>
      </c>
      <c r="I160" t="s">
        <v>502</v>
      </c>
      <c r="J160" t="s">
        <v>503</v>
      </c>
      <c r="K160" t="s">
        <v>504</v>
      </c>
      <c r="L160">
        <v>1348</v>
      </c>
      <c r="N160">
        <v>1009</v>
      </c>
      <c r="O160" t="s">
        <v>281</v>
      </c>
      <c r="P160" t="s">
        <v>281</v>
      </c>
      <c r="Q160">
        <v>1000</v>
      </c>
      <c r="X160">
        <v>1</v>
      </c>
      <c r="Y160">
        <v>53233.52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 t="s">
        <v>3</v>
      </c>
      <c r="AG160">
        <v>1</v>
      </c>
      <c r="AH160">
        <v>2</v>
      </c>
      <c r="AI160">
        <v>42225362</v>
      </c>
      <c r="AJ160">
        <v>175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>
      <c r="A161">
        <f>ROW(Source!A317)</f>
        <v>317</v>
      </c>
      <c r="B161">
        <v>42225377</v>
      </c>
      <c r="C161">
        <v>42225370</v>
      </c>
      <c r="D161">
        <v>38786840</v>
      </c>
      <c r="E161">
        <v>27</v>
      </c>
      <c r="F161">
        <v>1</v>
      </c>
      <c r="G161">
        <v>27</v>
      </c>
      <c r="H161">
        <v>1</v>
      </c>
      <c r="I161" t="s">
        <v>339</v>
      </c>
      <c r="J161" t="s">
        <v>3</v>
      </c>
      <c r="K161" t="s">
        <v>340</v>
      </c>
      <c r="L161">
        <v>1191</v>
      </c>
      <c r="N161">
        <v>1013</v>
      </c>
      <c r="O161" t="s">
        <v>341</v>
      </c>
      <c r="P161" t="s">
        <v>341</v>
      </c>
      <c r="Q161">
        <v>1</v>
      </c>
      <c r="X161">
        <v>34.380000000000003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 t="s">
        <v>3</v>
      </c>
      <c r="AG161">
        <v>34.380000000000003</v>
      </c>
      <c r="AH161">
        <v>2</v>
      </c>
      <c r="AI161">
        <v>42225371</v>
      </c>
      <c r="AJ161">
        <v>176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>
      <c r="A162">
        <f>ROW(Source!A317)</f>
        <v>317</v>
      </c>
      <c r="B162">
        <v>42225378</v>
      </c>
      <c r="C162">
        <v>42225370</v>
      </c>
      <c r="D162">
        <v>38799922</v>
      </c>
      <c r="E162">
        <v>1</v>
      </c>
      <c r="F162">
        <v>1</v>
      </c>
      <c r="G162">
        <v>27</v>
      </c>
      <c r="H162">
        <v>2</v>
      </c>
      <c r="I162" t="s">
        <v>511</v>
      </c>
      <c r="J162" t="s">
        <v>512</v>
      </c>
      <c r="K162" t="s">
        <v>513</v>
      </c>
      <c r="L162">
        <v>1368</v>
      </c>
      <c r="N162">
        <v>1011</v>
      </c>
      <c r="O162" t="s">
        <v>345</v>
      </c>
      <c r="P162" t="s">
        <v>345</v>
      </c>
      <c r="Q162">
        <v>1</v>
      </c>
      <c r="X162">
        <v>5.26</v>
      </c>
      <c r="Y162">
        <v>0</v>
      </c>
      <c r="Z162">
        <v>7.44</v>
      </c>
      <c r="AA162">
        <v>0.98</v>
      </c>
      <c r="AB162">
        <v>0</v>
      </c>
      <c r="AC162">
        <v>0</v>
      </c>
      <c r="AD162">
        <v>1</v>
      </c>
      <c r="AE162">
        <v>0</v>
      </c>
      <c r="AF162" t="s">
        <v>3</v>
      </c>
      <c r="AG162">
        <v>5.26</v>
      </c>
      <c r="AH162">
        <v>2</v>
      </c>
      <c r="AI162">
        <v>42225372</v>
      </c>
      <c r="AJ162">
        <v>177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>
      <c r="A163">
        <f>ROW(Source!A317)</f>
        <v>317</v>
      </c>
      <c r="B163">
        <v>42225379</v>
      </c>
      <c r="C163">
        <v>42225370</v>
      </c>
      <c r="D163">
        <v>38800890</v>
      </c>
      <c r="E163">
        <v>1</v>
      </c>
      <c r="F163">
        <v>1</v>
      </c>
      <c r="G163">
        <v>27</v>
      </c>
      <c r="H163">
        <v>3</v>
      </c>
      <c r="I163" t="s">
        <v>300</v>
      </c>
      <c r="J163" t="s">
        <v>303</v>
      </c>
      <c r="K163" t="s">
        <v>301</v>
      </c>
      <c r="L163">
        <v>1327</v>
      </c>
      <c r="N163">
        <v>1005</v>
      </c>
      <c r="O163" t="s">
        <v>302</v>
      </c>
      <c r="P163" t="s">
        <v>302</v>
      </c>
      <c r="Q163">
        <v>1</v>
      </c>
      <c r="X163">
        <v>102</v>
      </c>
      <c r="Y163">
        <v>306.58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 t="s">
        <v>3</v>
      </c>
      <c r="AG163">
        <v>102</v>
      </c>
      <c r="AH163">
        <v>2</v>
      </c>
      <c r="AI163">
        <v>42225373</v>
      </c>
      <c r="AJ163">
        <v>179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>
      <c r="A164">
        <f>ROW(Source!A317)</f>
        <v>317</v>
      </c>
      <c r="B164">
        <v>42225380</v>
      </c>
      <c r="C164">
        <v>42225370</v>
      </c>
      <c r="D164">
        <v>38788376</v>
      </c>
      <c r="E164">
        <v>27</v>
      </c>
      <c r="F164">
        <v>1</v>
      </c>
      <c r="G164">
        <v>27</v>
      </c>
      <c r="H164">
        <v>3</v>
      </c>
      <c r="I164" t="s">
        <v>514</v>
      </c>
      <c r="J164" t="s">
        <v>3</v>
      </c>
      <c r="K164" t="s">
        <v>515</v>
      </c>
      <c r="L164">
        <v>1348</v>
      </c>
      <c r="N164">
        <v>1009</v>
      </c>
      <c r="O164" t="s">
        <v>281</v>
      </c>
      <c r="P164" t="s">
        <v>281</v>
      </c>
      <c r="Q164">
        <v>1000</v>
      </c>
      <c r="X164">
        <v>2.9999999999999997E-4</v>
      </c>
      <c r="Y164">
        <v>179560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 t="s">
        <v>3</v>
      </c>
      <c r="AG164">
        <v>2.9999999999999997E-4</v>
      </c>
      <c r="AH164">
        <v>2</v>
      </c>
      <c r="AI164">
        <v>42225374</v>
      </c>
      <c r="AJ164">
        <v>180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>
      <c r="A165">
        <f>ROW(Source!A317)</f>
        <v>317</v>
      </c>
      <c r="B165">
        <v>42225381</v>
      </c>
      <c r="C165">
        <v>42225370</v>
      </c>
      <c r="D165">
        <v>38788374</v>
      </c>
      <c r="E165">
        <v>27</v>
      </c>
      <c r="F165">
        <v>1</v>
      </c>
      <c r="G165">
        <v>27</v>
      </c>
      <c r="H165">
        <v>3</v>
      </c>
      <c r="I165" t="s">
        <v>516</v>
      </c>
      <c r="J165" t="s">
        <v>3</v>
      </c>
      <c r="K165" t="s">
        <v>517</v>
      </c>
      <c r="L165">
        <v>1348</v>
      </c>
      <c r="N165">
        <v>1009</v>
      </c>
      <c r="O165" t="s">
        <v>281</v>
      </c>
      <c r="P165" t="s">
        <v>281</v>
      </c>
      <c r="Q165">
        <v>1000</v>
      </c>
      <c r="X165">
        <v>2.9999999999999997E-4</v>
      </c>
      <c r="Y165">
        <v>205080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 t="s">
        <v>3</v>
      </c>
      <c r="AG165">
        <v>2.9999999999999997E-4</v>
      </c>
      <c r="AH165">
        <v>2</v>
      </c>
      <c r="AI165">
        <v>42225375</v>
      </c>
      <c r="AJ165">
        <v>181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>
      <c r="A166">
        <f>ROW(Source!A320)</f>
        <v>320</v>
      </c>
      <c r="B166">
        <v>42225391</v>
      </c>
      <c r="C166">
        <v>42225384</v>
      </c>
      <c r="D166">
        <v>38786840</v>
      </c>
      <c r="E166">
        <v>27</v>
      </c>
      <c r="F166">
        <v>1</v>
      </c>
      <c r="G166">
        <v>27</v>
      </c>
      <c r="H166">
        <v>1</v>
      </c>
      <c r="I166" t="s">
        <v>339</v>
      </c>
      <c r="J166" t="s">
        <v>3</v>
      </c>
      <c r="K166" t="s">
        <v>340</v>
      </c>
      <c r="L166">
        <v>1191</v>
      </c>
      <c r="N166">
        <v>1013</v>
      </c>
      <c r="O166" t="s">
        <v>341</v>
      </c>
      <c r="P166" t="s">
        <v>341</v>
      </c>
      <c r="Q166">
        <v>1</v>
      </c>
      <c r="X166">
        <v>34.380000000000003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1</v>
      </c>
      <c r="AF166" t="s">
        <v>3</v>
      </c>
      <c r="AG166">
        <v>34.380000000000003</v>
      </c>
      <c r="AH166">
        <v>2</v>
      </c>
      <c r="AI166">
        <v>42225385</v>
      </c>
      <c r="AJ166">
        <v>182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>
      <c r="A167">
        <f>ROW(Source!A320)</f>
        <v>320</v>
      </c>
      <c r="B167">
        <v>42225392</v>
      </c>
      <c r="C167">
        <v>42225384</v>
      </c>
      <c r="D167">
        <v>38799922</v>
      </c>
      <c r="E167">
        <v>1</v>
      </c>
      <c r="F167">
        <v>1</v>
      </c>
      <c r="G167">
        <v>27</v>
      </c>
      <c r="H167">
        <v>2</v>
      </c>
      <c r="I167" t="s">
        <v>511</v>
      </c>
      <c r="J167" t="s">
        <v>512</v>
      </c>
      <c r="K167" t="s">
        <v>513</v>
      </c>
      <c r="L167">
        <v>1368</v>
      </c>
      <c r="N167">
        <v>1011</v>
      </c>
      <c r="O167" t="s">
        <v>345</v>
      </c>
      <c r="P167" t="s">
        <v>345</v>
      </c>
      <c r="Q167">
        <v>1</v>
      </c>
      <c r="X167">
        <v>5.26</v>
      </c>
      <c r="Y167">
        <v>0</v>
      </c>
      <c r="Z167">
        <v>7.44</v>
      </c>
      <c r="AA167">
        <v>0.98</v>
      </c>
      <c r="AB167">
        <v>0</v>
      </c>
      <c r="AC167">
        <v>0</v>
      </c>
      <c r="AD167">
        <v>1</v>
      </c>
      <c r="AE167">
        <v>0</v>
      </c>
      <c r="AF167" t="s">
        <v>3</v>
      </c>
      <c r="AG167">
        <v>5.26</v>
      </c>
      <c r="AH167">
        <v>2</v>
      </c>
      <c r="AI167">
        <v>42225386</v>
      </c>
      <c r="AJ167">
        <v>183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>
      <c r="A168">
        <f>ROW(Source!A320)</f>
        <v>320</v>
      </c>
      <c r="B168">
        <v>42225393</v>
      </c>
      <c r="C168">
        <v>42225384</v>
      </c>
      <c r="D168">
        <v>38800890</v>
      </c>
      <c r="E168">
        <v>1</v>
      </c>
      <c r="F168">
        <v>1</v>
      </c>
      <c r="G168">
        <v>27</v>
      </c>
      <c r="H168">
        <v>3</v>
      </c>
      <c r="I168" t="s">
        <v>300</v>
      </c>
      <c r="J168" t="s">
        <v>303</v>
      </c>
      <c r="K168" t="s">
        <v>301</v>
      </c>
      <c r="L168">
        <v>1327</v>
      </c>
      <c r="N168">
        <v>1005</v>
      </c>
      <c r="O168" t="s">
        <v>302</v>
      </c>
      <c r="P168" t="s">
        <v>302</v>
      </c>
      <c r="Q168">
        <v>1</v>
      </c>
      <c r="X168">
        <v>102</v>
      </c>
      <c r="Y168">
        <v>306.58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 t="s">
        <v>3</v>
      </c>
      <c r="AG168">
        <v>102</v>
      </c>
      <c r="AH168">
        <v>2</v>
      </c>
      <c r="AI168">
        <v>42225387</v>
      </c>
      <c r="AJ168">
        <v>185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>
      <c r="A169">
        <f>ROW(Source!A320)</f>
        <v>320</v>
      </c>
      <c r="B169">
        <v>42225394</v>
      </c>
      <c r="C169">
        <v>42225384</v>
      </c>
      <c r="D169">
        <v>38788376</v>
      </c>
      <c r="E169">
        <v>27</v>
      </c>
      <c r="F169">
        <v>1</v>
      </c>
      <c r="G169">
        <v>27</v>
      </c>
      <c r="H169">
        <v>3</v>
      </c>
      <c r="I169" t="s">
        <v>514</v>
      </c>
      <c r="J169" t="s">
        <v>3</v>
      </c>
      <c r="K169" t="s">
        <v>515</v>
      </c>
      <c r="L169">
        <v>1348</v>
      </c>
      <c r="N169">
        <v>1009</v>
      </c>
      <c r="O169" t="s">
        <v>281</v>
      </c>
      <c r="P169" t="s">
        <v>281</v>
      </c>
      <c r="Q169">
        <v>1000</v>
      </c>
      <c r="X169">
        <v>2.9999999999999997E-4</v>
      </c>
      <c r="Y169">
        <v>179560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 t="s">
        <v>3</v>
      </c>
      <c r="AG169">
        <v>2.9999999999999997E-4</v>
      </c>
      <c r="AH169">
        <v>2</v>
      </c>
      <c r="AI169">
        <v>42225388</v>
      </c>
      <c r="AJ169">
        <v>186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>
      <c r="A170">
        <f>ROW(Source!A320)</f>
        <v>320</v>
      </c>
      <c r="B170">
        <v>42225395</v>
      </c>
      <c r="C170">
        <v>42225384</v>
      </c>
      <c r="D170">
        <v>38788374</v>
      </c>
      <c r="E170">
        <v>27</v>
      </c>
      <c r="F170">
        <v>1</v>
      </c>
      <c r="G170">
        <v>27</v>
      </c>
      <c r="H170">
        <v>3</v>
      </c>
      <c r="I170" t="s">
        <v>516</v>
      </c>
      <c r="J170" t="s">
        <v>3</v>
      </c>
      <c r="K170" t="s">
        <v>517</v>
      </c>
      <c r="L170">
        <v>1348</v>
      </c>
      <c r="N170">
        <v>1009</v>
      </c>
      <c r="O170" t="s">
        <v>281</v>
      </c>
      <c r="P170" t="s">
        <v>281</v>
      </c>
      <c r="Q170">
        <v>1000</v>
      </c>
      <c r="X170">
        <v>2.9999999999999997E-4</v>
      </c>
      <c r="Y170">
        <v>205080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 t="s">
        <v>3</v>
      </c>
      <c r="AG170">
        <v>2.9999999999999997E-4</v>
      </c>
      <c r="AH170">
        <v>2</v>
      </c>
      <c r="AI170">
        <v>42225389</v>
      </c>
      <c r="AJ170">
        <v>187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>
      <c r="A171">
        <f>ROW(Source!A323)</f>
        <v>323</v>
      </c>
      <c r="B171">
        <v>42225400</v>
      </c>
      <c r="C171">
        <v>42225398</v>
      </c>
      <c r="D171">
        <v>38786840</v>
      </c>
      <c r="E171">
        <v>27</v>
      </c>
      <c r="F171">
        <v>1</v>
      </c>
      <c r="G171">
        <v>27</v>
      </c>
      <c r="H171">
        <v>1</v>
      </c>
      <c r="I171" t="s">
        <v>339</v>
      </c>
      <c r="J171" t="s">
        <v>3</v>
      </c>
      <c r="K171" t="s">
        <v>340</v>
      </c>
      <c r="L171">
        <v>1191</v>
      </c>
      <c r="N171">
        <v>1013</v>
      </c>
      <c r="O171" t="s">
        <v>341</v>
      </c>
      <c r="P171" t="s">
        <v>341</v>
      </c>
      <c r="Q171">
        <v>1</v>
      </c>
      <c r="X171">
        <v>0.6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</v>
      </c>
      <c r="AF171" t="s">
        <v>3</v>
      </c>
      <c r="AG171">
        <v>0.6</v>
      </c>
      <c r="AH171">
        <v>2</v>
      </c>
      <c r="AI171">
        <v>42225399</v>
      </c>
      <c r="AJ171">
        <v>188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>
      <c r="A172">
        <f>ROW(Source!A324)</f>
        <v>324</v>
      </c>
      <c r="B172">
        <v>42225404</v>
      </c>
      <c r="C172">
        <v>42225401</v>
      </c>
      <c r="D172">
        <v>38786840</v>
      </c>
      <c r="E172">
        <v>27</v>
      </c>
      <c r="F172">
        <v>1</v>
      </c>
      <c r="G172">
        <v>27</v>
      </c>
      <c r="H172">
        <v>1</v>
      </c>
      <c r="I172" t="s">
        <v>339</v>
      </c>
      <c r="J172" t="s">
        <v>3</v>
      </c>
      <c r="K172" t="s">
        <v>340</v>
      </c>
      <c r="L172">
        <v>1191</v>
      </c>
      <c r="N172">
        <v>1013</v>
      </c>
      <c r="O172" t="s">
        <v>341</v>
      </c>
      <c r="P172" t="s">
        <v>341</v>
      </c>
      <c r="Q172">
        <v>1</v>
      </c>
      <c r="X172">
        <v>10.44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1</v>
      </c>
      <c r="AF172" t="s">
        <v>3</v>
      </c>
      <c r="AG172">
        <v>10.44</v>
      </c>
      <c r="AH172">
        <v>2</v>
      </c>
      <c r="AI172">
        <v>42225402</v>
      </c>
      <c r="AJ172">
        <v>189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>
      <c r="A173">
        <f>ROW(Source!A324)</f>
        <v>324</v>
      </c>
      <c r="B173">
        <v>42225405</v>
      </c>
      <c r="C173">
        <v>42225401</v>
      </c>
      <c r="D173">
        <v>38788199</v>
      </c>
      <c r="E173">
        <v>27</v>
      </c>
      <c r="F173">
        <v>1</v>
      </c>
      <c r="G173">
        <v>27</v>
      </c>
      <c r="H173">
        <v>3</v>
      </c>
      <c r="I173" t="s">
        <v>518</v>
      </c>
      <c r="J173" t="s">
        <v>3</v>
      </c>
      <c r="K173" t="s">
        <v>519</v>
      </c>
      <c r="L173">
        <v>1346</v>
      </c>
      <c r="N173">
        <v>1009</v>
      </c>
      <c r="O173" t="s">
        <v>353</v>
      </c>
      <c r="P173" t="s">
        <v>353</v>
      </c>
      <c r="Q173">
        <v>1</v>
      </c>
      <c r="X173">
        <v>32</v>
      </c>
      <c r="Y173">
        <v>63.195540000000001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 t="s">
        <v>3</v>
      </c>
      <c r="AG173">
        <v>32</v>
      </c>
      <c r="AH173">
        <v>2</v>
      </c>
      <c r="AI173">
        <v>42225403</v>
      </c>
      <c r="AJ173">
        <v>190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>
      <c r="A174">
        <f>ROW(Source!A325)</f>
        <v>325</v>
      </c>
      <c r="B174">
        <v>42225413</v>
      </c>
      <c r="C174">
        <v>42225406</v>
      </c>
      <c r="D174">
        <v>38786840</v>
      </c>
      <c r="E174">
        <v>27</v>
      </c>
      <c r="F174">
        <v>1</v>
      </c>
      <c r="G174">
        <v>27</v>
      </c>
      <c r="H174">
        <v>1</v>
      </c>
      <c r="I174" t="s">
        <v>339</v>
      </c>
      <c r="J174" t="s">
        <v>3</v>
      </c>
      <c r="K174" t="s">
        <v>340</v>
      </c>
      <c r="L174">
        <v>1191</v>
      </c>
      <c r="N174">
        <v>1013</v>
      </c>
      <c r="O174" t="s">
        <v>341</v>
      </c>
      <c r="P174" t="s">
        <v>341</v>
      </c>
      <c r="Q174">
        <v>1</v>
      </c>
      <c r="X174">
        <v>17.07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1</v>
      </c>
      <c r="AF174" t="s">
        <v>3</v>
      </c>
      <c r="AG174">
        <v>17.07</v>
      </c>
      <c r="AH174">
        <v>2</v>
      </c>
      <c r="AI174">
        <v>42225407</v>
      </c>
      <c r="AJ174">
        <v>191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>
      <c r="A175">
        <f>ROW(Source!A325)</f>
        <v>325</v>
      </c>
      <c r="B175">
        <v>42225414</v>
      </c>
      <c r="C175">
        <v>42225406</v>
      </c>
      <c r="D175">
        <v>38801724</v>
      </c>
      <c r="E175">
        <v>1</v>
      </c>
      <c r="F175">
        <v>1</v>
      </c>
      <c r="G175">
        <v>27</v>
      </c>
      <c r="H175">
        <v>3</v>
      </c>
      <c r="I175" t="s">
        <v>481</v>
      </c>
      <c r="J175" t="s">
        <v>482</v>
      </c>
      <c r="K175" t="s">
        <v>483</v>
      </c>
      <c r="L175">
        <v>1346</v>
      </c>
      <c r="N175">
        <v>1009</v>
      </c>
      <c r="O175" t="s">
        <v>353</v>
      </c>
      <c r="P175" t="s">
        <v>353</v>
      </c>
      <c r="Q175">
        <v>1</v>
      </c>
      <c r="X175">
        <v>0.05</v>
      </c>
      <c r="Y175">
        <v>28.41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 t="s">
        <v>3</v>
      </c>
      <c r="AG175">
        <v>0.05</v>
      </c>
      <c r="AH175">
        <v>2</v>
      </c>
      <c r="AI175">
        <v>42225408</v>
      </c>
      <c r="AJ175">
        <v>192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>
      <c r="A176">
        <f>ROW(Source!A325)</f>
        <v>325</v>
      </c>
      <c r="B176">
        <v>42225415</v>
      </c>
      <c r="C176">
        <v>42225406</v>
      </c>
      <c r="D176">
        <v>38802262</v>
      </c>
      <c r="E176">
        <v>1</v>
      </c>
      <c r="F176">
        <v>1</v>
      </c>
      <c r="G176">
        <v>27</v>
      </c>
      <c r="H176">
        <v>3</v>
      </c>
      <c r="I176" t="s">
        <v>520</v>
      </c>
      <c r="J176" t="s">
        <v>521</v>
      </c>
      <c r="K176" t="s">
        <v>522</v>
      </c>
      <c r="L176">
        <v>1327</v>
      </c>
      <c r="N176">
        <v>1005</v>
      </c>
      <c r="O176" t="s">
        <v>302</v>
      </c>
      <c r="P176" t="s">
        <v>302</v>
      </c>
      <c r="Q176">
        <v>1</v>
      </c>
      <c r="X176">
        <v>0.15</v>
      </c>
      <c r="Y176">
        <v>287.56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 t="s">
        <v>3</v>
      </c>
      <c r="AG176">
        <v>0.15</v>
      </c>
      <c r="AH176">
        <v>2</v>
      </c>
      <c r="AI176">
        <v>42225409</v>
      </c>
      <c r="AJ176">
        <v>193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>
      <c r="A177">
        <f>ROW(Source!A325)</f>
        <v>325</v>
      </c>
      <c r="B177">
        <v>42225416</v>
      </c>
      <c r="C177">
        <v>42225406</v>
      </c>
      <c r="D177">
        <v>38802634</v>
      </c>
      <c r="E177">
        <v>1</v>
      </c>
      <c r="F177">
        <v>1</v>
      </c>
      <c r="G177">
        <v>27</v>
      </c>
      <c r="H177">
        <v>3</v>
      </c>
      <c r="I177" t="s">
        <v>523</v>
      </c>
      <c r="J177" t="s">
        <v>524</v>
      </c>
      <c r="K177" t="s">
        <v>525</v>
      </c>
      <c r="L177">
        <v>1346</v>
      </c>
      <c r="N177">
        <v>1009</v>
      </c>
      <c r="O177" t="s">
        <v>353</v>
      </c>
      <c r="P177" t="s">
        <v>353</v>
      </c>
      <c r="Q177">
        <v>1</v>
      </c>
      <c r="X177">
        <v>1.64</v>
      </c>
      <c r="Y177">
        <v>1041.76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 t="s">
        <v>3</v>
      </c>
      <c r="AG177">
        <v>1.64</v>
      </c>
      <c r="AH177">
        <v>2</v>
      </c>
      <c r="AI177">
        <v>42225410</v>
      </c>
      <c r="AJ177">
        <v>194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>
      <c r="A178">
        <f>ROW(Source!A325)</f>
        <v>325</v>
      </c>
      <c r="B178">
        <v>42225417</v>
      </c>
      <c r="C178">
        <v>42225406</v>
      </c>
      <c r="D178">
        <v>38800421</v>
      </c>
      <c r="E178">
        <v>1</v>
      </c>
      <c r="F178">
        <v>1</v>
      </c>
      <c r="G178">
        <v>27</v>
      </c>
      <c r="H178">
        <v>3</v>
      </c>
      <c r="I178" t="s">
        <v>526</v>
      </c>
      <c r="J178" t="s">
        <v>527</v>
      </c>
      <c r="K178" t="s">
        <v>528</v>
      </c>
      <c r="L178">
        <v>1348</v>
      </c>
      <c r="N178">
        <v>1009</v>
      </c>
      <c r="O178" t="s">
        <v>281</v>
      </c>
      <c r="P178" t="s">
        <v>281</v>
      </c>
      <c r="Q178">
        <v>1000</v>
      </c>
      <c r="X178">
        <v>4.2999999999999999E-4</v>
      </c>
      <c r="Y178">
        <v>105650.49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 t="s">
        <v>3</v>
      </c>
      <c r="AG178">
        <v>4.2999999999999999E-4</v>
      </c>
      <c r="AH178">
        <v>2</v>
      </c>
      <c r="AI178">
        <v>42225411</v>
      </c>
      <c r="AJ178">
        <v>195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>
      <c r="A179">
        <f>ROW(Source!A325)</f>
        <v>325</v>
      </c>
      <c r="B179">
        <v>42225418</v>
      </c>
      <c r="C179">
        <v>42225406</v>
      </c>
      <c r="D179">
        <v>38800520</v>
      </c>
      <c r="E179">
        <v>1</v>
      </c>
      <c r="F179">
        <v>1</v>
      </c>
      <c r="G179">
        <v>27</v>
      </c>
      <c r="H179">
        <v>3</v>
      </c>
      <c r="I179" t="s">
        <v>529</v>
      </c>
      <c r="J179" t="s">
        <v>530</v>
      </c>
      <c r="K179" t="s">
        <v>531</v>
      </c>
      <c r="L179">
        <v>1346</v>
      </c>
      <c r="N179">
        <v>1009</v>
      </c>
      <c r="O179" t="s">
        <v>353</v>
      </c>
      <c r="P179" t="s">
        <v>353</v>
      </c>
      <c r="Q179">
        <v>1</v>
      </c>
      <c r="X179">
        <v>2.15</v>
      </c>
      <c r="Y179">
        <v>541.16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 t="s">
        <v>3</v>
      </c>
      <c r="AG179">
        <v>2.15</v>
      </c>
      <c r="AH179">
        <v>2</v>
      </c>
      <c r="AI179">
        <v>42225412</v>
      </c>
      <c r="AJ179">
        <v>196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>
      <c r="A180">
        <f>ROW(Source!A326)</f>
        <v>326</v>
      </c>
      <c r="B180">
        <v>42225423</v>
      </c>
      <c r="C180">
        <v>42225419</v>
      </c>
      <c r="D180">
        <v>38786840</v>
      </c>
      <c r="E180">
        <v>27</v>
      </c>
      <c r="F180">
        <v>1</v>
      </c>
      <c r="G180">
        <v>27</v>
      </c>
      <c r="H180">
        <v>1</v>
      </c>
      <c r="I180" t="s">
        <v>339</v>
      </c>
      <c r="J180" t="s">
        <v>3</v>
      </c>
      <c r="K180" t="s">
        <v>340</v>
      </c>
      <c r="L180">
        <v>1191</v>
      </c>
      <c r="N180">
        <v>1013</v>
      </c>
      <c r="O180" t="s">
        <v>341</v>
      </c>
      <c r="P180" t="s">
        <v>341</v>
      </c>
      <c r="Q180">
        <v>1</v>
      </c>
      <c r="X180">
        <v>59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 t="s">
        <v>43</v>
      </c>
      <c r="AG180">
        <v>118</v>
      </c>
      <c r="AH180">
        <v>2</v>
      </c>
      <c r="AI180">
        <v>42225420</v>
      </c>
      <c r="AJ180">
        <v>197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>
      <c r="A181">
        <f>ROW(Source!A326)</f>
        <v>326</v>
      </c>
      <c r="B181">
        <v>42225424</v>
      </c>
      <c r="C181">
        <v>42225419</v>
      </c>
      <c r="D181">
        <v>38788516</v>
      </c>
      <c r="E181">
        <v>27</v>
      </c>
      <c r="F181">
        <v>1</v>
      </c>
      <c r="G181">
        <v>27</v>
      </c>
      <c r="H181">
        <v>3</v>
      </c>
      <c r="I181" t="s">
        <v>532</v>
      </c>
      <c r="J181" t="s">
        <v>3</v>
      </c>
      <c r="K181" t="s">
        <v>533</v>
      </c>
      <c r="L181">
        <v>1348</v>
      </c>
      <c r="N181">
        <v>1009</v>
      </c>
      <c r="O181" t="s">
        <v>281</v>
      </c>
      <c r="P181" t="s">
        <v>281</v>
      </c>
      <c r="Q181">
        <v>1000</v>
      </c>
      <c r="X181">
        <v>4.9899999999999996E-3</v>
      </c>
      <c r="Y181">
        <v>382060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  <c r="AF181" t="s">
        <v>43</v>
      </c>
      <c r="AG181">
        <v>9.9799999999999993E-3</v>
      </c>
      <c r="AH181">
        <v>2</v>
      </c>
      <c r="AI181">
        <v>42225421</v>
      </c>
      <c r="AJ181">
        <v>198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>
      <c r="A182">
        <f>ROW(Source!A326)</f>
        <v>326</v>
      </c>
      <c r="B182">
        <v>42225425</v>
      </c>
      <c r="C182">
        <v>42225419</v>
      </c>
      <c r="D182">
        <v>38800378</v>
      </c>
      <c r="E182">
        <v>1</v>
      </c>
      <c r="F182">
        <v>1</v>
      </c>
      <c r="G182">
        <v>27</v>
      </c>
      <c r="H182">
        <v>3</v>
      </c>
      <c r="I182" t="s">
        <v>534</v>
      </c>
      <c r="J182" t="s">
        <v>535</v>
      </c>
      <c r="K182" t="s">
        <v>536</v>
      </c>
      <c r="L182">
        <v>1348</v>
      </c>
      <c r="N182">
        <v>1009</v>
      </c>
      <c r="O182" t="s">
        <v>281</v>
      </c>
      <c r="P182" t="s">
        <v>281</v>
      </c>
      <c r="Q182">
        <v>1000</v>
      </c>
      <c r="X182">
        <v>2.8500000000000001E-2</v>
      </c>
      <c r="Y182">
        <v>55330.52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 t="s">
        <v>43</v>
      </c>
      <c r="AG182">
        <v>5.7000000000000002E-2</v>
      </c>
      <c r="AH182">
        <v>2</v>
      </c>
      <c r="AI182">
        <v>42225422</v>
      </c>
      <c r="AJ182">
        <v>199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>
      <c r="A183">
        <f>ROW(Source!A327)</f>
        <v>327</v>
      </c>
      <c r="B183">
        <v>42225433</v>
      </c>
      <c r="C183">
        <v>42225426</v>
      </c>
      <c r="D183">
        <v>38786840</v>
      </c>
      <c r="E183">
        <v>27</v>
      </c>
      <c r="F183">
        <v>1</v>
      </c>
      <c r="G183">
        <v>27</v>
      </c>
      <c r="H183">
        <v>1</v>
      </c>
      <c r="I183" t="s">
        <v>339</v>
      </c>
      <c r="J183" t="s">
        <v>3</v>
      </c>
      <c r="K183" t="s">
        <v>340</v>
      </c>
      <c r="L183">
        <v>1191</v>
      </c>
      <c r="N183">
        <v>1013</v>
      </c>
      <c r="O183" t="s">
        <v>341</v>
      </c>
      <c r="P183" t="s">
        <v>341</v>
      </c>
      <c r="Q183">
        <v>1</v>
      </c>
      <c r="X183">
        <v>3.94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1</v>
      </c>
      <c r="AF183" t="s">
        <v>3</v>
      </c>
      <c r="AG183">
        <v>3.94</v>
      </c>
      <c r="AH183">
        <v>2</v>
      </c>
      <c r="AI183">
        <v>42225427</v>
      </c>
      <c r="AJ183">
        <v>200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>
      <c r="A184">
        <f>ROW(Source!A327)</f>
        <v>327</v>
      </c>
      <c r="B184">
        <v>42225434</v>
      </c>
      <c r="C184">
        <v>42225426</v>
      </c>
      <c r="D184">
        <v>38799817</v>
      </c>
      <c r="E184">
        <v>1</v>
      </c>
      <c r="F184">
        <v>1</v>
      </c>
      <c r="G184">
        <v>27</v>
      </c>
      <c r="H184">
        <v>2</v>
      </c>
      <c r="I184" t="s">
        <v>389</v>
      </c>
      <c r="J184" t="s">
        <v>390</v>
      </c>
      <c r="K184" t="s">
        <v>391</v>
      </c>
      <c r="L184">
        <v>1368</v>
      </c>
      <c r="N184">
        <v>1011</v>
      </c>
      <c r="O184" t="s">
        <v>345</v>
      </c>
      <c r="P184" t="s">
        <v>345</v>
      </c>
      <c r="Q184">
        <v>1</v>
      </c>
      <c r="X184">
        <v>0.55000000000000004</v>
      </c>
      <c r="Y184">
        <v>0</v>
      </c>
      <c r="Z184">
        <v>641.88</v>
      </c>
      <c r="AA184">
        <v>413.66</v>
      </c>
      <c r="AB184">
        <v>0</v>
      </c>
      <c r="AC184">
        <v>0</v>
      </c>
      <c r="AD184">
        <v>1</v>
      </c>
      <c r="AE184">
        <v>0</v>
      </c>
      <c r="AF184" t="s">
        <v>3</v>
      </c>
      <c r="AG184">
        <v>0.55000000000000004</v>
      </c>
      <c r="AH184">
        <v>2</v>
      </c>
      <c r="AI184">
        <v>42225428</v>
      </c>
      <c r="AJ184">
        <v>201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>
      <c r="A185">
        <f>ROW(Source!A327)</f>
        <v>327</v>
      </c>
      <c r="B185">
        <v>42225435</v>
      </c>
      <c r="C185">
        <v>42225426</v>
      </c>
      <c r="D185">
        <v>38799130</v>
      </c>
      <c r="E185">
        <v>1</v>
      </c>
      <c r="F185">
        <v>1</v>
      </c>
      <c r="G185">
        <v>27</v>
      </c>
      <c r="H185">
        <v>2</v>
      </c>
      <c r="I185" t="s">
        <v>537</v>
      </c>
      <c r="J185" t="s">
        <v>538</v>
      </c>
      <c r="K185" t="s">
        <v>539</v>
      </c>
      <c r="L185">
        <v>1368</v>
      </c>
      <c r="N185">
        <v>1011</v>
      </c>
      <c r="O185" t="s">
        <v>345</v>
      </c>
      <c r="P185" t="s">
        <v>345</v>
      </c>
      <c r="Q185">
        <v>1</v>
      </c>
      <c r="X185">
        <v>0.66</v>
      </c>
      <c r="Y185">
        <v>0</v>
      </c>
      <c r="Z185">
        <v>957.06</v>
      </c>
      <c r="AA185">
        <v>484.77</v>
      </c>
      <c r="AB185">
        <v>0</v>
      </c>
      <c r="AC185">
        <v>0</v>
      </c>
      <c r="AD185">
        <v>1</v>
      </c>
      <c r="AE185">
        <v>0</v>
      </c>
      <c r="AF185" t="s">
        <v>3</v>
      </c>
      <c r="AG185">
        <v>0.66</v>
      </c>
      <c r="AH185">
        <v>2</v>
      </c>
      <c r="AI185">
        <v>42225429</v>
      </c>
      <c r="AJ185">
        <v>202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>
      <c r="A186">
        <f>ROW(Source!A327)</f>
        <v>327</v>
      </c>
      <c r="B186">
        <v>42225436</v>
      </c>
      <c r="C186">
        <v>42225426</v>
      </c>
      <c r="D186">
        <v>38799251</v>
      </c>
      <c r="E186">
        <v>1</v>
      </c>
      <c r="F186">
        <v>1</v>
      </c>
      <c r="G186">
        <v>27</v>
      </c>
      <c r="H186">
        <v>2</v>
      </c>
      <c r="I186" t="s">
        <v>540</v>
      </c>
      <c r="J186" t="s">
        <v>541</v>
      </c>
      <c r="K186" t="s">
        <v>542</v>
      </c>
      <c r="L186">
        <v>1368</v>
      </c>
      <c r="N186">
        <v>1011</v>
      </c>
      <c r="O186" t="s">
        <v>345</v>
      </c>
      <c r="P186" t="s">
        <v>345</v>
      </c>
      <c r="Q186">
        <v>1</v>
      </c>
      <c r="X186">
        <v>0.66</v>
      </c>
      <c r="Y186">
        <v>0</v>
      </c>
      <c r="Z186">
        <v>460.35</v>
      </c>
      <c r="AA186">
        <v>112.77</v>
      </c>
      <c r="AB186">
        <v>0</v>
      </c>
      <c r="AC186">
        <v>0</v>
      </c>
      <c r="AD186">
        <v>1</v>
      </c>
      <c r="AE186">
        <v>0</v>
      </c>
      <c r="AF186" t="s">
        <v>3</v>
      </c>
      <c r="AG186">
        <v>0.66</v>
      </c>
      <c r="AH186">
        <v>2</v>
      </c>
      <c r="AI186">
        <v>42225430</v>
      </c>
      <c r="AJ186">
        <v>203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>
      <c r="A187">
        <f>ROW(Source!A327)</f>
        <v>327</v>
      </c>
      <c r="B187">
        <v>42225437</v>
      </c>
      <c r="C187">
        <v>42225426</v>
      </c>
      <c r="D187">
        <v>38800826</v>
      </c>
      <c r="E187">
        <v>1</v>
      </c>
      <c r="F187">
        <v>1</v>
      </c>
      <c r="G187">
        <v>27</v>
      </c>
      <c r="H187">
        <v>3</v>
      </c>
      <c r="I187" t="s">
        <v>395</v>
      </c>
      <c r="J187" t="s">
        <v>396</v>
      </c>
      <c r="K187" t="s">
        <v>397</v>
      </c>
      <c r="L187">
        <v>1348</v>
      </c>
      <c r="N187">
        <v>1009</v>
      </c>
      <c r="O187" t="s">
        <v>281</v>
      </c>
      <c r="P187" t="s">
        <v>281</v>
      </c>
      <c r="Q187">
        <v>1000</v>
      </c>
      <c r="X187">
        <v>3.5E-4</v>
      </c>
      <c r="Y187">
        <v>53313.54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 t="s">
        <v>3</v>
      </c>
      <c r="AG187">
        <v>3.5E-4</v>
      </c>
      <c r="AH187">
        <v>2</v>
      </c>
      <c r="AI187">
        <v>42225431</v>
      </c>
      <c r="AJ187">
        <v>204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>
      <c r="A188">
        <f>ROW(Source!A327)</f>
        <v>327</v>
      </c>
      <c r="B188">
        <v>42225438</v>
      </c>
      <c r="C188">
        <v>42225426</v>
      </c>
      <c r="D188">
        <v>38800507</v>
      </c>
      <c r="E188">
        <v>1</v>
      </c>
      <c r="F188">
        <v>1</v>
      </c>
      <c r="G188">
        <v>27</v>
      </c>
      <c r="H188">
        <v>3</v>
      </c>
      <c r="I188" t="s">
        <v>543</v>
      </c>
      <c r="J188" t="s">
        <v>544</v>
      </c>
      <c r="K188" t="s">
        <v>545</v>
      </c>
      <c r="L188">
        <v>1348</v>
      </c>
      <c r="N188">
        <v>1009</v>
      </c>
      <c r="O188" t="s">
        <v>281</v>
      </c>
      <c r="P188" t="s">
        <v>281</v>
      </c>
      <c r="Q188">
        <v>1000</v>
      </c>
      <c r="X188">
        <v>5.5000000000000003E-4</v>
      </c>
      <c r="Y188">
        <v>80596.63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 t="s">
        <v>3</v>
      </c>
      <c r="AG188">
        <v>5.5000000000000003E-4</v>
      </c>
      <c r="AH188">
        <v>2</v>
      </c>
      <c r="AI188">
        <v>42225432</v>
      </c>
      <c r="AJ188">
        <v>205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593"/>
  <sheetViews>
    <sheetView zoomScaleNormal="100" workbookViewId="0"/>
  </sheetViews>
  <sheetFormatPr defaultRowHeight="12.75"/>
  <cols>
    <col min="1" max="2" width="5.7109375" customWidth="1"/>
    <col min="3" max="3" width="11.7109375" customWidth="1"/>
    <col min="4" max="4" width="40.7109375" customWidth="1"/>
    <col min="5" max="7" width="11.7109375" customWidth="1"/>
    <col min="8" max="8" width="12.7109375" customWidth="1"/>
    <col min="10" max="12" width="12.7109375" customWidth="1"/>
    <col min="15" max="30" width="0" hidden="1" customWidth="1"/>
    <col min="31" max="31" width="154.140625" hidden="1" customWidth="1"/>
    <col min="32" max="32" width="118.140625" hidden="1" customWidth="1"/>
    <col min="33" max="36" width="0" hidden="1" customWidth="1"/>
  </cols>
  <sheetData>
    <row r="1" spans="1:12">
      <c r="A1" s="8" t="str">
        <f>CONCATENATE(Source!B1, "     СН-2012 (© ОАО МЦЦС 'Мосстройцены', ", "2021", ")")</f>
        <v>Smeta.RU  (495) 974-1589     СН-2012 (© ОАО МЦЦС 'Мосстройцены', 2021)</v>
      </c>
    </row>
    <row r="2" spans="1:12" ht="15">
      <c r="A2" s="10"/>
      <c r="B2" s="10"/>
      <c r="C2" s="33"/>
      <c r="D2" s="33"/>
      <c r="E2" s="33"/>
      <c r="F2" s="10"/>
      <c r="G2" s="10"/>
      <c r="H2" s="10"/>
      <c r="I2" s="99" t="s">
        <v>591</v>
      </c>
      <c r="J2" s="99"/>
      <c r="K2" s="99"/>
      <c r="L2" s="99"/>
    </row>
    <row r="3" spans="1:12" ht="14.25">
      <c r="A3" s="10"/>
      <c r="B3" s="10"/>
      <c r="C3" s="10"/>
      <c r="D3" s="10"/>
      <c r="E3" s="10"/>
      <c r="F3" s="10"/>
      <c r="G3" s="10"/>
      <c r="H3" s="10"/>
      <c r="I3" s="99" t="s">
        <v>592</v>
      </c>
      <c r="J3" s="99"/>
      <c r="K3" s="99"/>
      <c r="L3" s="99"/>
    </row>
    <row r="4" spans="1:12" ht="14.25">
      <c r="A4" s="10"/>
      <c r="B4" s="10"/>
      <c r="C4" s="10"/>
      <c r="D4" s="10"/>
      <c r="E4" s="10"/>
      <c r="F4" s="10"/>
      <c r="G4" s="10"/>
      <c r="H4" s="10"/>
      <c r="I4" s="99" t="s">
        <v>593</v>
      </c>
      <c r="J4" s="99"/>
      <c r="K4" s="99"/>
      <c r="L4" s="99"/>
    </row>
    <row r="5" spans="1:12" ht="14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ht="14.25">
      <c r="A6" s="10"/>
      <c r="B6" s="10"/>
      <c r="C6" s="10"/>
      <c r="D6" s="10"/>
      <c r="E6" s="10"/>
      <c r="F6" s="10"/>
      <c r="G6" s="10"/>
      <c r="H6" s="10"/>
      <c r="I6" s="10"/>
      <c r="J6" s="100" t="s">
        <v>594</v>
      </c>
      <c r="K6" s="100"/>
      <c r="L6" s="100"/>
    </row>
    <row r="7" spans="1:12" ht="14.25">
      <c r="A7" s="10"/>
      <c r="B7" s="10"/>
      <c r="C7" s="10"/>
      <c r="D7" s="10"/>
      <c r="E7" s="10"/>
      <c r="F7" s="10"/>
      <c r="G7" s="10"/>
      <c r="H7" s="10"/>
      <c r="I7" s="9" t="s">
        <v>595</v>
      </c>
      <c r="J7" s="101" t="s">
        <v>596</v>
      </c>
      <c r="K7" s="101"/>
      <c r="L7" s="101"/>
    </row>
    <row r="8" spans="1:12" ht="14.25">
      <c r="A8" s="10"/>
      <c r="B8" s="10"/>
      <c r="C8" s="10"/>
      <c r="D8" s="10"/>
      <c r="E8" s="10"/>
      <c r="F8" s="10"/>
      <c r="G8" s="10"/>
      <c r="H8" s="10"/>
      <c r="I8" s="10"/>
      <c r="J8" s="100" t="str">
        <f>IF(Source!AT15 &lt;&gt; "", Source!AT15, "")</f>
        <v/>
      </c>
      <c r="K8" s="100"/>
      <c r="L8" s="100"/>
    </row>
    <row r="9" spans="1:12" ht="14.25">
      <c r="A9" s="10" t="s">
        <v>597</v>
      </c>
      <c r="B9" s="10"/>
      <c r="C9" s="103" t="str">
        <f>IF(Source!BA15 &lt;&gt; "", Source!BA15, IF(Source!AU15 &lt;&gt; "", Source!AU15, ""))</f>
        <v/>
      </c>
      <c r="D9" s="103"/>
      <c r="E9" s="103"/>
      <c r="F9" s="103"/>
      <c r="G9" s="103"/>
      <c r="H9" s="103"/>
      <c r="I9" s="9" t="s">
        <v>598</v>
      </c>
      <c r="J9" s="100"/>
      <c r="K9" s="100"/>
      <c r="L9" s="100"/>
    </row>
    <row r="10" spans="1:12" ht="14.25">
      <c r="A10" s="10"/>
      <c r="B10" s="10"/>
      <c r="C10" s="102" t="s">
        <v>599</v>
      </c>
      <c r="D10" s="102"/>
      <c r="E10" s="102"/>
      <c r="F10" s="102"/>
      <c r="G10" s="102"/>
      <c r="H10" s="102"/>
      <c r="I10" s="10"/>
      <c r="J10" s="100" t="str">
        <f>IF(Source!AK15 &lt;&gt; "", Source!AK15, "")</f>
        <v/>
      </c>
      <c r="K10" s="100"/>
      <c r="L10" s="100"/>
    </row>
    <row r="11" spans="1:12" ht="14.25">
      <c r="A11" s="10" t="s">
        <v>600</v>
      </c>
      <c r="B11" s="10"/>
      <c r="C11" s="103" t="str">
        <f>IF(Source!AX12&lt;&gt; "", Source!AX12, IF(Source!AJ12 &lt;&gt; "", Source!AJ12, ""))</f>
        <v/>
      </c>
      <c r="D11" s="103"/>
      <c r="E11" s="103"/>
      <c r="F11" s="103"/>
      <c r="G11" s="103"/>
      <c r="H11" s="103"/>
      <c r="I11" s="9" t="s">
        <v>598</v>
      </c>
      <c r="J11" s="100"/>
      <c r="K11" s="100"/>
      <c r="L11" s="100"/>
    </row>
    <row r="12" spans="1:12" ht="14.25">
      <c r="A12" s="10"/>
      <c r="B12" s="10"/>
      <c r="C12" s="102" t="s">
        <v>599</v>
      </c>
      <c r="D12" s="102"/>
      <c r="E12" s="102"/>
      <c r="F12" s="102"/>
      <c r="G12" s="102"/>
      <c r="H12" s="102"/>
      <c r="I12" s="10"/>
      <c r="J12" s="100" t="str">
        <f>IF(Source!AO15 &lt;&gt; "", Source!AO15, "")</f>
        <v/>
      </c>
      <c r="K12" s="100"/>
      <c r="L12" s="100"/>
    </row>
    <row r="13" spans="1:12" ht="14.25">
      <c r="A13" s="10" t="s">
        <v>601</v>
      </c>
      <c r="B13" s="10"/>
      <c r="C13" s="103" t="str">
        <f>IF(Source!AY12&lt;&gt; "", Source!AY12, IF(Source!AN12 &lt;&gt; "", Source!AN12, ""))</f>
        <v/>
      </c>
      <c r="D13" s="103"/>
      <c r="E13" s="103"/>
      <c r="F13" s="103"/>
      <c r="G13" s="103"/>
      <c r="H13" s="103"/>
      <c r="I13" s="9" t="s">
        <v>598</v>
      </c>
      <c r="J13" s="100"/>
      <c r="K13" s="100"/>
      <c r="L13" s="100"/>
    </row>
    <row r="14" spans="1:12" ht="14.25">
      <c r="A14" s="10"/>
      <c r="B14" s="10"/>
      <c r="C14" s="102" t="s">
        <v>599</v>
      </c>
      <c r="D14" s="102"/>
      <c r="E14" s="102"/>
      <c r="F14" s="102"/>
      <c r="G14" s="102"/>
      <c r="H14" s="102"/>
      <c r="I14" s="10"/>
      <c r="J14" s="100" t="str">
        <f>IF(Source!CO15 &lt;&gt; "", Source!CO15, "")</f>
        <v/>
      </c>
      <c r="K14" s="100"/>
      <c r="L14" s="100"/>
    </row>
    <row r="15" spans="1:12" ht="14.25">
      <c r="A15" s="10" t="s">
        <v>602</v>
      </c>
      <c r="B15" s="10"/>
      <c r="C15" s="103" t="s">
        <v>5</v>
      </c>
      <c r="D15" s="103"/>
      <c r="E15" s="103"/>
      <c r="F15" s="103"/>
      <c r="G15" s="103"/>
      <c r="H15" s="103"/>
      <c r="I15" s="10"/>
      <c r="J15" s="100"/>
      <c r="K15" s="100"/>
      <c r="L15" s="100"/>
    </row>
    <row r="16" spans="1:12" ht="14.25">
      <c r="A16" s="10"/>
      <c r="B16" s="10"/>
      <c r="C16" s="102" t="s">
        <v>603</v>
      </c>
      <c r="D16" s="102"/>
      <c r="E16" s="102"/>
      <c r="F16" s="102"/>
      <c r="G16" s="102"/>
      <c r="H16" s="102"/>
      <c r="I16" s="10"/>
      <c r="J16" s="100" t="str">
        <f>IF(Source!CP15 &lt;&gt; "", Source!CP15, "")</f>
        <v/>
      </c>
      <c r="K16" s="100"/>
      <c r="L16" s="100"/>
    </row>
    <row r="17" spans="1:12" ht="14.25">
      <c r="A17" s="10" t="s">
        <v>604</v>
      </c>
      <c r="B17" s="10"/>
      <c r="C17" s="76" t="str">
        <f>IF(Source!G12&lt;&gt;"Новый объект", Source!G12, "")</f>
        <v>Цветник № 10 Кр Маяка 1-1_2_лот</v>
      </c>
      <c r="D17" s="76"/>
      <c r="E17" s="76"/>
      <c r="F17" s="76"/>
      <c r="G17" s="76"/>
      <c r="H17" s="76"/>
      <c r="I17" s="10"/>
      <c r="J17" s="100"/>
      <c r="K17" s="100"/>
      <c r="L17" s="100"/>
    </row>
    <row r="18" spans="1:12" ht="14.25">
      <c r="A18" s="10"/>
      <c r="B18" s="10"/>
      <c r="C18" s="102" t="s">
        <v>605</v>
      </c>
      <c r="D18" s="102"/>
      <c r="E18" s="102"/>
      <c r="F18" s="102"/>
      <c r="G18" s="102"/>
      <c r="H18" s="102"/>
      <c r="I18" s="10"/>
      <c r="J18" s="10"/>
      <c r="K18" s="10"/>
      <c r="L18" s="10"/>
    </row>
    <row r="19" spans="1:12" ht="14.25">
      <c r="A19" s="10"/>
      <c r="B19" s="10"/>
      <c r="C19" s="10"/>
      <c r="D19" s="10"/>
      <c r="E19" s="10"/>
      <c r="F19" s="10"/>
      <c r="G19" s="77" t="s">
        <v>606</v>
      </c>
      <c r="H19" s="77"/>
      <c r="I19" s="110"/>
      <c r="J19" s="100" t="str">
        <f>IF(Source!CQ15 &lt;&gt; "", Source!CQ15, "")</f>
        <v/>
      </c>
      <c r="K19" s="100"/>
      <c r="L19" s="100"/>
    </row>
    <row r="20" spans="1:12" ht="14.25">
      <c r="A20" s="10"/>
      <c r="B20" s="10"/>
      <c r="C20" s="10"/>
      <c r="D20" s="10"/>
      <c r="E20" s="10"/>
      <c r="F20" s="10"/>
      <c r="G20" s="77" t="s">
        <v>607</v>
      </c>
      <c r="H20" s="111"/>
      <c r="I20" s="36" t="s">
        <v>608</v>
      </c>
      <c r="J20" s="100" t="str">
        <f>IF(Source!CR15 &lt;&gt; "", Source!CR15, "")</f>
        <v/>
      </c>
      <c r="K20" s="100"/>
      <c r="L20" s="100"/>
    </row>
    <row r="21" spans="1:12" ht="14.25">
      <c r="A21" s="10"/>
      <c r="B21" s="10"/>
      <c r="C21" s="10"/>
      <c r="D21" s="10"/>
      <c r="E21" s="10"/>
      <c r="F21" s="10"/>
      <c r="G21" s="10"/>
      <c r="H21" s="10"/>
      <c r="I21" s="37" t="s">
        <v>609</v>
      </c>
      <c r="J21" s="112" t="str">
        <f>IF(Source!CS15 &lt;&gt; 0, Source!CS15, "")</f>
        <v/>
      </c>
      <c r="K21" s="112"/>
      <c r="L21" s="112"/>
    </row>
    <row r="22" spans="1:12" ht="14.25">
      <c r="A22" s="10"/>
      <c r="B22" s="10"/>
      <c r="C22" s="10"/>
      <c r="D22" s="10"/>
      <c r="E22" s="10"/>
      <c r="F22" s="10"/>
      <c r="G22" s="10"/>
      <c r="H22" s="10"/>
      <c r="I22" s="9" t="s">
        <v>610</v>
      </c>
      <c r="J22" s="100" t="str">
        <f>IF(Source!CT15 &lt;&gt; "", Source!CT15, "")</f>
        <v/>
      </c>
      <c r="K22" s="100"/>
      <c r="L22" s="100"/>
    </row>
    <row r="23" spans="1:12" ht="14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ht="14.25">
      <c r="A24" s="10"/>
      <c r="B24" s="10"/>
      <c r="C24" s="10"/>
      <c r="D24" s="10"/>
      <c r="E24" s="10"/>
      <c r="F24" s="10"/>
      <c r="G24" s="104" t="s">
        <v>611</v>
      </c>
      <c r="H24" s="106" t="s">
        <v>612</v>
      </c>
      <c r="I24" s="106" t="s">
        <v>613</v>
      </c>
      <c r="J24" s="108"/>
      <c r="K24" s="10"/>
      <c r="L24" s="10"/>
    </row>
    <row r="25" spans="1:12" ht="14.25">
      <c r="A25" s="10"/>
      <c r="B25" s="10"/>
      <c r="C25" s="10"/>
      <c r="D25" s="10"/>
      <c r="E25" s="10"/>
      <c r="F25" s="10"/>
      <c r="G25" s="105"/>
      <c r="H25" s="107"/>
      <c r="I25" s="38" t="s">
        <v>614</v>
      </c>
      <c r="J25" s="39" t="s">
        <v>615</v>
      </c>
      <c r="K25" s="10"/>
      <c r="L25" s="10"/>
    </row>
    <row r="26" spans="1:12" ht="14.25">
      <c r="A26" s="10"/>
      <c r="B26" s="10"/>
      <c r="C26" s="10"/>
      <c r="D26" s="10"/>
      <c r="E26" s="10"/>
      <c r="F26" s="10"/>
      <c r="G26" s="37" t="str">
        <f>IF(Source!CN15 &lt;&gt; "", Source!CN15, "")</f>
        <v/>
      </c>
      <c r="H26" s="40">
        <v>44418.437523148146</v>
      </c>
      <c r="I26" s="37"/>
      <c r="J26" s="41"/>
      <c r="K26" s="10"/>
      <c r="L26" s="10"/>
    </row>
    <row r="27" spans="1:12" ht="14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ht="18">
      <c r="A28" s="109" t="s">
        <v>616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</row>
    <row r="29" spans="1:12" ht="18">
      <c r="A29" s="109" t="s">
        <v>617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</row>
    <row r="30" spans="1:12" ht="14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15">
      <c r="A31" s="10" t="s">
        <v>618</v>
      </c>
      <c r="B31" s="10"/>
      <c r="C31" s="10"/>
      <c r="D31" s="10"/>
      <c r="E31" s="10"/>
      <c r="F31" s="10"/>
      <c r="G31" s="10"/>
      <c r="H31" s="113">
        <f>(Source!F417/1000)</f>
        <v>1991.08833</v>
      </c>
      <c r="I31" s="113"/>
      <c r="J31" s="10" t="s">
        <v>619</v>
      </c>
      <c r="K31" s="10"/>
      <c r="L31" s="10"/>
    </row>
    <row r="32" spans="1:12" ht="14.25">
      <c r="A32" s="10" t="s">
        <v>576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31" ht="14.25">
      <c r="A33" s="114" t="s">
        <v>620</v>
      </c>
      <c r="B33" s="114"/>
      <c r="C33" s="89" t="s">
        <v>564</v>
      </c>
      <c r="D33" s="89" t="s">
        <v>565</v>
      </c>
      <c r="E33" s="89" t="s">
        <v>566</v>
      </c>
      <c r="F33" s="89" t="s">
        <v>567</v>
      </c>
      <c r="G33" s="89" t="s">
        <v>568</v>
      </c>
      <c r="H33" s="89" t="s">
        <v>569</v>
      </c>
      <c r="I33" s="89" t="s">
        <v>570</v>
      </c>
      <c r="J33" s="89" t="s">
        <v>571</v>
      </c>
      <c r="K33" s="89" t="s">
        <v>572</v>
      </c>
      <c r="L33" s="42" t="s">
        <v>573</v>
      </c>
    </row>
    <row r="34" spans="1:31" ht="28.5">
      <c r="A34" s="115" t="s">
        <v>621</v>
      </c>
      <c r="B34" s="115" t="s">
        <v>622</v>
      </c>
      <c r="C34" s="90"/>
      <c r="D34" s="90"/>
      <c r="E34" s="90"/>
      <c r="F34" s="90"/>
      <c r="G34" s="90"/>
      <c r="H34" s="90"/>
      <c r="I34" s="90"/>
      <c r="J34" s="90"/>
      <c r="K34" s="90"/>
      <c r="L34" s="44" t="s">
        <v>574</v>
      </c>
    </row>
    <row r="35" spans="1:31" ht="28.5">
      <c r="A35" s="115"/>
      <c r="B35" s="115"/>
      <c r="C35" s="90"/>
      <c r="D35" s="90"/>
      <c r="E35" s="90"/>
      <c r="F35" s="90"/>
      <c r="G35" s="90"/>
      <c r="H35" s="90"/>
      <c r="I35" s="90"/>
      <c r="J35" s="90"/>
      <c r="K35" s="90"/>
      <c r="L35" s="44" t="s">
        <v>575</v>
      </c>
    </row>
    <row r="36" spans="1:31" ht="14.25">
      <c r="A36" s="18">
        <v>1</v>
      </c>
      <c r="B36" s="18">
        <v>2</v>
      </c>
      <c r="C36" s="18">
        <v>3</v>
      </c>
      <c r="D36" s="18">
        <v>4</v>
      </c>
      <c r="E36" s="18">
        <v>5</v>
      </c>
      <c r="F36" s="18">
        <v>6</v>
      </c>
      <c r="G36" s="18">
        <v>7</v>
      </c>
      <c r="H36" s="18">
        <v>8</v>
      </c>
      <c r="I36" s="18">
        <v>9</v>
      </c>
      <c r="J36" s="18">
        <v>10</v>
      </c>
      <c r="K36" s="18">
        <v>11</v>
      </c>
      <c r="L36" s="18">
        <v>12</v>
      </c>
    </row>
    <row r="38" spans="1:31" ht="49.5">
      <c r="A38" s="116" t="str">
        <f>CONCATENATE("Локальная смета: ",IF(Source!G20&lt;&gt;"Новая локальная смета", Source!G20, ""))</f>
        <v>Локальная смета: 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AE38" s="19" t="str">
        <f>CONCATENATE("Локальная смета: ",IF(Source!G20&lt;&gt;"Новая локальная смета", Source!G20, ""))</f>
        <v>Локальная смета: 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</row>
    <row r="40" spans="1:31" ht="16.5">
      <c r="A40" s="116" t="str">
        <f>CONCATENATE("Раздел: ",IF(Source!G24&lt;&gt;"Новый раздел", Source!G24, ""))</f>
        <v>Раздел: Устройство цветника - 75м2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</row>
    <row r="41" spans="1:31" ht="42.75">
      <c r="A41" s="20">
        <v>1</v>
      </c>
      <c r="B41" s="20" t="str">
        <f>Source!E28</f>
        <v>1</v>
      </c>
      <c r="C41" s="21" t="str">
        <f>Source!F28</f>
        <v>5.4-3203-7-1/1</v>
      </c>
      <c r="D41" s="21" t="str">
        <f>Source!G28</f>
        <v>Устройство корыта под цветники глубиной 40 см механизированным способом</v>
      </c>
      <c r="E41" s="22" t="str">
        <f>Source!H28</f>
        <v>100 м2</v>
      </c>
      <c r="F41" s="9">
        <f>Source!I28</f>
        <v>0.5625</v>
      </c>
      <c r="G41" s="24"/>
      <c r="H41" s="23"/>
      <c r="I41" s="9"/>
      <c r="J41" s="9"/>
      <c r="K41" s="25"/>
      <c r="L41" s="25"/>
      <c r="Q41">
        <f>ROUND((Source!BZ28/100)*ROUND((Source!AF28*Source!AV28)*Source!I28, 2), 2)</f>
        <v>2184.9499999999998</v>
      </c>
      <c r="R41">
        <f>Source!X28</f>
        <v>2184.9499999999998</v>
      </c>
      <c r="S41">
        <f>ROUND((Source!CA28/100)*ROUND((Source!AF28*Source!AV28)*Source!I28, 2), 2)</f>
        <v>312.14</v>
      </c>
      <c r="T41">
        <f>Source!Y28</f>
        <v>312.14</v>
      </c>
      <c r="U41">
        <f>ROUND((175/100)*ROUND((Source!AE28*Source!AV28)*Source!I28, 2), 2)</f>
        <v>812.32</v>
      </c>
      <c r="V41">
        <f>ROUND((108/100)*ROUND(Source!CS28*Source!I28, 2), 2)</f>
        <v>501.31</v>
      </c>
    </row>
    <row r="42" spans="1:31">
      <c r="D42" s="26" t="str">
        <f>"Объем: "&amp;Source!I28&amp;"=75*"&amp;"0,75/"&amp;"100"</f>
        <v>Объем: 0,5625=75*0,75/100</v>
      </c>
    </row>
    <row r="43" spans="1:31" ht="14.25">
      <c r="A43" s="20"/>
      <c r="B43" s="20"/>
      <c r="C43" s="21"/>
      <c r="D43" s="21" t="s">
        <v>577</v>
      </c>
      <c r="E43" s="22"/>
      <c r="F43" s="9"/>
      <c r="G43" s="24">
        <f>Source!AO28</f>
        <v>5549.06</v>
      </c>
      <c r="H43" s="23" t="str">
        <f>Source!DG28</f>
        <v/>
      </c>
      <c r="I43" s="9">
        <f>Source!AV28</f>
        <v>1</v>
      </c>
      <c r="J43" s="9">
        <f>IF(Source!BA28&lt;&gt; 0, Source!BA28, 1)</f>
        <v>1</v>
      </c>
      <c r="K43" s="25">
        <f>Source!S28</f>
        <v>3121.35</v>
      </c>
      <c r="L43" s="25"/>
    </row>
    <row r="44" spans="1:31" ht="14.25">
      <c r="A44" s="20"/>
      <c r="B44" s="20"/>
      <c r="C44" s="21"/>
      <c r="D44" s="21" t="s">
        <v>578</v>
      </c>
      <c r="E44" s="22"/>
      <c r="F44" s="9"/>
      <c r="G44" s="24">
        <f>Source!AM28</f>
        <v>1494.37</v>
      </c>
      <c r="H44" s="23" t="str">
        <f>Source!DE28</f>
        <v/>
      </c>
      <c r="I44" s="9">
        <f>Source!AV28</f>
        <v>1</v>
      </c>
      <c r="J44" s="9">
        <f>IF(Source!BB28&lt;&gt; 0, Source!BB28, 1)</f>
        <v>1</v>
      </c>
      <c r="K44" s="25">
        <f>Source!Q28</f>
        <v>840.58</v>
      </c>
      <c r="L44" s="25"/>
    </row>
    <row r="45" spans="1:31" ht="14.25">
      <c r="A45" s="20"/>
      <c r="B45" s="20"/>
      <c r="C45" s="21"/>
      <c r="D45" s="21" t="s">
        <v>579</v>
      </c>
      <c r="E45" s="22"/>
      <c r="F45" s="9"/>
      <c r="G45" s="24">
        <f>Source!AN28</f>
        <v>825.2</v>
      </c>
      <c r="H45" s="23" t="str">
        <f>Source!DF28</f>
        <v/>
      </c>
      <c r="I45" s="9">
        <f>Source!AV28</f>
        <v>1</v>
      </c>
      <c r="J45" s="9">
        <f>IF(Source!BS28&lt;&gt; 0, Source!BS28, 1)</f>
        <v>1</v>
      </c>
      <c r="K45" s="27">
        <f>Source!R28</f>
        <v>464.18</v>
      </c>
      <c r="L45" s="25"/>
    </row>
    <row r="46" spans="1:31" ht="14.25">
      <c r="A46" s="20"/>
      <c r="B46" s="20"/>
      <c r="C46" s="21"/>
      <c r="D46" s="21" t="s">
        <v>580</v>
      </c>
      <c r="E46" s="22" t="s">
        <v>581</v>
      </c>
      <c r="F46" s="9">
        <f>Source!AT28</f>
        <v>70</v>
      </c>
      <c r="G46" s="24"/>
      <c r="H46" s="23"/>
      <c r="I46" s="9"/>
      <c r="J46" s="9"/>
      <c r="K46" s="25">
        <f>SUM(R41:R45)</f>
        <v>2184.9499999999998</v>
      </c>
      <c r="L46" s="25"/>
    </row>
    <row r="47" spans="1:31" ht="14.25">
      <c r="A47" s="20"/>
      <c r="B47" s="20"/>
      <c r="C47" s="21"/>
      <c r="D47" s="21" t="s">
        <v>582</v>
      </c>
      <c r="E47" s="22" t="s">
        <v>581</v>
      </c>
      <c r="F47" s="9">
        <f>Source!AU28</f>
        <v>10</v>
      </c>
      <c r="G47" s="24"/>
      <c r="H47" s="23"/>
      <c r="I47" s="9"/>
      <c r="J47" s="9"/>
      <c r="K47" s="25">
        <f>SUM(T41:T46)</f>
        <v>312.14</v>
      </c>
      <c r="L47" s="25"/>
    </row>
    <row r="48" spans="1:31" ht="14.25">
      <c r="A48" s="20"/>
      <c r="B48" s="20"/>
      <c r="C48" s="21"/>
      <c r="D48" s="21" t="s">
        <v>583</v>
      </c>
      <c r="E48" s="22" t="s">
        <v>581</v>
      </c>
      <c r="F48" s="9">
        <f>108</f>
        <v>108</v>
      </c>
      <c r="G48" s="24"/>
      <c r="H48" s="23"/>
      <c r="I48" s="9"/>
      <c r="J48" s="9"/>
      <c r="K48" s="25">
        <f>SUM(V41:V47)</f>
        <v>501.31</v>
      </c>
      <c r="L48" s="25"/>
    </row>
    <row r="49" spans="1:22" ht="14.25">
      <c r="A49" s="20"/>
      <c r="B49" s="20"/>
      <c r="C49" s="21"/>
      <c r="D49" s="21" t="s">
        <v>584</v>
      </c>
      <c r="E49" s="22" t="s">
        <v>585</v>
      </c>
      <c r="F49" s="9">
        <f>Source!AQ28</f>
        <v>41.38</v>
      </c>
      <c r="G49" s="24"/>
      <c r="H49" s="23" t="str">
        <f>Source!DI28</f>
        <v/>
      </c>
      <c r="I49" s="9">
        <f>Source!AV28</f>
        <v>1</v>
      </c>
      <c r="J49" s="9"/>
      <c r="K49" s="25"/>
      <c r="L49" s="25">
        <f>Source!U28</f>
        <v>23.276250000000001</v>
      </c>
    </row>
    <row r="50" spans="1:22" ht="15">
      <c r="A50" s="30"/>
      <c r="B50" s="30"/>
      <c r="C50" s="30"/>
      <c r="D50" s="30"/>
      <c r="E50" s="30"/>
      <c r="F50" s="30"/>
      <c r="G50" s="30"/>
      <c r="H50" s="30"/>
      <c r="I50" s="30"/>
      <c r="J50" s="91">
        <f>K43+K44+K46+K47+K48</f>
        <v>6960.33</v>
      </c>
      <c r="K50" s="91"/>
      <c r="L50" s="31">
        <f>IF(Source!I28&lt;&gt;0, ROUND(J50/Source!I28, 2), 0)</f>
        <v>12373.92</v>
      </c>
      <c r="P50" s="28">
        <f>J50</f>
        <v>6960.33</v>
      </c>
    </row>
    <row r="51" spans="1:22" ht="57">
      <c r="A51" s="20">
        <v>2</v>
      </c>
      <c r="B51" s="20" t="str">
        <f>Source!E29</f>
        <v>2</v>
      </c>
      <c r="C51" s="21" t="str">
        <f>Source!F29</f>
        <v>5.4-3203-7-3/1</v>
      </c>
      <c r="D51" s="21" t="str">
        <f>Source!G29</f>
        <v>Добавлять или исключать на каждые 10 см изменения глубины корыта под цветники механизированным способом к поз. 4-3203-7-1</v>
      </c>
      <c r="E51" s="22" t="str">
        <f>Source!H29</f>
        <v>100 м2</v>
      </c>
      <c r="F51" s="9">
        <f>Source!I29</f>
        <v>-0.5625</v>
      </c>
      <c r="G51" s="24"/>
      <c r="H51" s="23"/>
      <c r="I51" s="9"/>
      <c r="J51" s="9"/>
      <c r="K51" s="25"/>
      <c r="L51" s="25"/>
      <c r="Q51">
        <f>ROUND((Source!BZ29/100)*ROUND((Source!AF29*Source!AV29)*Source!I29, 2), 2)</f>
        <v>-436.67</v>
      </c>
      <c r="R51">
        <f>Source!X29</f>
        <v>-436.67</v>
      </c>
      <c r="S51">
        <f>ROUND((Source!CA29/100)*ROUND((Source!AF29*Source!AV29)*Source!I29, 2), 2)</f>
        <v>-62.38</v>
      </c>
      <c r="T51">
        <f>Source!Y29</f>
        <v>-62.38</v>
      </c>
      <c r="U51">
        <f>ROUND((175/100)*ROUND((Source!AE29*Source!AV29)*Source!I29, 2), 2)</f>
        <v>-203.07</v>
      </c>
      <c r="V51">
        <f>ROUND((108/100)*ROUND(Source!CS29*Source!I29, 2), 2)</f>
        <v>-125.32</v>
      </c>
    </row>
    <row r="52" spans="1:22">
      <c r="D52" s="26" t="str">
        <f>"Объем: "&amp;Source!I29&amp;"=-"&amp;"75*"&amp;"0,75/"&amp;"100"</f>
        <v>Объем: -0,5625=-75*0,75/100</v>
      </c>
    </row>
    <row r="53" spans="1:22" ht="14.25">
      <c r="A53" s="20"/>
      <c r="B53" s="20"/>
      <c r="C53" s="21"/>
      <c r="D53" s="21" t="s">
        <v>577</v>
      </c>
      <c r="E53" s="22"/>
      <c r="F53" s="9"/>
      <c r="G53" s="24">
        <f>Source!AO29</f>
        <v>1109.01</v>
      </c>
      <c r="H53" s="23" t="str">
        <f>Source!DG29</f>
        <v/>
      </c>
      <c r="I53" s="9">
        <f>Source!AV29</f>
        <v>1</v>
      </c>
      <c r="J53" s="9">
        <f>IF(Source!BA29&lt;&gt; 0, Source!BA29, 1)</f>
        <v>1</v>
      </c>
      <c r="K53" s="25">
        <f>Source!S29</f>
        <v>-623.82000000000005</v>
      </c>
      <c r="L53" s="25"/>
    </row>
    <row r="54" spans="1:22" ht="14.25">
      <c r="A54" s="20"/>
      <c r="B54" s="20"/>
      <c r="C54" s="21"/>
      <c r="D54" s="21" t="s">
        <v>578</v>
      </c>
      <c r="E54" s="22"/>
      <c r="F54" s="9"/>
      <c r="G54" s="24">
        <f>Source!AM29</f>
        <v>373.59</v>
      </c>
      <c r="H54" s="23" t="str">
        <f>Source!DE29</f>
        <v/>
      </c>
      <c r="I54" s="9">
        <f>Source!AV29</f>
        <v>1</v>
      </c>
      <c r="J54" s="9">
        <f>IF(Source!BB29&lt;&gt; 0, Source!BB29, 1)</f>
        <v>1</v>
      </c>
      <c r="K54" s="25">
        <f>Source!Q29</f>
        <v>-210.14</v>
      </c>
      <c r="L54" s="25"/>
    </row>
    <row r="55" spans="1:22" ht="14.25">
      <c r="A55" s="20"/>
      <c r="B55" s="20"/>
      <c r="C55" s="21"/>
      <c r="D55" s="21" t="s">
        <v>579</v>
      </c>
      <c r="E55" s="22"/>
      <c r="F55" s="9"/>
      <c r="G55" s="24">
        <f>Source!AN29</f>
        <v>206.3</v>
      </c>
      <c r="H55" s="23" t="str">
        <f>Source!DF29</f>
        <v/>
      </c>
      <c r="I55" s="9">
        <f>Source!AV29</f>
        <v>1</v>
      </c>
      <c r="J55" s="9">
        <f>IF(Source!BS29&lt;&gt; 0, Source!BS29, 1)</f>
        <v>1</v>
      </c>
      <c r="K55" s="27">
        <f>Source!R29</f>
        <v>-116.04</v>
      </c>
      <c r="L55" s="25"/>
    </row>
    <row r="56" spans="1:22" ht="14.25">
      <c r="A56" s="20"/>
      <c r="B56" s="20"/>
      <c r="C56" s="21"/>
      <c r="D56" s="21" t="s">
        <v>580</v>
      </c>
      <c r="E56" s="22" t="s">
        <v>581</v>
      </c>
      <c r="F56" s="9">
        <f>Source!AT29</f>
        <v>70</v>
      </c>
      <c r="G56" s="24"/>
      <c r="H56" s="23"/>
      <c r="I56" s="9"/>
      <c r="J56" s="9"/>
      <c r="K56" s="25">
        <f>SUM(R51:R55)</f>
        <v>-436.67</v>
      </c>
      <c r="L56" s="25"/>
    </row>
    <row r="57" spans="1:22" ht="14.25">
      <c r="A57" s="20"/>
      <c r="B57" s="20"/>
      <c r="C57" s="21"/>
      <c r="D57" s="21" t="s">
        <v>582</v>
      </c>
      <c r="E57" s="22" t="s">
        <v>581</v>
      </c>
      <c r="F57" s="9">
        <f>Source!AU29</f>
        <v>10</v>
      </c>
      <c r="G57" s="24"/>
      <c r="H57" s="23"/>
      <c r="I57" s="9"/>
      <c r="J57" s="9"/>
      <c r="K57" s="25">
        <f>SUM(T51:T56)</f>
        <v>-62.38</v>
      </c>
      <c r="L57" s="25"/>
    </row>
    <row r="58" spans="1:22" ht="14.25">
      <c r="A58" s="20"/>
      <c r="B58" s="20"/>
      <c r="C58" s="21"/>
      <c r="D58" s="21" t="s">
        <v>583</v>
      </c>
      <c r="E58" s="22" t="s">
        <v>581</v>
      </c>
      <c r="F58" s="9">
        <f>108</f>
        <v>108</v>
      </c>
      <c r="G58" s="24"/>
      <c r="H58" s="23"/>
      <c r="I58" s="9"/>
      <c r="J58" s="9"/>
      <c r="K58" s="25">
        <f>SUM(V51:V57)</f>
        <v>-125.32</v>
      </c>
      <c r="L58" s="25"/>
    </row>
    <row r="59" spans="1:22" ht="14.25">
      <c r="A59" s="20"/>
      <c r="B59" s="20"/>
      <c r="C59" s="21"/>
      <c r="D59" s="21" t="s">
        <v>584</v>
      </c>
      <c r="E59" s="22" t="s">
        <v>585</v>
      </c>
      <c r="F59" s="9">
        <f>Source!AQ29</f>
        <v>8.27</v>
      </c>
      <c r="G59" s="24"/>
      <c r="H59" s="23" t="str">
        <f>Source!DI29</f>
        <v/>
      </c>
      <c r="I59" s="9">
        <f>Source!AV29</f>
        <v>1</v>
      </c>
      <c r="J59" s="9"/>
      <c r="K59" s="25"/>
      <c r="L59" s="25">
        <f>Source!U29</f>
        <v>-4.6518749999999995</v>
      </c>
    </row>
    <row r="60" spans="1:22" ht="15">
      <c r="A60" s="30"/>
      <c r="B60" s="30"/>
      <c r="C60" s="30"/>
      <c r="D60" s="30"/>
      <c r="E60" s="30"/>
      <c r="F60" s="30"/>
      <c r="G60" s="30"/>
      <c r="H60" s="30"/>
      <c r="I60" s="30"/>
      <c r="J60" s="91">
        <f>K53+K54+K56+K57+K58</f>
        <v>-1458.3300000000002</v>
      </c>
      <c r="K60" s="91"/>
      <c r="L60" s="31">
        <f>IF(Source!I29&lt;&gt;0, ROUND(J60/Source!I29, 2), 0)</f>
        <v>2592.59</v>
      </c>
      <c r="P60" s="28">
        <f>J60</f>
        <v>-1458.3300000000002</v>
      </c>
    </row>
    <row r="61" spans="1:22" ht="28.5">
      <c r="A61" s="20">
        <v>3</v>
      </c>
      <c r="B61" s="20" t="str">
        <f>Source!E30</f>
        <v>3</v>
      </c>
      <c r="C61" s="21" t="str">
        <f>Source!F30</f>
        <v>5.4-3203-7-2/1</v>
      </c>
      <c r="D61" s="21" t="str">
        <f>Source!G30</f>
        <v>Устройство корыта под цветники глубиной 40 см вручную</v>
      </c>
      <c r="E61" s="22" t="str">
        <f>Source!H30</f>
        <v>100 м2</v>
      </c>
      <c r="F61" s="9">
        <f>Source!I30</f>
        <v>0.1875</v>
      </c>
      <c r="G61" s="24"/>
      <c r="H61" s="23"/>
      <c r="I61" s="9"/>
      <c r="J61" s="9"/>
      <c r="K61" s="25"/>
      <c r="L61" s="25"/>
      <c r="Q61">
        <f>ROUND((Source!BZ30/100)*ROUND((Source!AF30*Source!AV30)*Source!I30, 2), 2)</f>
        <v>1775.42</v>
      </c>
      <c r="R61">
        <f>Source!X30</f>
        <v>1775.42</v>
      </c>
      <c r="S61">
        <f>ROUND((Source!CA30/100)*ROUND((Source!AF30*Source!AV30)*Source!I30, 2), 2)</f>
        <v>253.63</v>
      </c>
      <c r="T61">
        <f>Source!Y30</f>
        <v>253.63</v>
      </c>
      <c r="U61">
        <f>ROUND((175/100)*ROUND((Source!AE30*Source!AV30)*Source!I30, 2), 2)</f>
        <v>0</v>
      </c>
      <c r="V61">
        <f>ROUND((108/100)*ROUND(Source!CS30*Source!I30, 2), 2)</f>
        <v>0</v>
      </c>
    </row>
    <row r="62" spans="1:22">
      <c r="D62" s="26" t="str">
        <f>"Объем: "&amp;Source!I30&amp;"=75*"&amp;"0,25/"&amp;"100"</f>
        <v>Объем: 0,1875=75*0,25/100</v>
      </c>
    </row>
    <row r="63" spans="1:22" ht="14.25">
      <c r="A63" s="20"/>
      <c r="B63" s="20"/>
      <c r="C63" s="21"/>
      <c r="D63" s="21" t="s">
        <v>577</v>
      </c>
      <c r="E63" s="22"/>
      <c r="F63" s="9"/>
      <c r="G63" s="24">
        <f>Source!AO30</f>
        <v>13526.96</v>
      </c>
      <c r="H63" s="23" t="str">
        <f>Source!DG30</f>
        <v/>
      </c>
      <c r="I63" s="9">
        <f>Source!AV30</f>
        <v>1</v>
      </c>
      <c r="J63" s="9">
        <f>IF(Source!BA30&lt;&gt; 0, Source!BA30, 1)</f>
        <v>1</v>
      </c>
      <c r="K63" s="25">
        <f>Source!S30</f>
        <v>2536.31</v>
      </c>
      <c r="L63" s="25"/>
    </row>
    <row r="64" spans="1:22" ht="14.25">
      <c r="A64" s="20"/>
      <c r="B64" s="20"/>
      <c r="C64" s="21"/>
      <c r="D64" s="21" t="s">
        <v>580</v>
      </c>
      <c r="E64" s="22" t="s">
        <v>581</v>
      </c>
      <c r="F64" s="9">
        <f>Source!AT30</f>
        <v>70</v>
      </c>
      <c r="G64" s="24"/>
      <c r="H64" s="23"/>
      <c r="I64" s="9"/>
      <c r="J64" s="9"/>
      <c r="K64" s="25">
        <f>SUM(R61:R63)</f>
        <v>1775.42</v>
      </c>
      <c r="L64" s="25"/>
    </row>
    <row r="65" spans="1:22" ht="14.25">
      <c r="A65" s="20"/>
      <c r="B65" s="20"/>
      <c r="C65" s="21"/>
      <c r="D65" s="21" t="s">
        <v>582</v>
      </c>
      <c r="E65" s="22" t="s">
        <v>581</v>
      </c>
      <c r="F65" s="9">
        <f>Source!AU30</f>
        <v>10</v>
      </c>
      <c r="G65" s="24"/>
      <c r="H65" s="23"/>
      <c r="I65" s="9"/>
      <c r="J65" s="9"/>
      <c r="K65" s="25">
        <f>SUM(T61:T64)</f>
        <v>253.63</v>
      </c>
      <c r="L65" s="25"/>
    </row>
    <row r="66" spans="1:22" ht="14.25">
      <c r="A66" s="20"/>
      <c r="B66" s="20"/>
      <c r="C66" s="21"/>
      <c r="D66" s="21" t="s">
        <v>584</v>
      </c>
      <c r="E66" s="22" t="s">
        <v>585</v>
      </c>
      <c r="F66" s="9">
        <f>Source!AQ30</f>
        <v>85.94</v>
      </c>
      <c r="G66" s="24"/>
      <c r="H66" s="23" t="str">
        <f>Source!DI30</f>
        <v/>
      </c>
      <c r="I66" s="9">
        <f>Source!AV30</f>
        <v>1</v>
      </c>
      <c r="J66" s="9"/>
      <c r="K66" s="25"/>
      <c r="L66" s="25">
        <f>Source!U30</f>
        <v>16.11375</v>
      </c>
    </row>
    <row r="67" spans="1:22" ht="15">
      <c r="A67" s="30"/>
      <c r="B67" s="30"/>
      <c r="C67" s="30"/>
      <c r="D67" s="30"/>
      <c r="E67" s="30"/>
      <c r="F67" s="30"/>
      <c r="G67" s="30"/>
      <c r="H67" s="30"/>
      <c r="I67" s="30"/>
      <c r="J67" s="91">
        <f>K63+K64+K65</f>
        <v>4565.3599999999997</v>
      </c>
      <c r="K67" s="91"/>
      <c r="L67" s="31">
        <f>IF(Source!I30&lt;&gt;0, ROUND(J67/Source!I30, 2), 0)</f>
        <v>24348.59</v>
      </c>
      <c r="P67" s="28">
        <f>J67</f>
        <v>4565.3599999999997</v>
      </c>
    </row>
    <row r="68" spans="1:22" ht="42.75">
      <c r="A68" s="20">
        <v>4</v>
      </c>
      <c r="B68" s="20" t="str">
        <f>Source!E31</f>
        <v>4</v>
      </c>
      <c r="C68" s="21" t="str">
        <f>Source!F31</f>
        <v>5.4-3203-7-4/1</v>
      </c>
      <c r="D68" s="21" t="str">
        <f>Source!G31</f>
        <v>Добавлять или исключать на каждые 10 см изменения глубины корыта под цветники вручную к поз. 4-3203-7-2</v>
      </c>
      <c r="E68" s="22" t="str">
        <f>Source!H31</f>
        <v>100 м2</v>
      </c>
      <c r="F68" s="9">
        <f>Source!I31</f>
        <v>-0.1875</v>
      </c>
      <c r="G68" s="24"/>
      <c r="H68" s="23"/>
      <c r="I68" s="9"/>
      <c r="J68" s="9"/>
      <c r="K68" s="25"/>
      <c r="L68" s="25"/>
      <c r="Q68">
        <f>ROUND((Source!BZ31/100)*ROUND((Source!AF31*Source!AV31)*Source!I31, 2), 2)</f>
        <v>-443.75</v>
      </c>
      <c r="R68">
        <f>Source!X31</f>
        <v>-443.75</v>
      </c>
      <c r="S68">
        <f>ROUND((Source!CA31/100)*ROUND((Source!AF31*Source!AV31)*Source!I31, 2), 2)</f>
        <v>-63.39</v>
      </c>
      <c r="T68">
        <f>Source!Y31</f>
        <v>-63.39</v>
      </c>
      <c r="U68">
        <f>ROUND((175/100)*ROUND((Source!AE31*Source!AV31)*Source!I31, 2), 2)</f>
        <v>0</v>
      </c>
      <c r="V68">
        <f>ROUND((108/100)*ROUND(Source!CS31*Source!I31, 2), 2)</f>
        <v>0</v>
      </c>
    </row>
    <row r="69" spans="1:22">
      <c r="D69" s="26" t="str">
        <f>"Объем: "&amp;Source!I31&amp;"=-"&amp;"75*"&amp;"0,25/"&amp;"100"</f>
        <v>Объем: -0,1875=-75*0,25/100</v>
      </c>
    </row>
    <row r="70" spans="1:22" ht="14.25">
      <c r="A70" s="20"/>
      <c r="B70" s="20"/>
      <c r="C70" s="21"/>
      <c r="D70" s="21" t="s">
        <v>577</v>
      </c>
      <c r="E70" s="22"/>
      <c r="F70" s="9"/>
      <c r="G70" s="24">
        <f>Source!AO31</f>
        <v>3380.95</v>
      </c>
      <c r="H70" s="23" t="str">
        <f>Source!DG31</f>
        <v/>
      </c>
      <c r="I70" s="9">
        <f>Source!AV31</f>
        <v>1</v>
      </c>
      <c r="J70" s="9">
        <f>IF(Source!BA31&lt;&gt; 0, Source!BA31, 1)</f>
        <v>1</v>
      </c>
      <c r="K70" s="25">
        <f>Source!S31</f>
        <v>-633.92999999999995</v>
      </c>
      <c r="L70" s="25"/>
    </row>
    <row r="71" spans="1:22" ht="14.25">
      <c r="A71" s="20"/>
      <c r="B71" s="20"/>
      <c r="C71" s="21"/>
      <c r="D71" s="21" t="s">
        <v>580</v>
      </c>
      <c r="E71" s="22" t="s">
        <v>581</v>
      </c>
      <c r="F71" s="9">
        <f>Source!AT31</f>
        <v>70</v>
      </c>
      <c r="G71" s="24"/>
      <c r="H71" s="23"/>
      <c r="I71" s="9"/>
      <c r="J71" s="9"/>
      <c r="K71" s="25">
        <f>SUM(R68:R70)</f>
        <v>-443.75</v>
      </c>
      <c r="L71" s="25"/>
    </row>
    <row r="72" spans="1:22" ht="14.25">
      <c r="A72" s="20"/>
      <c r="B72" s="20"/>
      <c r="C72" s="21"/>
      <c r="D72" s="21" t="s">
        <v>582</v>
      </c>
      <c r="E72" s="22" t="s">
        <v>581</v>
      </c>
      <c r="F72" s="9">
        <f>Source!AU31</f>
        <v>10</v>
      </c>
      <c r="G72" s="24"/>
      <c r="H72" s="23"/>
      <c r="I72" s="9"/>
      <c r="J72" s="9"/>
      <c r="K72" s="25">
        <f>SUM(T68:T71)</f>
        <v>-63.39</v>
      </c>
      <c r="L72" s="25"/>
    </row>
    <row r="73" spans="1:22" ht="14.25">
      <c r="A73" s="20"/>
      <c r="B73" s="20"/>
      <c r="C73" s="21"/>
      <c r="D73" s="21" t="s">
        <v>584</v>
      </c>
      <c r="E73" s="22" t="s">
        <v>585</v>
      </c>
      <c r="F73" s="9">
        <f>Source!AQ31</f>
        <v>21.48</v>
      </c>
      <c r="G73" s="24"/>
      <c r="H73" s="23" t="str">
        <f>Source!DI31</f>
        <v/>
      </c>
      <c r="I73" s="9">
        <f>Source!AV31</f>
        <v>1</v>
      </c>
      <c r="J73" s="9"/>
      <c r="K73" s="25"/>
      <c r="L73" s="25">
        <f>Source!U31</f>
        <v>-4.0274999999999999</v>
      </c>
    </row>
    <row r="74" spans="1:22" ht="15">
      <c r="A74" s="30"/>
      <c r="B74" s="30"/>
      <c r="C74" s="30"/>
      <c r="D74" s="30"/>
      <c r="E74" s="30"/>
      <c r="F74" s="30"/>
      <c r="G74" s="30"/>
      <c r="H74" s="30"/>
      <c r="I74" s="30"/>
      <c r="J74" s="91">
        <f>K70+K71+K72</f>
        <v>-1141.07</v>
      </c>
      <c r="K74" s="91"/>
      <c r="L74" s="31">
        <f>IF(Source!I31&lt;&gt;0, ROUND(J74/Source!I31, 2), 0)</f>
        <v>6085.71</v>
      </c>
      <c r="P74" s="28">
        <f>J74</f>
        <v>-1141.07</v>
      </c>
    </row>
    <row r="75" spans="1:22" ht="28.5">
      <c r="A75" s="20">
        <v>5</v>
      </c>
      <c r="B75" s="20" t="str">
        <f>Source!E32</f>
        <v>5</v>
      </c>
      <c r="C75" s="21" t="str">
        <f>Source!F32</f>
        <v>5.4-3203-6-1/1</v>
      </c>
      <c r="D75" s="21" t="str">
        <f>Source!G32</f>
        <v>Подготовка почвы под цветники толщиной слоя насыпки 20 см</v>
      </c>
      <c r="E75" s="22" t="str">
        <f>Source!H32</f>
        <v>100 м2</v>
      </c>
      <c r="F75" s="9">
        <f>Source!I32</f>
        <v>0.75</v>
      </c>
      <c r="G75" s="24"/>
      <c r="H75" s="23"/>
      <c r="I75" s="9"/>
      <c r="J75" s="9"/>
      <c r="K75" s="25"/>
      <c r="L75" s="25"/>
      <c r="Q75">
        <f>ROUND((Source!BZ32/100)*ROUND((Source!AF32*Source!AV32)*Source!I32, 2), 2)</f>
        <v>5216.18</v>
      </c>
      <c r="R75">
        <f>Source!X32</f>
        <v>5216.18</v>
      </c>
      <c r="S75">
        <f>ROUND((Source!CA32/100)*ROUND((Source!AF32*Source!AV32)*Source!I32, 2), 2)</f>
        <v>745.17</v>
      </c>
      <c r="T75">
        <f>Source!Y32</f>
        <v>745.17</v>
      </c>
      <c r="U75">
        <f>ROUND((175/100)*ROUND((Source!AE32*Source!AV32)*Source!I32, 2), 2)</f>
        <v>0</v>
      </c>
      <c r="V75">
        <f>ROUND((108/100)*ROUND(Source!CS32*Source!I32, 2), 2)</f>
        <v>0</v>
      </c>
    </row>
    <row r="76" spans="1:22">
      <c r="D76" s="26" t="str">
        <f>"Объем: "&amp;Source!I32&amp;"=75/"&amp;"100"</f>
        <v>Объем: 0,75=75/100</v>
      </c>
    </row>
    <row r="77" spans="1:22" ht="14.25">
      <c r="A77" s="20"/>
      <c r="B77" s="20"/>
      <c r="C77" s="21"/>
      <c r="D77" s="21" t="s">
        <v>577</v>
      </c>
      <c r="E77" s="22"/>
      <c r="F77" s="9"/>
      <c r="G77" s="24">
        <f>Source!AO32</f>
        <v>9935.57</v>
      </c>
      <c r="H77" s="23" t="str">
        <f>Source!DG32</f>
        <v/>
      </c>
      <c r="I77" s="9">
        <f>Source!AV32</f>
        <v>1</v>
      </c>
      <c r="J77" s="9">
        <f>IF(Source!BA32&lt;&gt; 0, Source!BA32, 1)</f>
        <v>1</v>
      </c>
      <c r="K77" s="25">
        <f>Source!S32</f>
        <v>7451.68</v>
      </c>
      <c r="L77" s="25"/>
    </row>
    <row r="78" spans="1:22" ht="14.25">
      <c r="A78" s="20"/>
      <c r="B78" s="20"/>
      <c r="C78" s="21"/>
      <c r="D78" s="21" t="s">
        <v>586</v>
      </c>
      <c r="E78" s="22"/>
      <c r="F78" s="9"/>
      <c r="G78" s="24">
        <f>Source!AL32</f>
        <v>15073.4</v>
      </c>
      <c r="H78" s="23" t="str">
        <f>Source!DD32</f>
        <v/>
      </c>
      <c r="I78" s="9">
        <f>Source!AW32</f>
        <v>1</v>
      </c>
      <c r="J78" s="9">
        <f>IF(Source!BC32&lt;&gt; 0, Source!BC32, 1)</f>
        <v>1</v>
      </c>
      <c r="K78" s="25">
        <f>Source!P32</f>
        <v>11305.05</v>
      </c>
      <c r="L78" s="25"/>
    </row>
    <row r="79" spans="1:22" ht="14.25">
      <c r="A79" s="20"/>
      <c r="B79" s="20"/>
      <c r="C79" s="21"/>
      <c r="D79" s="21" t="s">
        <v>580</v>
      </c>
      <c r="E79" s="22" t="s">
        <v>581</v>
      </c>
      <c r="F79" s="9">
        <f>Source!AT32</f>
        <v>70</v>
      </c>
      <c r="G79" s="24"/>
      <c r="H79" s="23"/>
      <c r="I79" s="9"/>
      <c r="J79" s="9"/>
      <c r="K79" s="25">
        <f>SUM(R75:R78)</f>
        <v>5216.18</v>
      </c>
      <c r="L79" s="25"/>
    </row>
    <row r="80" spans="1:22" ht="14.25">
      <c r="A80" s="20"/>
      <c r="B80" s="20"/>
      <c r="C80" s="21"/>
      <c r="D80" s="21" t="s">
        <v>582</v>
      </c>
      <c r="E80" s="22" t="s">
        <v>581</v>
      </c>
      <c r="F80" s="9">
        <f>Source!AU32</f>
        <v>10</v>
      </c>
      <c r="G80" s="24"/>
      <c r="H80" s="23"/>
      <c r="I80" s="9"/>
      <c r="J80" s="9"/>
      <c r="K80" s="25">
        <f>SUM(T75:T79)</f>
        <v>745.17</v>
      </c>
      <c r="L80" s="25"/>
    </row>
    <row r="81" spans="1:22" ht="14.25">
      <c r="A81" s="20"/>
      <c r="B81" s="20"/>
      <c r="C81" s="21"/>
      <c r="D81" s="21" t="s">
        <v>584</v>
      </c>
      <c r="E81" s="22" t="s">
        <v>585</v>
      </c>
      <c r="F81" s="9">
        <f>Source!AQ32</f>
        <v>53.7</v>
      </c>
      <c r="G81" s="24"/>
      <c r="H81" s="23" t="str">
        <f>Source!DI32</f>
        <v/>
      </c>
      <c r="I81" s="9">
        <f>Source!AV32</f>
        <v>1</v>
      </c>
      <c r="J81" s="9"/>
      <c r="K81" s="25"/>
      <c r="L81" s="25">
        <f>Source!U32</f>
        <v>40.275000000000006</v>
      </c>
    </row>
    <row r="82" spans="1:22" ht="15">
      <c r="A82" s="30"/>
      <c r="B82" s="30"/>
      <c r="C82" s="30"/>
      <c r="D82" s="30"/>
      <c r="E82" s="30"/>
      <c r="F82" s="30"/>
      <c r="G82" s="30"/>
      <c r="H82" s="30"/>
      <c r="I82" s="30"/>
      <c r="J82" s="91">
        <f>K77+K78+K79+K80</f>
        <v>24718.079999999998</v>
      </c>
      <c r="K82" s="91"/>
      <c r="L82" s="31">
        <f>IF(Source!I32&lt;&gt;0, ROUND(J82/Source!I32, 2), 0)</f>
        <v>32957.440000000002</v>
      </c>
      <c r="P82" s="28">
        <f>J82</f>
        <v>24718.079999999998</v>
      </c>
    </row>
    <row r="83" spans="1:22" ht="42.75">
      <c r="A83" s="20">
        <v>6</v>
      </c>
      <c r="B83" s="20" t="str">
        <f>Source!E33</f>
        <v>6</v>
      </c>
      <c r="C83" s="21" t="str">
        <f>Source!F33</f>
        <v>5.4-3203-6-2/1</v>
      </c>
      <c r="D83" s="21" t="str">
        <f>Source!G33</f>
        <v>Добавлять или исключать на каждые 5 см изменения толщины слоя почвы под цветники к поз. 4-3203-6-1</v>
      </c>
      <c r="E83" s="22" t="str">
        <f>Source!H33</f>
        <v>100 м2</v>
      </c>
      <c r="F83" s="9">
        <f>Source!I33</f>
        <v>0.75</v>
      </c>
      <c r="G83" s="24"/>
      <c r="H83" s="23"/>
      <c r="I83" s="9"/>
      <c r="J83" s="9"/>
      <c r="K83" s="25"/>
      <c r="L83" s="25"/>
      <c r="Q83">
        <f>ROUND((Source!BZ33/100)*ROUND((Source!AF33*Source!AV33)*Source!I33, 2), 2)</f>
        <v>1210.31</v>
      </c>
      <c r="R83">
        <f>Source!X33</f>
        <v>1210.31</v>
      </c>
      <c r="S83">
        <f>ROUND((Source!CA33/100)*ROUND((Source!AF33*Source!AV33)*Source!I33, 2), 2)</f>
        <v>172.9</v>
      </c>
      <c r="T83">
        <f>Source!Y33</f>
        <v>172.9</v>
      </c>
      <c r="U83">
        <f>ROUND((175/100)*ROUND((Source!AE33*Source!AV33)*Source!I33, 2), 2)</f>
        <v>0</v>
      </c>
      <c r="V83">
        <f>ROUND((108/100)*ROUND(Source!CS33*Source!I33, 2), 2)</f>
        <v>0</v>
      </c>
    </row>
    <row r="84" spans="1:22">
      <c r="D84" s="26" t="str">
        <f>"Объем: "&amp;Source!I33&amp;"=75/"&amp;"100"</f>
        <v>Объем: 0,75=75/100</v>
      </c>
    </row>
    <row r="85" spans="1:22" ht="14.25">
      <c r="A85" s="20"/>
      <c r="B85" s="20"/>
      <c r="C85" s="21"/>
      <c r="D85" s="21" t="s">
        <v>577</v>
      </c>
      <c r="E85" s="22"/>
      <c r="F85" s="9"/>
      <c r="G85" s="24">
        <f>Source!AO33</f>
        <v>1152.67</v>
      </c>
      <c r="H85" s="23" t="str">
        <f>Source!DG33</f>
        <v>*2</v>
      </c>
      <c r="I85" s="9">
        <f>Source!AV33</f>
        <v>1</v>
      </c>
      <c r="J85" s="9">
        <f>IF(Source!BA33&lt;&gt; 0, Source!BA33, 1)</f>
        <v>1</v>
      </c>
      <c r="K85" s="25">
        <f>Source!S33</f>
        <v>1729.01</v>
      </c>
      <c r="L85" s="25"/>
    </row>
    <row r="86" spans="1:22" ht="14.25">
      <c r="A86" s="20"/>
      <c r="B86" s="20"/>
      <c r="C86" s="21"/>
      <c r="D86" s="21" t="s">
        <v>586</v>
      </c>
      <c r="E86" s="22"/>
      <c r="F86" s="9"/>
      <c r="G86" s="24">
        <f>Source!AL33</f>
        <v>3768.35</v>
      </c>
      <c r="H86" s="23" t="str">
        <f>Source!DD33</f>
        <v>*2</v>
      </c>
      <c r="I86" s="9">
        <f>Source!AW33</f>
        <v>1</v>
      </c>
      <c r="J86" s="9">
        <f>IF(Source!BC33&lt;&gt; 0, Source!BC33, 1)</f>
        <v>1</v>
      </c>
      <c r="K86" s="25">
        <f>Source!P33</f>
        <v>5652.53</v>
      </c>
      <c r="L86" s="25"/>
    </row>
    <row r="87" spans="1:22" ht="14.25">
      <c r="A87" s="20"/>
      <c r="B87" s="20"/>
      <c r="C87" s="21"/>
      <c r="D87" s="21" t="s">
        <v>580</v>
      </c>
      <c r="E87" s="22" t="s">
        <v>581</v>
      </c>
      <c r="F87" s="9">
        <f>Source!AT33</f>
        <v>70</v>
      </c>
      <c r="G87" s="24"/>
      <c r="H87" s="23"/>
      <c r="I87" s="9"/>
      <c r="J87" s="9"/>
      <c r="K87" s="25">
        <f>SUM(R83:R86)</f>
        <v>1210.31</v>
      </c>
      <c r="L87" s="25"/>
    </row>
    <row r="88" spans="1:22" ht="14.25">
      <c r="A88" s="20"/>
      <c r="B88" s="20"/>
      <c r="C88" s="21"/>
      <c r="D88" s="21" t="s">
        <v>582</v>
      </c>
      <c r="E88" s="22" t="s">
        <v>581</v>
      </c>
      <c r="F88" s="9">
        <f>Source!AU33</f>
        <v>10</v>
      </c>
      <c r="G88" s="24"/>
      <c r="H88" s="23"/>
      <c r="I88" s="9"/>
      <c r="J88" s="9"/>
      <c r="K88" s="25">
        <f>SUM(T83:T87)</f>
        <v>172.9</v>
      </c>
      <c r="L88" s="25"/>
    </row>
    <row r="89" spans="1:22" ht="14.25">
      <c r="A89" s="20"/>
      <c r="B89" s="20"/>
      <c r="C89" s="21"/>
      <c r="D89" s="21" t="s">
        <v>584</v>
      </c>
      <c r="E89" s="22" t="s">
        <v>585</v>
      </c>
      <c r="F89" s="9">
        <f>Source!AQ33</f>
        <v>6.23</v>
      </c>
      <c r="G89" s="24"/>
      <c r="H89" s="23" t="str">
        <f>Source!DI33</f>
        <v>*2</v>
      </c>
      <c r="I89" s="9">
        <f>Source!AV33</f>
        <v>1</v>
      </c>
      <c r="J89" s="9"/>
      <c r="K89" s="25"/>
      <c r="L89" s="25">
        <f>Source!U33</f>
        <v>9.3450000000000006</v>
      </c>
    </row>
    <row r="90" spans="1:22" ht="15">
      <c r="A90" s="30"/>
      <c r="B90" s="30"/>
      <c r="C90" s="30"/>
      <c r="D90" s="30"/>
      <c r="E90" s="30"/>
      <c r="F90" s="30"/>
      <c r="G90" s="30"/>
      <c r="H90" s="30"/>
      <c r="I90" s="30"/>
      <c r="J90" s="91">
        <f>K85+K86+K87+K88</f>
        <v>8764.75</v>
      </c>
      <c r="K90" s="91"/>
      <c r="L90" s="31">
        <f>IF(Source!I33&lt;&gt;0, ROUND(J90/Source!I33, 2), 0)</f>
        <v>11686.33</v>
      </c>
      <c r="P90" s="28">
        <f>J90</f>
        <v>8764.75</v>
      </c>
    </row>
    <row r="91" spans="1:22" ht="28.5">
      <c r="A91" s="20">
        <v>7</v>
      </c>
      <c r="B91" s="20" t="str">
        <f>Source!E34</f>
        <v>7</v>
      </c>
      <c r="C91" s="21" t="str">
        <f>Source!F34</f>
        <v>5.4-3203-8-1/1</v>
      </c>
      <c r="D91" s="21" t="str">
        <f>Source!G34</f>
        <v>Посадка многолетних цветников при густоте посадки 1,6 тыс.шт. цветов</v>
      </c>
      <c r="E91" s="22" t="str">
        <f>Source!H34</f>
        <v>100 м2</v>
      </c>
      <c r="F91" s="9">
        <f>Source!I34</f>
        <v>0.75</v>
      </c>
      <c r="G91" s="24"/>
      <c r="H91" s="23"/>
      <c r="I91" s="9"/>
      <c r="J91" s="9"/>
      <c r="K91" s="25"/>
      <c r="L91" s="25"/>
      <c r="Q91">
        <f>ROUND((Source!BZ34/100)*ROUND((Source!AF34*Source!AV34)*Source!I34, 2), 2)</f>
        <v>16129.5</v>
      </c>
      <c r="R91">
        <f>Source!X34</f>
        <v>16129.5</v>
      </c>
      <c r="S91">
        <f>ROUND((Source!CA34/100)*ROUND((Source!AF34*Source!AV34)*Source!I34, 2), 2)</f>
        <v>2304.21</v>
      </c>
      <c r="T91">
        <f>Source!Y34</f>
        <v>2304.21</v>
      </c>
      <c r="U91">
        <f>ROUND((175/100)*ROUND((Source!AE34*Source!AV34)*Source!I34, 2), 2)</f>
        <v>0</v>
      </c>
      <c r="V91">
        <f>ROUND((108/100)*ROUND(Source!CS34*Source!I34, 2), 2)</f>
        <v>0</v>
      </c>
    </row>
    <row r="92" spans="1:22">
      <c r="D92" s="26" t="str">
        <f>"Объем: "&amp;Source!I34&amp;"=75/"&amp;"100"</f>
        <v>Объем: 0,75=75/100</v>
      </c>
    </row>
    <row r="93" spans="1:22" ht="14.25">
      <c r="A93" s="20"/>
      <c r="B93" s="20"/>
      <c r="C93" s="21"/>
      <c r="D93" s="21" t="s">
        <v>577</v>
      </c>
      <c r="E93" s="22"/>
      <c r="F93" s="9"/>
      <c r="G93" s="24">
        <f>Source!AO34</f>
        <v>30722.85</v>
      </c>
      <c r="H93" s="23" t="str">
        <f>Source!DG34</f>
        <v/>
      </c>
      <c r="I93" s="9">
        <f>Source!AV34</f>
        <v>1</v>
      </c>
      <c r="J93" s="9">
        <f>IF(Source!BA34&lt;&gt; 0, Source!BA34, 1)</f>
        <v>1</v>
      </c>
      <c r="K93" s="25">
        <f>Source!S34</f>
        <v>23042.14</v>
      </c>
      <c r="L93" s="25"/>
    </row>
    <row r="94" spans="1:22" ht="14.25">
      <c r="A94" s="20"/>
      <c r="B94" s="20"/>
      <c r="C94" s="21"/>
      <c r="D94" s="21" t="s">
        <v>586</v>
      </c>
      <c r="E94" s="22"/>
      <c r="F94" s="9"/>
      <c r="G94" s="24">
        <f>Source!AL34</f>
        <v>3461.26</v>
      </c>
      <c r="H94" s="23" t="str">
        <f>Source!DD34</f>
        <v/>
      </c>
      <c r="I94" s="9">
        <f>Source!AW34</f>
        <v>1</v>
      </c>
      <c r="J94" s="9">
        <f>IF(Source!BC34&lt;&gt; 0, Source!BC34, 1)</f>
        <v>1</v>
      </c>
      <c r="K94" s="25">
        <f>Source!P34</f>
        <v>2595.9499999999998</v>
      </c>
      <c r="L94" s="25"/>
    </row>
    <row r="95" spans="1:22" ht="28.5">
      <c r="A95" s="20">
        <v>8</v>
      </c>
      <c r="B95" s="20" t="str">
        <f>Source!E35</f>
        <v>7,1</v>
      </c>
      <c r="C95" s="21" t="str">
        <f>Source!F35</f>
        <v>9763130000</v>
      </c>
      <c r="D95" s="21" t="str">
        <f>Source!G35</f>
        <v>Посадочный материал цветочных культур</v>
      </c>
      <c r="E95" s="22" t="str">
        <f>Source!H35</f>
        <v>шт.</v>
      </c>
      <c r="F95" s="9">
        <f>Source!I35</f>
        <v>1260</v>
      </c>
      <c r="G95" s="24">
        <f>Source!AK35</f>
        <v>0</v>
      </c>
      <c r="H95" s="32" t="s">
        <v>3</v>
      </c>
      <c r="I95" s="9">
        <f>Source!AW35</f>
        <v>1</v>
      </c>
      <c r="J95" s="9">
        <f>IF(Source!BC35&lt;&gt; 0, Source!BC35, 1)</f>
        <v>1</v>
      </c>
      <c r="K95" s="25">
        <f>Source!O35</f>
        <v>0</v>
      </c>
      <c r="L95" s="25"/>
      <c r="Q95">
        <f>ROUND((Source!BZ35/100)*ROUND((Source!AF35*Source!AV35)*Source!I35, 2), 2)</f>
        <v>0</v>
      </c>
      <c r="R95">
        <f>Source!X35</f>
        <v>0</v>
      </c>
      <c r="S95">
        <f>ROUND((Source!CA35/100)*ROUND((Source!AF35*Source!AV35)*Source!I35, 2), 2)</f>
        <v>0</v>
      </c>
      <c r="T95">
        <f>Source!Y35</f>
        <v>0</v>
      </c>
      <c r="U95">
        <f>ROUND((175/100)*ROUND((Source!AE35*Source!AV35)*Source!I35, 2), 2)</f>
        <v>0</v>
      </c>
      <c r="V95">
        <f>ROUND((108/100)*ROUND(Source!CS35*Source!I35, 2), 2)</f>
        <v>0</v>
      </c>
    </row>
    <row r="96" spans="1:22" ht="28.5">
      <c r="A96" s="20">
        <v>9</v>
      </c>
      <c r="B96" s="20" t="str">
        <f>Source!E36</f>
        <v>7,2</v>
      </c>
      <c r="C96" s="21" t="str">
        <f>Source!F36</f>
        <v>21.4-3-218</v>
      </c>
      <c r="D96" s="21" t="str">
        <f>Source!G36</f>
        <v>Посадочный материал многолетних культур: котовник фассена, С3</v>
      </c>
      <c r="E96" s="22" t="str">
        <f>Source!H36</f>
        <v>шт.</v>
      </c>
      <c r="F96" s="9">
        <f>Source!I36</f>
        <v>315</v>
      </c>
      <c r="G96" s="24">
        <f>Source!AK36</f>
        <v>189</v>
      </c>
      <c r="H96" s="32" t="s">
        <v>3</v>
      </c>
      <c r="I96" s="9">
        <f>Source!AW36</f>
        <v>1</v>
      </c>
      <c r="J96" s="9">
        <f>IF(Source!BC36&lt;&gt; 0, Source!BC36, 1)</f>
        <v>1</v>
      </c>
      <c r="K96" s="25">
        <f>Source!O36</f>
        <v>59535</v>
      </c>
      <c r="L96" s="25"/>
      <c r="Q96">
        <f>ROUND((Source!BZ36/100)*ROUND((Source!AF36*Source!AV36)*Source!I36, 2), 2)</f>
        <v>0</v>
      </c>
      <c r="R96">
        <f>Source!X36</f>
        <v>0</v>
      </c>
      <c r="S96">
        <f>ROUND((Source!CA36/100)*ROUND((Source!AF36*Source!AV36)*Source!I36, 2), 2)</f>
        <v>0</v>
      </c>
      <c r="T96">
        <f>Source!Y36</f>
        <v>0</v>
      </c>
      <c r="U96">
        <f>ROUND((175/100)*ROUND((Source!AE36*Source!AV36)*Source!I36, 2), 2)</f>
        <v>0</v>
      </c>
      <c r="V96">
        <f>ROUND((108/100)*ROUND(Source!CS36*Source!I36, 2), 2)</f>
        <v>0</v>
      </c>
    </row>
    <row r="97" spans="1:22" ht="57">
      <c r="A97" s="20">
        <v>10</v>
      </c>
      <c r="B97" s="20" t="str">
        <f>Source!E37</f>
        <v>7,3</v>
      </c>
      <c r="C97" s="21" t="str">
        <f>Source!F37</f>
        <v>коммерческое предложение</v>
      </c>
      <c r="D97" s="21" t="str">
        <f>Source!G37</f>
        <v>Посадочный материал многолетних культур: гейхера в ассортименте</v>
      </c>
      <c r="E97" s="22" t="str">
        <f>Source!H37</f>
        <v>шт.</v>
      </c>
      <c r="F97" s="9">
        <f>Source!I37</f>
        <v>480</v>
      </c>
      <c r="G97" s="24">
        <f>Source!AK37</f>
        <v>124.17</v>
      </c>
      <c r="H97" s="32" t="s">
        <v>3</v>
      </c>
      <c r="I97" s="9">
        <f>Source!AW37</f>
        <v>1</v>
      </c>
      <c r="J97" s="9">
        <f>IF(Source!BC37&lt;&gt; 0, Source!BC37, 1)</f>
        <v>1</v>
      </c>
      <c r="K97" s="25">
        <f>Source!O37</f>
        <v>59601.599999999999</v>
      </c>
      <c r="L97" s="25"/>
      <c r="Q97">
        <f>ROUND((Source!BZ37/100)*ROUND((Source!AF37*Source!AV37)*Source!I37, 2), 2)</f>
        <v>0</v>
      </c>
      <c r="R97">
        <f>Source!X37</f>
        <v>0</v>
      </c>
      <c r="S97">
        <f>ROUND((Source!CA37/100)*ROUND((Source!AF37*Source!AV37)*Source!I37, 2), 2)</f>
        <v>0</v>
      </c>
      <c r="T97">
        <f>Source!Y37</f>
        <v>0</v>
      </c>
      <c r="U97">
        <f>ROUND((175/100)*ROUND((Source!AE37*Source!AV37)*Source!I37, 2), 2)</f>
        <v>0</v>
      </c>
      <c r="V97">
        <f>ROUND((108/100)*ROUND(Source!CS37*Source!I37, 2), 2)</f>
        <v>0</v>
      </c>
    </row>
    <row r="98" spans="1:22" ht="14.25">
      <c r="A98" s="20"/>
      <c r="B98" s="20"/>
      <c r="C98" s="21"/>
      <c r="D98" s="21" t="s">
        <v>580</v>
      </c>
      <c r="E98" s="22" t="s">
        <v>581</v>
      </c>
      <c r="F98" s="9">
        <f>Source!AT34</f>
        <v>70</v>
      </c>
      <c r="G98" s="24"/>
      <c r="H98" s="23"/>
      <c r="I98" s="9"/>
      <c r="J98" s="9"/>
      <c r="K98" s="25">
        <f>SUM(R91:R97)</f>
        <v>16129.5</v>
      </c>
      <c r="L98" s="25"/>
    </row>
    <row r="99" spans="1:22" ht="14.25">
      <c r="A99" s="20"/>
      <c r="B99" s="20"/>
      <c r="C99" s="21"/>
      <c r="D99" s="21" t="s">
        <v>582</v>
      </c>
      <c r="E99" s="22" t="s">
        <v>581</v>
      </c>
      <c r="F99" s="9">
        <f>Source!AU34</f>
        <v>10</v>
      </c>
      <c r="G99" s="24"/>
      <c r="H99" s="23"/>
      <c r="I99" s="9"/>
      <c r="J99" s="9"/>
      <c r="K99" s="25">
        <f>SUM(T91:T98)</f>
        <v>2304.21</v>
      </c>
      <c r="L99" s="25"/>
    </row>
    <row r="100" spans="1:22" ht="14.25">
      <c r="A100" s="20"/>
      <c r="B100" s="20"/>
      <c r="C100" s="21"/>
      <c r="D100" s="21" t="s">
        <v>584</v>
      </c>
      <c r="E100" s="22" t="s">
        <v>585</v>
      </c>
      <c r="F100" s="9">
        <f>Source!AQ34</f>
        <v>155.26</v>
      </c>
      <c r="G100" s="24"/>
      <c r="H100" s="23" t="str">
        <f>Source!DI34</f>
        <v/>
      </c>
      <c r="I100" s="9">
        <f>Source!AV34</f>
        <v>1</v>
      </c>
      <c r="J100" s="9"/>
      <c r="K100" s="25"/>
      <c r="L100" s="25">
        <f>Source!U34</f>
        <v>116.44499999999999</v>
      </c>
    </row>
    <row r="101" spans="1:22" ht="15">
      <c r="A101" s="30"/>
      <c r="B101" s="30"/>
      <c r="C101" s="30"/>
      <c r="D101" s="30"/>
      <c r="E101" s="30"/>
      <c r="F101" s="30"/>
      <c r="G101" s="30"/>
      <c r="H101" s="30"/>
      <c r="I101" s="30"/>
      <c r="J101" s="91">
        <f>K93+K94+K98+K99+SUM(K95:K97)</f>
        <v>163208.4</v>
      </c>
      <c r="K101" s="91"/>
      <c r="L101" s="31">
        <f>IF(Source!I34&lt;&gt;0, ROUND(J101/Source!I34, 2), 0)</f>
        <v>217611.2</v>
      </c>
      <c r="P101" s="28">
        <f>J101</f>
        <v>163208.4</v>
      </c>
    </row>
    <row r="102" spans="1:22" ht="42.75">
      <c r="A102" s="20">
        <v>11</v>
      </c>
      <c r="B102" s="20" t="str">
        <f>Source!E38</f>
        <v>8</v>
      </c>
      <c r="C102" s="21" t="str">
        <f>Source!F38</f>
        <v>5.4-3203-8-2/1</v>
      </c>
      <c r="D102" s="21" t="str">
        <f>Source!G38</f>
        <v>Добавлять или исключать на каждые 1000 шт. высаживаемых цветов к поз. 4-3203-8-1</v>
      </c>
      <c r="E102" s="22" t="str">
        <f>Source!H38</f>
        <v>100 м2</v>
      </c>
      <c r="F102" s="9">
        <f>Source!I38</f>
        <v>-0.75</v>
      </c>
      <c r="G102" s="24"/>
      <c r="H102" s="23"/>
      <c r="I102" s="9"/>
      <c r="J102" s="9"/>
      <c r="K102" s="25"/>
      <c r="L102" s="25"/>
      <c r="Q102">
        <f>ROUND((Source!BZ38/100)*ROUND((Source!AF38*Source!AV38)*Source!I38, 2), 2)</f>
        <v>-357.52</v>
      </c>
      <c r="R102">
        <f>Source!X38</f>
        <v>-357.52</v>
      </c>
      <c r="S102">
        <f>ROUND((Source!CA38/100)*ROUND((Source!AF38*Source!AV38)*Source!I38, 2), 2)</f>
        <v>-51.07</v>
      </c>
      <c r="T102">
        <f>Source!Y38</f>
        <v>-51.07</v>
      </c>
      <c r="U102">
        <f>ROUND((175/100)*ROUND((Source!AE38*Source!AV38)*Source!I38, 2), 2)</f>
        <v>0</v>
      </c>
      <c r="V102">
        <f>ROUND((108/100)*ROUND(Source!CS38*Source!I38, 2), 2)</f>
        <v>0</v>
      </c>
    </row>
    <row r="103" spans="1:22">
      <c r="D103" s="26" t="str">
        <f>"Объем: "&amp;Source!I38&amp;"=-"&amp;"75/"&amp;"100"</f>
        <v>Объем: -0,75=-75/100</v>
      </c>
    </row>
    <row r="104" spans="1:22" ht="14.25">
      <c r="A104" s="20"/>
      <c r="B104" s="20"/>
      <c r="C104" s="21"/>
      <c r="D104" s="21" t="s">
        <v>577</v>
      </c>
      <c r="E104" s="22"/>
      <c r="F104" s="9"/>
      <c r="G104" s="24">
        <f>Source!AO38</f>
        <v>1153.28</v>
      </c>
      <c r="H104" s="23" t="str">
        <f>Source!DG38</f>
        <v>*0,59047619</v>
      </c>
      <c r="I104" s="9">
        <f>Source!AV38</f>
        <v>1</v>
      </c>
      <c r="J104" s="9">
        <f>IF(Source!BA38&lt;&gt; 0, Source!BA38, 1)</f>
        <v>1</v>
      </c>
      <c r="K104" s="25">
        <f>Source!S38</f>
        <v>-510.74</v>
      </c>
      <c r="L104" s="25"/>
    </row>
    <row r="105" spans="1:22" ht="14.25">
      <c r="A105" s="20"/>
      <c r="B105" s="20"/>
      <c r="C105" s="21"/>
      <c r="D105" s="21" t="s">
        <v>586</v>
      </c>
      <c r="E105" s="22"/>
      <c r="F105" s="9"/>
      <c r="G105" s="24">
        <f>Source!AL38</f>
        <v>121.1</v>
      </c>
      <c r="H105" s="23" t="str">
        <f>Source!DD38</f>
        <v>*0,59047619</v>
      </c>
      <c r="I105" s="9">
        <f>Source!AW38</f>
        <v>1</v>
      </c>
      <c r="J105" s="9">
        <f>IF(Source!BC38&lt;&gt; 0, Source!BC38, 1)</f>
        <v>1</v>
      </c>
      <c r="K105" s="25">
        <f>Source!P38</f>
        <v>-53.63</v>
      </c>
      <c r="L105" s="25"/>
    </row>
    <row r="106" spans="1:22" ht="28.5">
      <c r="A106" s="20">
        <v>12</v>
      </c>
      <c r="B106" s="20" t="str">
        <f>Source!E39</f>
        <v>8,1</v>
      </c>
      <c r="C106" s="21" t="str">
        <f>Source!F39</f>
        <v>9763130000</v>
      </c>
      <c r="D106" s="21" t="str">
        <f>Source!G39</f>
        <v>Посадочный материал цветочных культур</v>
      </c>
      <c r="E106" s="22" t="str">
        <f>Source!H39</f>
        <v>шт.</v>
      </c>
      <c r="F106" s="9">
        <f>Source!I39</f>
        <v>-465</v>
      </c>
      <c r="G106" s="24">
        <f>Source!AK39</f>
        <v>0</v>
      </c>
      <c r="H106" s="32" t="s">
        <v>587</v>
      </c>
      <c r="I106" s="9">
        <f>Source!AW39</f>
        <v>1</v>
      </c>
      <c r="J106" s="9">
        <f>IF(Source!BC39&lt;&gt; 0, Source!BC39, 1)</f>
        <v>1</v>
      </c>
      <c r="K106" s="25">
        <f>Source!O39</f>
        <v>0</v>
      </c>
      <c r="L106" s="25"/>
      <c r="Q106">
        <f>ROUND((Source!BZ39/100)*ROUND((Source!AF39*Source!AV39)*Source!I39, 2), 2)</f>
        <v>0</v>
      </c>
      <c r="R106">
        <f>Source!X39</f>
        <v>0</v>
      </c>
      <c r="S106">
        <f>ROUND((Source!CA39/100)*ROUND((Source!AF39*Source!AV39)*Source!I39, 2), 2)</f>
        <v>0</v>
      </c>
      <c r="T106">
        <f>Source!Y39</f>
        <v>0</v>
      </c>
      <c r="U106">
        <f>ROUND((175/100)*ROUND((Source!AE39*Source!AV39)*Source!I39, 2), 2)</f>
        <v>0</v>
      </c>
      <c r="V106">
        <f>ROUND((108/100)*ROUND(Source!CS39*Source!I39, 2), 2)</f>
        <v>0</v>
      </c>
    </row>
    <row r="107" spans="1:22" ht="14.25">
      <c r="A107" s="20"/>
      <c r="B107" s="20"/>
      <c r="C107" s="21"/>
      <c r="D107" s="21" t="s">
        <v>580</v>
      </c>
      <c r="E107" s="22" t="s">
        <v>581</v>
      </c>
      <c r="F107" s="9">
        <f>Source!AT38</f>
        <v>70</v>
      </c>
      <c r="G107" s="24"/>
      <c r="H107" s="23"/>
      <c r="I107" s="9"/>
      <c r="J107" s="9"/>
      <c r="K107" s="25">
        <f>SUM(R102:R106)</f>
        <v>-357.52</v>
      </c>
      <c r="L107" s="25"/>
    </row>
    <row r="108" spans="1:22" ht="14.25">
      <c r="A108" s="20"/>
      <c r="B108" s="20"/>
      <c r="C108" s="21"/>
      <c r="D108" s="21" t="s">
        <v>582</v>
      </c>
      <c r="E108" s="22" t="s">
        <v>581</v>
      </c>
      <c r="F108" s="9">
        <f>Source!AU38</f>
        <v>10</v>
      </c>
      <c r="G108" s="24"/>
      <c r="H108" s="23"/>
      <c r="I108" s="9"/>
      <c r="J108" s="9"/>
      <c r="K108" s="25">
        <f>SUM(T102:T107)</f>
        <v>-51.07</v>
      </c>
      <c r="L108" s="25"/>
    </row>
    <row r="109" spans="1:22" ht="14.25">
      <c r="A109" s="20"/>
      <c r="B109" s="20"/>
      <c r="C109" s="21"/>
      <c r="D109" s="21" t="s">
        <v>584</v>
      </c>
      <c r="E109" s="22" t="s">
        <v>585</v>
      </c>
      <c r="F109" s="9">
        <f>Source!AQ38</f>
        <v>7.91</v>
      </c>
      <c r="G109" s="24"/>
      <c r="H109" s="23" t="str">
        <f>Source!DI38</f>
        <v>*0,59047619</v>
      </c>
      <c r="I109" s="9">
        <f>Source!AV38</f>
        <v>1</v>
      </c>
      <c r="J109" s="9"/>
      <c r="K109" s="25"/>
      <c r="L109" s="25">
        <f>Source!U38</f>
        <v>-3.5029999971749994</v>
      </c>
    </row>
    <row r="110" spans="1:22" ht="15">
      <c r="A110" s="30"/>
      <c r="B110" s="30"/>
      <c r="C110" s="30"/>
      <c r="D110" s="30"/>
      <c r="E110" s="30"/>
      <c r="F110" s="30"/>
      <c r="G110" s="30"/>
      <c r="H110" s="30"/>
      <c r="I110" s="30"/>
      <c r="J110" s="91">
        <f>K104+K105+K107+K108+SUM(K106:K106)</f>
        <v>-972.96</v>
      </c>
      <c r="K110" s="91"/>
      <c r="L110" s="31">
        <f>IF(Source!I38&lt;&gt;0, ROUND(J110/Source!I38, 2), 0)</f>
        <v>1297.28</v>
      </c>
      <c r="P110" s="28">
        <f>J110</f>
        <v>-972.96</v>
      </c>
    </row>
    <row r="112" spans="1:22" ht="15">
      <c r="A112" s="95" t="str">
        <f>CONCATENATE("Итого по разделу: ",IF(Source!G41&lt;&gt;"Новый раздел", Source!G41, ""))</f>
        <v>Итого по разделу: Устройство цветника - 75м2</v>
      </c>
      <c r="B112" s="95"/>
      <c r="C112" s="95"/>
      <c r="D112" s="95"/>
      <c r="E112" s="95"/>
      <c r="F112" s="95"/>
      <c r="G112" s="95"/>
      <c r="H112" s="95"/>
      <c r="I112" s="95"/>
      <c r="J112" s="93">
        <f>SUM(P40:P111)</f>
        <v>204644.56</v>
      </c>
      <c r="K112" s="94"/>
      <c r="L112" s="33"/>
    </row>
    <row r="114" spans="1:22" ht="14.25">
      <c r="D114" s="88" t="str">
        <f>Source!H69</f>
        <v>Итого</v>
      </c>
      <c r="E114" s="88"/>
      <c r="F114" s="88"/>
      <c r="G114" s="88"/>
      <c r="H114" s="88"/>
      <c r="I114" s="88"/>
      <c r="J114" s="92">
        <f>IF(Source!F69=0, "", Source!F69)</f>
        <v>204644.56</v>
      </c>
      <c r="K114" s="92"/>
    </row>
    <row r="115" spans="1:22" ht="14.25">
      <c r="D115" s="88" t="str">
        <f>Source!H70</f>
        <v>НДС 20%</v>
      </c>
      <c r="E115" s="88"/>
      <c r="F115" s="88"/>
      <c r="G115" s="88"/>
      <c r="H115" s="88"/>
      <c r="I115" s="88"/>
      <c r="J115" s="92">
        <f>IF(Source!F70=0, "", Source!F70)</f>
        <v>40928.910000000003</v>
      </c>
      <c r="K115" s="92"/>
    </row>
    <row r="116" spans="1:22" ht="14.25">
      <c r="D116" s="88" t="str">
        <f>Source!H71</f>
        <v>Всего с НДС</v>
      </c>
      <c r="E116" s="88"/>
      <c r="F116" s="88"/>
      <c r="G116" s="88"/>
      <c r="H116" s="88"/>
      <c r="I116" s="88"/>
      <c r="J116" s="92">
        <f>IF(Source!F71=0, "", Source!F71)</f>
        <v>245573.47</v>
      </c>
      <c r="K116" s="92"/>
    </row>
    <row r="118" spans="1:22" ht="16.5">
      <c r="A118" s="116" t="str">
        <f>CONCATENATE("Раздел: ",IF(Source!G73&lt;&gt;"Новый раздел", Source!G73, ""))</f>
        <v>Раздел: Посадка кустарников - 229шт.</v>
      </c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</row>
    <row r="119" spans="1:22" ht="85.5">
      <c r="A119" s="20">
        <v>13</v>
      </c>
      <c r="B119" s="20" t="str">
        <f>Source!E77</f>
        <v>9</v>
      </c>
      <c r="C119" s="21" t="str">
        <f>Source!F77</f>
        <v>5.4-3103-1-10/1</v>
      </c>
      <c r="D119" s="21" t="str">
        <f>Source!G77</f>
        <v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100%</v>
      </c>
      <c r="E119" s="22" t="str">
        <f>Source!H77</f>
        <v>10 ям</v>
      </c>
      <c r="F119" s="9">
        <f>Source!I77</f>
        <v>9.16</v>
      </c>
      <c r="G119" s="24"/>
      <c r="H119" s="23"/>
      <c r="I119" s="9"/>
      <c r="J119" s="9"/>
      <c r="K119" s="25"/>
      <c r="L119" s="25"/>
      <c r="Q119">
        <f>ROUND((Source!BZ77/100)*ROUND((Source!AF77*Source!AV77)*Source!I77, 2), 2)</f>
        <v>12046.22</v>
      </c>
      <c r="R119">
        <f>Source!X77</f>
        <v>12046.22</v>
      </c>
      <c r="S119">
        <f>ROUND((Source!CA77/100)*ROUND((Source!AF77*Source!AV77)*Source!I77, 2), 2)</f>
        <v>1720.89</v>
      </c>
      <c r="T119">
        <f>Source!Y77</f>
        <v>1720.89</v>
      </c>
      <c r="U119">
        <f>ROUND((175/100)*ROUND((Source!AE77*Source!AV77)*Source!I77, 2), 2)</f>
        <v>1494.33</v>
      </c>
      <c r="V119">
        <f>ROUND((108/100)*ROUND(Source!CS77*Source!I77, 2), 2)</f>
        <v>922.21</v>
      </c>
    </row>
    <row r="120" spans="1:22">
      <c r="D120" s="26" t="str">
        <f>"Объем: "&amp;Source!I77&amp;"=(229*"&amp;"0,4)/"&amp;"10"</f>
        <v>Объем: 9,16=(229*0,4)/10</v>
      </c>
    </row>
    <row r="121" spans="1:22" ht="14.25">
      <c r="A121" s="20"/>
      <c r="B121" s="20"/>
      <c r="C121" s="21"/>
      <c r="D121" s="21" t="s">
        <v>577</v>
      </c>
      <c r="E121" s="22"/>
      <c r="F121" s="9"/>
      <c r="G121" s="24">
        <f>Source!AO77</f>
        <v>1878.7</v>
      </c>
      <c r="H121" s="23" t="str">
        <f>Source!DG77</f>
        <v/>
      </c>
      <c r="I121" s="9">
        <f>Source!AV77</f>
        <v>1</v>
      </c>
      <c r="J121" s="9">
        <f>IF(Source!BA77&lt;&gt; 0, Source!BA77, 1)</f>
        <v>1</v>
      </c>
      <c r="K121" s="25">
        <f>Source!S77</f>
        <v>17208.89</v>
      </c>
      <c r="L121" s="25"/>
    </row>
    <row r="122" spans="1:22" ht="14.25">
      <c r="A122" s="20"/>
      <c r="B122" s="20"/>
      <c r="C122" s="21"/>
      <c r="D122" s="21" t="s">
        <v>578</v>
      </c>
      <c r="E122" s="22"/>
      <c r="F122" s="9"/>
      <c r="G122" s="24">
        <f>Source!AM77</f>
        <v>254.87</v>
      </c>
      <c r="H122" s="23" t="str">
        <f>Source!DE77</f>
        <v/>
      </c>
      <c r="I122" s="9">
        <f>Source!AV77</f>
        <v>1</v>
      </c>
      <c r="J122" s="9">
        <f>IF(Source!BB77&lt;&gt; 0, Source!BB77, 1)</f>
        <v>1</v>
      </c>
      <c r="K122" s="25">
        <f>Source!Q77</f>
        <v>2334.61</v>
      </c>
      <c r="L122" s="25"/>
    </row>
    <row r="123" spans="1:22" ht="14.25">
      <c r="A123" s="20"/>
      <c r="B123" s="20"/>
      <c r="C123" s="21"/>
      <c r="D123" s="21" t="s">
        <v>579</v>
      </c>
      <c r="E123" s="22"/>
      <c r="F123" s="9"/>
      <c r="G123" s="24">
        <f>Source!AN77</f>
        <v>93.22</v>
      </c>
      <c r="H123" s="23" t="str">
        <f>Source!DF77</f>
        <v/>
      </c>
      <c r="I123" s="9">
        <f>Source!AV77</f>
        <v>1</v>
      </c>
      <c r="J123" s="9">
        <f>IF(Source!BS77&lt;&gt; 0, Source!BS77, 1)</f>
        <v>1</v>
      </c>
      <c r="K123" s="27">
        <f>Source!R77</f>
        <v>853.9</v>
      </c>
      <c r="L123" s="25"/>
    </row>
    <row r="124" spans="1:22" ht="14.25">
      <c r="A124" s="20"/>
      <c r="B124" s="20"/>
      <c r="C124" s="21"/>
      <c r="D124" s="21" t="s">
        <v>586</v>
      </c>
      <c r="E124" s="22"/>
      <c r="F124" s="9"/>
      <c r="G124" s="24">
        <f>Source!AL77</f>
        <v>2074.5700000000002</v>
      </c>
      <c r="H124" s="23" t="str">
        <f>Source!DD77</f>
        <v/>
      </c>
      <c r="I124" s="9">
        <f>Source!AW77</f>
        <v>1</v>
      </c>
      <c r="J124" s="9">
        <f>IF(Source!BC77&lt;&gt; 0, Source!BC77, 1)</f>
        <v>1</v>
      </c>
      <c r="K124" s="25">
        <f>Source!P77</f>
        <v>19003.060000000001</v>
      </c>
      <c r="L124" s="25"/>
    </row>
    <row r="125" spans="1:22" ht="14.25">
      <c r="A125" s="20"/>
      <c r="B125" s="20"/>
      <c r="C125" s="21"/>
      <c r="D125" s="21" t="s">
        <v>580</v>
      </c>
      <c r="E125" s="22" t="s">
        <v>581</v>
      </c>
      <c r="F125" s="9">
        <f>Source!AT77</f>
        <v>70</v>
      </c>
      <c r="G125" s="24"/>
      <c r="H125" s="23"/>
      <c r="I125" s="9"/>
      <c r="J125" s="9"/>
      <c r="K125" s="25">
        <f>SUM(R119:R124)</f>
        <v>12046.22</v>
      </c>
      <c r="L125" s="25"/>
    </row>
    <row r="126" spans="1:22" ht="14.25">
      <c r="A126" s="20"/>
      <c r="B126" s="20"/>
      <c r="C126" s="21"/>
      <c r="D126" s="21" t="s">
        <v>582</v>
      </c>
      <c r="E126" s="22" t="s">
        <v>581</v>
      </c>
      <c r="F126" s="9">
        <f>Source!AU77</f>
        <v>10</v>
      </c>
      <c r="G126" s="24"/>
      <c r="H126" s="23"/>
      <c r="I126" s="9"/>
      <c r="J126" s="9"/>
      <c r="K126" s="25">
        <f>SUM(T119:T125)</f>
        <v>1720.89</v>
      </c>
      <c r="L126" s="25"/>
    </row>
    <row r="127" spans="1:22" ht="14.25">
      <c r="A127" s="20"/>
      <c r="B127" s="20"/>
      <c r="C127" s="21"/>
      <c r="D127" s="21" t="s">
        <v>583</v>
      </c>
      <c r="E127" s="22" t="s">
        <v>581</v>
      </c>
      <c r="F127" s="9">
        <f>108</f>
        <v>108</v>
      </c>
      <c r="G127" s="24"/>
      <c r="H127" s="23"/>
      <c r="I127" s="9"/>
      <c r="J127" s="9"/>
      <c r="K127" s="25">
        <f>SUM(V119:V126)</f>
        <v>922.21</v>
      </c>
      <c r="L127" s="25"/>
    </row>
    <row r="128" spans="1:22" ht="14.25">
      <c r="A128" s="20"/>
      <c r="B128" s="20"/>
      <c r="C128" s="21"/>
      <c r="D128" s="21" t="s">
        <v>584</v>
      </c>
      <c r="E128" s="22" t="s">
        <v>585</v>
      </c>
      <c r="F128" s="9">
        <f>Source!AQ77</f>
        <v>11.11</v>
      </c>
      <c r="G128" s="24"/>
      <c r="H128" s="23" t="str">
        <f>Source!DI77</f>
        <v/>
      </c>
      <c r="I128" s="9">
        <f>Source!AV77</f>
        <v>1</v>
      </c>
      <c r="J128" s="9"/>
      <c r="K128" s="25"/>
      <c r="L128" s="25">
        <f>Source!U77</f>
        <v>101.7676</v>
      </c>
    </row>
    <row r="129" spans="1:22" ht="15">
      <c r="A129" s="30"/>
      <c r="B129" s="30"/>
      <c r="C129" s="30"/>
      <c r="D129" s="30"/>
      <c r="E129" s="30"/>
      <c r="F129" s="30"/>
      <c r="G129" s="30"/>
      <c r="H129" s="30"/>
      <c r="I129" s="30"/>
      <c r="J129" s="91">
        <f>K121+K122+K124+K125+K126+K127</f>
        <v>53235.88</v>
      </c>
      <c r="K129" s="91"/>
      <c r="L129" s="31">
        <f>IF(Source!I77&lt;&gt;0, ROUND(J129/Source!I77, 2), 0)</f>
        <v>5811.78</v>
      </c>
      <c r="P129" s="28">
        <f>J129</f>
        <v>53235.88</v>
      </c>
    </row>
    <row r="130" spans="1:22" ht="57">
      <c r="A130" s="20">
        <v>14</v>
      </c>
      <c r="B130" s="20" t="str">
        <f>Source!E78</f>
        <v>10</v>
      </c>
      <c r="C130" s="21" t="str">
        <f>Source!F78</f>
        <v>5.4-3103-3-10/1</v>
      </c>
      <c r="D130" s="21" t="str">
        <f>Source!G78</f>
        <v>Подготовка стандартных посадочных мест вручную, с круглым комом земли размером 0,3х0,3 м с добавлением растительной земли до 100%</v>
      </c>
      <c r="E130" s="22" t="str">
        <f>Source!H78</f>
        <v>10 ям</v>
      </c>
      <c r="F130" s="9">
        <f>Source!I78</f>
        <v>13.74</v>
      </c>
      <c r="G130" s="24"/>
      <c r="H130" s="23"/>
      <c r="I130" s="9"/>
      <c r="J130" s="9"/>
      <c r="K130" s="25"/>
      <c r="L130" s="25"/>
      <c r="Q130">
        <f>ROUND((Source!BZ78/100)*ROUND((Source!AF78*Source!AV78)*Source!I78, 2), 2)</f>
        <v>29186.98</v>
      </c>
      <c r="R130">
        <f>Source!X78</f>
        <v>29186.98</v>
      </c>
      <c r="S130">
        <f>ROUND((Source!CA78/100)*ROUND((Source!AF78*Source!AV78)*Source!I78, 2), 2)</f>
        <v>4169.57</v>
      </c>
      <c r="T130">
        <f>Source!Y78</f>
        <v>4169.57</v>
      </c>
      <c r="U130">
        <f>ROUND((175/100)*ROUND((Source!AE78*Source!AV78)*Source!I78, 2), 2)</f>
        <v>0</v>
      </c>
      <c r="V130">
        <f>ROUND((108/100)*ROUND(Source!CS78*Source!I78, 2), 2)</f>
        <v>0</v>
      </c>
    </row>
    <row r="131" spans="1:22">
      <c r="D131" s="26" t="str">
        <f>"Объем: "&amp;Source!I78&amp;"=(229*"&amp;"0,6)/"&amp;"10"</f>
        <v>Объем: 13,74=(229*0,6)/10</v>
      </c>
    </row>
    <row r="132" spans="1:22" ht="14.25">
      <c r="A132" s="20"/>
      <c r="B132" s="20"/>
      <c r="C132" s="21"/>
      <c r="D132" s="21" t="s">
        <v>577</v>
      </c>
      <c r="E132" s="22"/>
      <c r="F132" s="9"/>
      <c r="G132" s="24">
        <f>Source!AO78</f>
        <v>3034.62</v>
      </c>
      <c r="H132" s="23" t="str">
        <f>Source!DG78</f>
        <v/>
      </c>
      <c r="I132" s="9">
        <f>Source!AV78</f>
        <v>1</v>
      </c>
      <c r="J132" s="9">
        <f>IF(Source!BA78&lt;&gt; 0, Source!BA78, 1)</f>
        <v>1</v>
      </c>
      <c r="K132" s="25">
        <f>Source!S78</f>
        <v>41695.68</v>
      </c>
      <c r="L132" s="25"/>
    </row>
    <row r="133" spans="1:22" ht="14.25">
      <c r="A133" s="20"/>
      <c r="B133" s="20"/>
      <c r="C133" s="21"/>
      <c r="D133" s="21" t="s">
        <v>586</v>
      </c>
      <c r="E133" s="22"/>
      <c r="F133" s="9"/>
      <c r="G133" s="24">
        <f>Source!AL78</f>
        <v>2074.5700000000002</v>
      </c>
      <c r="H133" s="23" t="str">
        <f>Source!DD78</f>
        <v/>
      </c>
      <c r="I133" s="9">
        <f>Source!AW78</f>
        <v>1</v>
      </c>
      <c r="J133" s="9">
        <f>IF(Source!BC78&lt;&gt; 0, Source!BC78, 1)</f>
        <v>1</v>
      </c>
      <c r="K133" s="25">
        <f>Source!P78</f>
        <v>28504.59</v>
      </c>
      <c r="L133" s="25"/>
    </row>
    <row r="134" spans="1:22" ht="14.25">
      <c r="A134" s="20"/>
      <c r="B134" s="20"/>
      <c r="C134" s="21"/>
      <c r="D134" s="21" t="s">
        <v>580</v>
      </c>
      <c r="E134" s="22" t="s">
        <v>581</v>
      </c>
      <c r="F134" s="9">
        <f>Source!AT78</f>
        <v>70</v>
      </c>
      <c r="G134" s="24"/>
      <c r="H134" s="23"/>
      <c r="I134" s="9"/>
      <c r="J134" s="9"/>
      <c r="K134" s="25">
        <f>SUM(R130:R133)</f>
        <v>29186.98</v>
      </c>
      <c r="L134" s="25"/>
    </row>
    <row r="135" spans="1:22" ht="14.25">
      <c r="A135" s="20"/>
      <c r="B135" s="20"/>
      <c r="C135" s="21"/>
      <c r="D135" s="21" t="s">
        <v>582</v>
      </c>
      <c r="E135" s="22" t="s">
        <v>581</v>
      </c>
      <c r="F135" s="9">
        <f>Source!AU78</f>
        <v>10</v>
      </c>
      <c r="G135" s="24"/>
      <c r="H135" s="23"/>
      <c r="I135" s="9"/>
      <c r="J135" s="9"/>
      <c r="K135" s="25">
        <f>SUM(T130:T134)</f>
        <v>4169.57</v>
      </c>
      <c r="L135" s="25"/>
    </row>
    <row r="136" spans="1:22" ht="14.25">
      <c r="A136" s="20"/>
      <c r="B136" s="20"/>
      <c r="C136" s="21"/>
      <c r="D136" s="21" t="s">
        <v>584</v>
      </c>
      <c r="E136" s="22" t="s">
        <v>585</v>
      </c>
      <c r="F136" s="9">
        <f>Source!AQ78</f>
        <v>16.79</v>
      </c>
      <c r="G136" s="24"/>
      <c r="H136" s="23" t="str">
        <f>Source!DI78</f>
        <v/>
      </c>
      <c r="I136" s="9">
        <f>Source!AV78</f>
        <v>1</v>
      </c>
      <c r="J136" s="9"/>
      <c r="K136" s="25"/>
      <c r="L136" s="25">
        <f>Source!U78</f>
        <v>230.69459999999998</v>
      </c>
    </row>
    <row r="137" spans="1:22" ht="15">
      <c r="A137" s="30"/>
      <c r="B137" s="30"/>
      <c r="C137" s="30"/>
      <c r="D137" s="30"/>
      <c r="E137" s="30"/>
      <c r="F137" s="30"/>
      <c r="G137" s="30"/>
      <c r="H137" s="30"/>
      <c r="I137" s="30"/>
      <c r="J137" s="91">
        <f>K132+K133+K134+K135</f>
        <v>103556.82</v>
      </c>
      <c r="K137" s="91"/>
      <c r="L137" s="31">
        <f>IF(Source!I78&lt;&gt;0, ROUND(J137/Source!I78, 2), 0)</f>
        <v>7536.89</v>
      </c>
      <c r="P137" s="28">
        <f>J137</f>
        <v>103556.82</v>
      </c>
    </row>
    <row r="138" spans="1:22" ht="142.5">
      <c r="A138" s="20">
        <v>15</v>
      </c>
      <c r="B138" s="20" t="str">
        <f>Source!E79</f>
        <v>11</v>
      </c>
      <c r="C138" s="21" t="str">
        <f>Source!F79</f>
        <v>5.4-3503-1-1/1</v>
      </c>
      <c r="D138" s="21" t="str">
        <f>Source!G79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табл.1 - 0,28м3 * 229кустов =64,12м3 - при слое 20 см покрываемая площадь 64,12м3/0,2м х 0,75)</v>
      </c>
      <c r="E138" s="22" t="str">
        <f>Source!H79</f>
        <v>100 м2</v>
      </c>
      <c r="F138" s="9">
        <f>Source!I79</f>
        <v>2.4045000000000001</v>
      </c>
      <c r="G138" s="24"/>
      <c r="H138" s="23"/>
      <c r="I138" s="9"/>
      <c r="J138" s="9"/>
      <c r="K138" s="25"/>
      <c r="L138" s="25"/>
      <c r="Q138">
        <f>ROUND((Source!BZ79/100)*ROUND((Source!AF79*Source!AV79)*Source!I79, 2), 2)</f>
        <v>0</v>
      </c>
      <c r="R138">
        <f>Source!X79</f>
        <v>0</v>
      </c>
      <c r="S138">
        <f>ROUND((Source!CA79/100)*ROUND((Source!AF79*Source!AV79)*Source!I79, 2), 2)</f>
        <v>0</v>
      </c>
      <c r="T138">
        <f>Source!Y79</f>
        <v>0</v>
      </c>
      <c r="U138">
        <f>ROUND((175/100)*ROUND((Source!AE79*Source!AV79)*Source!I79, 2), 2)</f>
        <v>468.88</v>
      </c>
      <c r="V138">
        <f>ROUND((108/100)*ROUND(Source!CS79*Source!I79, 2), 2)</f>
        <v>289.36</v>
      </c>
    </row>
    <row r="139" spans="1:22">
      <c r="D139" s="26" t="str">
        <f>"Объем: "&amp;Source!I79&amp;"=240,45/"&amp;"100"</f>
        <v>Объем: 2,4045=240,45/100</v>
      </c>
    </row>
    <row r="140" spans="1:22" ht="14.25">
      <c r="A140" s="20"/>
      <c r="B140" s="20"/>
      <c r="C140" s="21"/>
      <c r="D140" s="21" t="s">
        <v>578</v>
      </c>
      <c r="E140" s="22"/>
      <c r="F140" s="9"/>
      <c r="G140" s="24">
        <f>Source!AM79</f>
        <v>296.60000000000002</v>
      </c>
      <c r="H140" s="23" t="str">
        <f>Source!DE79</f>
        <v/>
      </c>
      <c r="I140" s="9">
        <f>Source!AV79</f>
        <v>1</v>
      </c>
      <c r="J140" s="9">
        <f>IF(Source!BB79&lt;&gt; 0, Source!BB79, 1)</f>
        <v>1</v>
      </c>
      <c r="K140" s="25">
        <f>Source!Q79</f>
        <v>713.17</v>
      </c>
      <c r="L140" s="25"/>
    </row>
    <row r="141" spans="1:22" ht="14.25">
      <c r="A141" s="20"/>
      <c r="B141" s="20"/>
      <c r="C141" s="21"/>
      <c r="D141" s="21" t="s">
        <v>579</v>
      </c>
      <c r="E141" s="22"/>
      <c r="F141" s="9"/>
      <c r="G141" s="24">
        <f>Source!AN79</f>
        <v>111.43</v>
      </c>
      <c r="H141" s="23" t="str">
        <f>Source!DF79</f>
        <v/>
      </c>
      <c r="I141" s="9">
        <f>Source!AV79</f>
        <v>1</v>
      </c>
      <c r="J141" s="9">
        <f>IF(Source!BS79&lt;&gt; 0, Source!BS79, 1)</f>
        <v>1</v>
      </c>
      <c r="K141" s="27">
        <f>Source!R79</f>
        <v>267.93</v>
      </c>
      <c r="L141" s="25"/>
    </row>
    <row r="142" spans="1:22" ht="14.25">
      <c r="A142" s="20"/>
      <c r="B142" s="20"/>
      <c r="C142" s="21"/>
      <c r="D142" s="21" t="s">
        <v>583</v>
      </c>
      <c r="E142" s="22" t="s">
        <v>581</v>
      </c>
      <c r="F142" s="9">
        <f>108</f>
        <v>108</v>
      </c>
      <c r="G142" s="24"/>
      <c r="H142" s="23"/>
      <c r="I142" s="9"/>
      <c r="J142" s="9"/>
      <c r="K142" s="25">
        <f>SUM(V138:V141)</f>
        <v>289.36</v>
      </c>
      <c r="L142" s="25"/>
    </row>
    <row r="143" spans="1:22" ht="15">
      <c r="A143" s="30"/>
      <c r="B143" s="30"/>
      <c r="C143" s="30"/>
      <c r="D143" s="30"/>
      <c r="E143" s="30"/>
      <c r="F143" s="30"/>
      <c r="G143" s="30"/>
      <c r="H143" s="30"/>
      <c r="I143" s="30"/>
      <c r="J143" s="91">
        <f>K140+K142</f>
        <v>1002.53</v>
      </c>
      <c r="K143" s="91"/>
      <c r="L143" s="31">
        <f>IF(Source!I79&lt;&gt;0, ROUND(J143/Source!I79, 2), 0)</f>
        <v>416.94</v>
      </c>
      <c r="P143" s="28">
        <f>J143</f>
        <v>1002.53</v>
      </c>
    </row>
    <row r="144" spans="1:22" ht="99.75">
      <c r="A144" s="20">
        <v>16</v>
      </c>
      <c r="B144" s="20" t="str">
        <f>Source!E80</f>
        <v>12</v>
      </c>
      <c r="C144" s="21" t="str">
        <f>Source!F80</f>
        <v>5.4-3503-1-2/1</v>
      </c>
      <c r="D144" s="21" t="str">
        <f>Source!G80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64,12м3/0,2м х 0,25)</v>
      </c>
      <c r="E144" s="22" t="str">
        <f>Source!H80</f>
        <v>100 м2</v>
      </c>
      <c r="F144" s="9">
        <f>Source!I80</f>
        <v>0.80149999999999999</v>
      </c>
      <c r="G144" s="24"/>
      <c r="H144" s="23"/>
      <c r="I144" s="9"/>
      <c r="J144" s="9"/>
      <c r="K144" s="25"/>
      <c r="L144" s="25"/>
      <c r="Q144">
        <f>ROUND((Source!BZ80/100)*ROUND((Source!AF80*Source!AV80)*Source!I80, 2), 2)</f>
        <v>1189.47</v>
      </c>
      <c r="R144">
        <f>Source!X80</f>
        <v>1189.47</v>
      </c>
      <c r="S144">
        <f>ROUND((Source!CA80/100)*ROUND((Source!AF80*Source!AV80)*Source!I80, 2), 2)</f>
        <v>169.92</v>
      </c>
      <c r="T144">
        <f>Source!Y80</f>
        <v>169.92</v>
      </c>
      <c r="U144">
        <f>ROUND((175/100)*ROUND((Source!AE80*Source!AV80)*Source!I80, 2), 2)</f>
        <v>0</v>
      </c>
      <c r="V144">
        <f>ROUND((108/100)*ROUND(Source!CS80*Source!I80, 2), 2)</f>
        <v>0</v>
      </c>
    </row>
    <row r="145" spans="1:22">
      <c r="D145" s="26" t="str">
        <f>"Объем: "&amp;Source!I80&amp;"=80,15/"&amp;"100"</f>
        <v>Объем: 0,8015=80,15/100</v>
      </c>
    </row>
    <row r="146" spans="1:22" ht="14.25">
      <c r="A146" s="20"/>
      <c r="B146" s="20"/>
      <c r="C146" s="21"/>
      <c r="D146" s="21" t="s">
        <v>577</v>
      </c>
      <c r="E146" s="22"/>
      <c r="F146" s="9"/>
      <c r="G146" s="24">
        <f>Source!AO80</f>
        <v>2120.08</v>
      </c>
      <c r="H146" s="23" t="str">
        <f>Source!DG80</f>
        <v/>
      </c>
      <c r="I146" s="9">
        <f>Source!AV80</f>
        <v>1</v>
      </c>
      <c r="J146" s="9">
        <f>IF(Source!BA80&lt;&gt; 0, Source!BA80, 1)</f>
        <v>1</v>
      </c>
      <c r="K146" s="25">
        <f>Source!S80</f>
        <v>1699.24</v>
      </c>
      <c r="L146" s="25"/>
    </row>
    <row r="147" spans="1:22" ht="14.25">
      <c r="A147" s="20"/>
      <c r="B147" s="20"/>
      <c r="C147" s="21"/>
      <c r="D147" s="21" t="s">
        <v>580</v>
      </c>
      <c r="E147" s="22" t="s">
        <v>581</v>
      </c>
      <c r="F147" s="9">
        <f>Source!AT80</f>
        <v>70</v>
      </c>
      <c r="G147" s="24"/>
      <c r="H147" s="23"/>
      <c r="I147" s="9"/>
      <c r="J147" s="9"/>
      <c r="K147" s="25">
        <f>SUM(R144:R146)</f>
        <v>1189.47</v>
      </c>
      <c r="L147" s="25"/>
    </row>
    <row r="148" spans="1:22" ht="14.25">
      <c r="A148" s="20"/>
      <c r="B148" s="20"/>
      <c r="C148" s="21"/>
      <c r="D148" s="21" t="s">
        <v>582</v>
      </c>
      <c r="E148" s="22" t="s">
        <v>581</v>
      </c>
      <c r="F148" s="9">
        <f>Source!AU80</f>
        <v>10</v>
      </c>
      <c r="G148" s="24"/>
      <c r="H148" s="23"/>
      <c r="I148" s="9"/>
      <c r="J148" s="9"/>
      <c r="K148" s="25">
        <f>SUM(T144:T147)</f>
        <v>169.92</v>
      </c>
      <c r="L148" s="25"/>
    </row>
    <row r="149" spans="1:22" ht="14.25">
      <c r="A149" s="20"/>
      <c r="B149" s="20"/>
      <c r="C149" s="21"/>
      <c r="D149" s="21" t="s">
        <v>584</v>
      </c>
      <c r="E149" s="22" t="s">
        <v>585</v>
      </c>
      <c r="F149" s="9">
        <f>Source!AQ80</f>
        <v>11.73</v>
      </c>
      <c r="G149" s="24"/>
      <c r="H149" s="23" t="str">
        <f>Source!DI80</f>
        <v/>
      </c>
      <c r="I149" s="9">
        <f>Source!AV80</f>
        <v>1</v>
      </c>
      <c r="J149" s="9"/>
      <c r="K149" s="25"/>
      <c r="L149" s="25">
        <f>Source!U80</f>
        <v>9.4015950000000004</v>
      </c>
    </row>
    <row r="150" spans="1:22" ht="15">
      <c r="A150" s="30"/>
      <c r="B150" s="30"/>
      <c r="C150" s="30"/>
      <c r="D150" s="30"/>
      <c r="E150" s="30"/>
      <c r="F150" s="30"/>
      <c r="G150" s="30"/>
      <c r="H150" s="30"/>
      <c r="I150" s="30"/>
      <c r="J150" s="91">
        <f>K146+K147+K148</f>
        <v>3058.63</v>
      </c>
      <c r="K150" s="91"/>
      <c r="L150" s="31">
        <f>IF(Source!I80&lt;&gt;0, ROUND(J150/Source!I80, 2), 0)</f>
        <v>3816.13</v>
      </c>
      <c r="P150" s="28">
        <f>J150</f>
        <v>3058.63</v>
      </c>
    </row>
    <row r="151" spans="1:22" ht="57">
      <c r="A151" s="20">
        <v>17</v>
      </c>
      <c r="B151" s="20" t="str">
        <f>Source!E81</f>
        <v>13</v>
      </c>
      <c r="C151" s="21" t="str">
        <f>Source!F81</f>
        <v>5.4-3103-6-2/1</v>
      </c>
      <c r="D151" s="21" t="str">
        <f>Source!G81</f>
        <v>Посадка деревьев и кустарников с комом земли, диаметром 0,3 м и высотой 0,3 м (без стоимости деревьев и кустарников)</v>
      </c>
      <c r="E151" s="22" t="str">
        <f>Source!H81</f>
        <v>10 шт.</v>
      </c>
      <c r="F151" s="9">
        <f>Source!I81</f>
        <v>22.9</v>
      </c>
      <c r="G151" s="24"/>
      <c r="H151" s="23"/>
      <c r="I151" s="9"/>
      <c r="J151" s="9"/>
      <c r="K151" s="25"/>
      <c r="L151" s="25"/>
      <c r="Q151">
        <f>ROUND((Source!BZ81/100)*ROUND((Source!AF81*Source!AV81)*Source!I81, 2), 2)</f>
        <v>27452.66</v>
      </c>
      <c r="R151">
        <f>Source!X81</f>
        <v>27452.66</v>
      </c>
      <c r="S151">
        <f>ROUND((Source!CA81/100)*ROUND((Source!AF81*Source!AV81)*Source!I81, 2), 2)</f>
        <v>3921.81</v>
      </c>
      <c r="T151">
        <f>Source!Y81</f>
        <v>3921.81</v>
      </c>
      <c r="U151">
        <f>ROUND((175/100)*ROUND((Source!AE81*Source!AV81)*Source!I81, 2), 2)</f>
        <v>5880.61</v>
      </c>
      <c r="V151">
        <f>ROUND((108/100)*ROUND(Source!CS81*Source!I81, 2), 2)</f>
        <v>3629.18</v>
      </c>
    </row>
    <row r="152" spans="1:22">
      <c r="D152" s="26" t="str">
        <f>"Объем: "&amp;Source!I81&amp;"=229/"&amp;"10"</f>
        <v>Объем: 22,9=229/10</v>
      </c>
    </row>
    <row r="153" spans="1:22" ht="14.25">
      <c r="A153" s="20"/>
      <c r="B153" s="20"/>
      <c r="C153" s="21"/>
      <c r="D153" s="21" t="s">
        <v>577</v>
      </c>
      <c r="E153" s="22"/>
      <c r="F153" s="9"/>
      <c r="G153" s="24">
        <f>Source!AO81</f>
        <v>1712.58</v>
      </c>
      <c r="H153" s="23" t="str">
        <f>Source!DG81</f>
        <v/>
      </c>
      <c r="I153" s="9">
        <f>Source!AV81</f>
        <v>1</v>
      </c>
      <c r="J153" s="9">
        <f>IF(Source!BA81&lt;&gt; 0, Source!BA81, 1)</f>
        <v>1</v>
      </c>
      <c r="K153" s="25">
        <f>Source!S81</f>
        <v>39218.080000000002</v>
      </c>
      <c r="L153" s="25"/>
    </row>
    <row r="154" spans="1:22" ht="14.25">
      <c r="A154" s="20"/>
      <c r="B154" s="20"/>
      <c r="C154" s="21"/>
      <c r="D154" s="21" t="s">
        <v>578</v>
      </c>
      <c r="E154" s="22"/>
      <c r="F154" s="9"/>
      <c r="G154" s="24">
        <f>Source!AM81</f>
        <v>646.59</v>
      </c>
      <c r="H154" s="23" t="str">
        <f>Source!DE81</f>
        <v/>
      </c>
      <c r="I154" s="9">
        <f>Source!AV81</f>
        <v>1</v>
      </c>
      <c r="J154" s="9">
        <f>IF(Source!BB81&lt;&gt; 0, Source!BB81, 1)</f>
        <v>1</v>
      </c>
      <c r="K154" s="25">
        <f>Source!Q81</f>
        <v>14806.91</v>
      </c>
      <c r="L154" s="25"/>
    </row>
    <row r="155" spans="1:22" ht="14.25">
      <c r="A155" s="20"/>
      <c r="B155" s="20"/>
      <c r="C155" s="21"/>
      <c r="D155" s="21" t="s">
        <v>579</v>
      </c>
      <c r="E155" s="22"/>
      <c r="F155" s="9"/>
      <c r="G155" s="24">
        <f>Source!AN81</f>
        <v>146.74</v>
      </c>
      <c r="H155" s="23" t="str">
        <f>Source!DF81</f>
        <v/>
      </c>
      <c r="I155" s="9">
        <f>Source!AV81</f>
        <v>1</v>
      </c>
      <c r="J155" s="9">
        <f>IF(Source!BS81&lt;&gt; 0, Source!BS81, 1)</f>
        <v>1</v>
      </c>
      <c r="K155" s="27">
        <f>Source!R81</f>
        <v>3360.35</v>
      </c>
      <c r="L155" s="25"/>
    </row>
    <row r="156" spans="1:22" ht="14.25">
      <c r="A156" s="20"/>
      <c r="B156" s="20"/>
      <c r="C156" s="21"/>
      <c r="D156" s="21" t="s">
        <v>586</v>
      </c>
      <c r="E156" s="22"/>
      <c r="F156" s="9"/>
      <c r="G156" s="24">
        <f>Source!AL81</f>
        <v>37.72</v>
      </c>
      <c r="H156" s="23" t="str">
        <f>Source!DD81</f>
        <v/>
      </c>
      <c r="I156" s="9">
        <f>Source!AW81</f>
        <v>1</v>
      </c>
      <c r="J156" s="9">
        <f>IF(Source!BC81&lt;&gt; 0, Source!BC81, 1)</f>
        <v>1</v>
      </c>
      <c r="K156" s="25">
        <f>Source!P81</f>
        <v>863.79</v>
      </c>
      <c r="L156" s="25"/>
    </row>
    <row r="157" spans="1:22" ht="57">
      <c r="A157" s="20">
        <v>18</v>
      </c>
      <c r="B157" s="20" t="str">
        <f>Source!E82</f>
        <v>13,1</v>
      </c>
      <c r="C157" s="21" t="str">
        <f>Source!F82</f>
        <v>21.4-2-22</v>
      </c>
      <c r="D157" s="21" t="str">
        <f>Source!G82</f>
        <v>Кустарники декоративные с закрытой корневой системой: гортензия древовидная, С10 ( ком земли 0,3м * 0,3м)</v>
      </c>
      <c r="E157" s="22" t="str">
        <f>Source!H82</f>
        <v>шт.</v>
      </c>
      <c r="F157" s="9">
        <f>Source!I82</f>
        <v>20</v>
      </c>
      <c r="G157" s="24">
        <f>Source!AK82</f>
        <v>1409.36</v>
      </c>
      <c r="H157" s="32" t="s">
        <v>3</v>
      </c>
      <c r="I157" s="9">
        <f>Source!AW82</f>
        <v>1</v>
      </c>
      <c r="J157" s="9">
        <f>IF(Source!BC82&lt;&gt; 0, Source!BC82, 1)</f>
        <v>1</v>
      </c>
      <c r="K157" s="25">
        <f>Source!O82</f>
        <v>28187.200000000001</v>
      </c>
      <c r="L157" s="25"/>
      <c r="Q157">
        <f>ROUND((Source!BZ82/100)*ROUND((Source!AF82*Source!AV82)*Source!I82, 2), 2)</f>
        <v>0</v>
      </c>
      <c r="R157">
        <f>Source!X82</f>
        <v>0</v>
      </c>
      <c r="S157">
        <f>ROUND((Source!CA82/100)*ROUND((Source!AF82*Source!AV82)*Source!I82, 2), 2)</f>
        <v>0</v>
      </c>
      <c r="T157">
        <f>Source!Y82</f>
        <v>0</v>
      </c>
      <c r="U157">
        <f>ROUND((175/100)*ROUND((Source!AE82*Source!AV82)*Source!I82, 2), 2)</f>
        <v>0</v>
      </c>
      <c r="V157">
        <f>ROUND((108/100)*ROUND(Source!CS82*Source!I82, 2), 2)</f>
        <v>0</v>
      </c>
    </row>
    <row r="158" spans="1:22" ht="57">
      <c r="A158" s="20">
        <v>19</v>
      </c>
      <c r="B158" s="20" t="str">
        <f>Source!E83</f>
        <v>13,2</v>
      </c>
      <c r="C158" s="21" t="str">
        <f>Source!F83</f>
        <v>коммерческое предложение</v>
      </c>
      <c r="D158" s="21" t="str">
        <f>Source!G83</f>
        <v>Кустарники декоративные с комом земли: Бересклет крылатый, высота 0,3 м, диаметр 0,3 м</v>
      </c>
      <c r="E158" s="22" t="str">
        <f>Source!H83</f>
        <v>шт.</v>
      </c>
      <c r="F158" s="9">
        <f>Source!I83</f>
        <v>2</v>
      </c>
      <c r="G158" s="24">
        <f>Source!AK83</f>
        <v>875</v>
      </c>
      <c r="H158" s="32" t="s">
        <v>3</v>
      </c>
      <c r="I158" s="9">
        <f>Source!AW83</f>
        <v>1</v>
      </c>
      <c r="J158" s="9">
        <f>IF(Source!BC83&lt;&gt; 0, Source!BC83, 1)</f>
        <v>1</v>
      </c>
      <c r="K158" s="25">
        <f>Source!O83</f>
        <v>1750</v>
      </c>
      <c r="L158" s="25"/>
      <c r="Q158">
        <f>ROUND((Source!BZ83/100)*ROUND((Source!AF83*Source!AV83)*Source!I83, 2), 2)</f>
        <v>0</v>
      </c>
      <c r="R158">
        <f>Source!X83</f>
        <v>0</v>
      </c>
      <c r="S158">
        <f>ROUND((Source!CA83/100)*ROUND((Source!AF83*Source!AV83)*Source!I83, 2), 2)</f>
        <v>0</v>
      </c>
      <c r="T158">
        <f>Source!Y83</f>
        <v>0</v>
      </c>
      <c r="U158">
        <f>ROUND((175/100)*ROUND((Source!AE83*Source!AV83)*Source!I83, 2), 2)</f>
        <v>0</v>
      </c>
      <c r="V158">
        <f>ROUND((108/100)*ROUND(Source!CS83*Source!I83, 2), 2)</f>
        <v>0</v>
      </c>
    </row>
    <row r="159" spans="1:22" ht="57">
      <c r="A159" s="20">
        <v>20</v>
      </c>
      <c r="B159" s="20" t="str">
        <f>Source!E84</f>
        <v>13,3</v>
      </c>
      <c r="C159" s="21" t="str">
        <f>Source!F84</f>
        <v>коммерческое предложение</v>
      </c>
      <c r="D159" s="21" t="str">
        <f>Source!G84</f>
        <v>Кустарники декоративные с комом земли: Пузыреплодник, высота 0,3 м, диаметр 0,3 м</v>
      </c>
      <c r="E159" s="22" t="str">
        <f>Source!H84</f>
        <v>шт.</v>
      </c>
      <c r="F159" s="9">
        <f>Source!I84</f>
        <v>180</v>
      </c>
      <c r="G159" s="24">
        <f>Source!AK84</f>
        <v>758.33</v>
      </c>
      <c r="H159" s="32" t="s">
        <v>3</v>
      </c>
      <c r="I159" s="9">
        <f>Source!AW84</f>
        <v>1</v>
      </c>
      <c r="J159" s="9">
        <f>IF(Source!BC84&lt;&gt; 0, Source!BC84, 1)</f>
        <v>1</v>
      </c>
      <c r="K159" s="25">
        <f>Source!O84</f>
        <v>136499.4</v>
      </c>
      <c r="L159" s="25"/>
      <c r="Q159">
        <f>ROUND((Source!BZ84/100)*ROUND((Source!AF84*Source!AV84)*Source!I84, 2), 2)</f>
        <v>0</v>
      </c>
      <c r="R159">
        <f>Source!X84</f>
        <v>0</v>
      </c>
      <c r="S159">
        <f>ROUND((Source!CA84/100)*ROUND((Source!AF84*Source!AV84)*Source!I84, 2), 2)</f>
        <v>0</v>
      </c>
      <c r="T159">
        <f>Source!Y84</f>
        <v>0</v>
      </c>
      <c r="U159">
        <f>ROUND((175/100)*ROUND((Source!AE84*Source!AV84)*Source!I84, 2), 2)</f>
        <v>0</v>
      </c>
      <c r="V159">
        <f>ROUND((108/100)*ROUND(Source!CS84*Source!I84, 2), 2)</f>
        <v>0</v>
      </c>
    </row>
    <row r="160" spans="1:22" ht="57">
      <c r="A160" s="20">
        <v>21</v>
      </c>
      <c r="B160" s="20" t="str">
        <f>Source!E85</f>
        <v>13,4</v>
      </c>
      <c r="C160" s="21" t="str">
        <f>Source!F85</f>
        <v>коммерческое предложение</v>
      </c>
      <c r="D160" s="21" t="str">
        <f>Source!G85</f>
        <v>Кустарники декоративные с комом земли: Барбарис, высота 0,3 м, диаметр 0,3 м</v>
      </c>
      <c r="E160" s="22" t="str">
        <f>Source!H85</f>
        <v>шт.</v>
      </c>
      <c r="F160" s="9">
        <f>Source!I85</f>
        <v>22</v>
      </c>
      <c r="G160" s="24">
        <f>Source!AK85</f>
        <v>741.67</v>
      </c>
      <c r="H160" s="32" t="s">
        <v>3</v>
      </c>
      <c r="I160" s="9">
        <f>Source!AW85</f>
        <v>1</v>
      </c>
      <c r="J160" s="9">
        <f>IF(Source!BC85&lt;&gt; 0, Source!BC85, 1)</f>
        <v>1</v>
      </c>
      <c r="K160" s="25">
        <f>Source!O85</f>
        <v>16316.74</v>
      </c>
      <c r="L160" s="25"/>
      <c r="Q160">
        <f>ROUND((Source!BZ85/100)*ROUND((Source!AF85*Source!AV85)*Source!I85, 2), 2)</f>
        <v>0</v>
      </c>
      <c r="R160">
        <f>Source!X85</f>
        <v>0</v>
      </c>
      <c r="S160">
        <f>ROUND((Source!CA85/100)*ROUND((Source!AF85*Source!AV85)*Source!I85, 2), 2)</f>
        <v>0</v>
      </c>
      <c r="T160">
        <f>Source!Y85</f>
        <v>0</v>
      </c>
      <c r="U160">
        <f>ROUND((175/100)*ROUND((Source!AE85*Source!AV85)*Source!I85, 2), 2)</f>
        <v>0</v>
      </c>
      <c r="V160">
        <f>ROUND((108/100)*ROUND(Source!CS85*Source!I85, 2), 2)</f>
        <v>0</v>
      </c>
    </row>
    <row r="161" spans="1:22" ht="57">
      <c r="A161" s="20">
        <v>22</v>
      </c>
      <c r="B161" s="20" t="str">
        <f>Source!E86</f>
        <v>13,5</v>
      </c>
      <c r="C161" s="21" t="str">
        <f>Source!F86</f>
        <v>коммерческое предложение</v>
      </c>
      <c r="D161" s="21" t="str">
        <f>Source!G86</f>
        <v>Кустарники декоративные с комом земли: Можжевельник Олд Голд, высота 0,3 м, диаметр 0,3 м</v>
      </c>
      <c r="E161" s="22" t="str">
        <f>Source!H86</f>
        <v>шт.</v>
      </c>
      <c r="F161" s="9">
        <f>Source!I86</f>
        <v>2</v>
      </c>
      <c r="G161" s="24">
        <f>Source!AK86</f>
        <v>1358.33</v>
      </c>
      <c r="H161" s="32" t="s">
        <v>3</v>
      </c>
      <c r="I161" s="9">
        <f>Source!AW86</f>
        <v>1</v>
      </c>
      <c r="J161" s="9">
        <f>IF(Source!BC86&lt;&gt; 0, Source!BC86, 1)</f>
        <v>1</v>
      </c>
      <c r="K161" s="25">
        <f>Source!O86</f>
        <v>2716.66</v>
      </c>
      <c r="L161" s="25"/>
      <c r="Q161">
        <f>ROUND((Source!BZ86/100)*ROUND((Source!AF86*Source!AV86)*Source!I86, 2), 2)</f>
        <v>0</v>
      </c>
      <c r="R161">
        <f>Source!X86</f>
        <v>0</v>
      </c>
      <c r="S161">
        <f>ROUND((Source!CA86/100)*ROUND((Source!AF86*Source!AV86)*Source!I86, 2), 2)</f>
        <v>0</v>
      </c>
      <c r="T161">
        <f>Source!Y86</f>
        <v>0</v>
      </c>
      <c r="U161">
        <f>ROUND((175/100)*ROUND((Source!AE86*Source!AV86)*Source!I86, 2), 2)</f>
        <v>0</v>
      </c>
      <c r="V161">
        <f>ROUND((108/100)*ROUND(Source!CS86*Source!I86, 2), 2)</f>
        <v>0</v>
      </c>
    </row>
    <row r="162" spans="1:22" ht="57">
      <c r="A162" s="20">
        <v>23</v>
      </c>
      <c r="B162" s="20" t="str">
        <f>Source!E87</f>
        <v>13,6</v>
      </c>
      <c r="C162" s="21" t="str">
        <f>Source!F87</f>
        <v>коммерческое предложение</v>
      </c>
      <c r="D162" s="21" t="str">
        <f>Source!G87</f>
        <v>Кустарники декоративные с комом земли: Можжевельник Блю Эрроу, высота 0,3 м, диаметр 0,3 м</v>
      </c>
      <c r="E162" s="22" t="str">
        <f>Source!H87</f>
        <v>шт.</v>
      </c>
      <c r="F162" s="9">
        <f>Source!I87</f>
        <v>2</v>
      </c>
      <c r="G162" s="24">
        <f>Source!AK87</f>
        <v>1433.33</v>
      </c>
      <c r="H162" s="32" t="s">
        <v>3</v>
      </c>
      <c r="I162" s="9">
        <f>Source!AW87</f>
        <v>1</v>
      </c>
      <c r="J162" s="9">
        <f>IF(Source!BC87&lt;&gt; 0, Source!BC87, 1)</f>
        <v>1</v>
      </c>
      <c r="K162" s="25">
        <f>Source!O87</f>
        <v>2866.66</v>
      </c>
      <c r="L162" s="25"/>
      <c r="Q162">
        <f>ROUND((Source!BZ87/100)*ROUND((Source!AF87*Source!AV87)*Source!I87, 2), 2)</f>
        <v>0</v>
      </c>
      <c r="R162">
        <f>Source!X87</f>
        <v>0</v>
      </c>
      <c r="S162">
        <f>ROUND((Source!CA87/100)*ROUND((Source!AF87*Source!AV87)*Source!I87, 2), 2)</f>
        <v>0</v>
      </c>
      <c r="T162">
        <f>Source!Y87</f>
        <v>0</v>
      </c>
      <c r="U162">
        <f>ROUND((175/100)*ROUND((Source!AE87*Source!AV87)*Source!I87, 2), 2)</f>
        <v>0</v>
      </c>
      <c r="V162">
        <f>ROUND((108/100)*ROUND(Source!CS87*Source!I87, 2), 2)</f>
        <v>0</v>
      </c>
    </row>
    <row r="163" spans="1:22" ht="57">
      <c r="A163" s="20">
        <v>24</v>
      </c>
      <c r="B163" s="20" t="str">
        <f>Source!E88</f>
        <v>13,7</v>
      </c>
      <c r="C163" s="21" t="str">
        <f>Source!F88</f>
        <v>коммерческое предложение</v>
      </c>
      <c r="D163" s="21" t="str">
        <f>Source!G88</f>
        <v>Кустарники декоративные с комом земли: Можжевельник Грей Овал, высота 0,3 м, диаметр 0,3 м</v>
      </c>
      <c r="E163" s="22" t="str">
        <f>Source!H88</f>
        <v>шт.</v>
      </c>
      <c r="F163" s="9">
        <f>Source!I88</f>
        <v>1</v>
      </c>
      <c r="G163" s="24">
        <f>Source!AK88</f>
        <v>1316.67</v>
      </c>
      <c r="H163" s="32" t="s">
        <v>3</v>
      </c>
      <c r="I163" s="9">
        <f>Source!AW88</f>
        <v>1</v>
      </c>
      <c r="J163" s="9">
        <f>IF(Source!BC88&lt;&gt; 0, Source!BC88, 1)</f>
        <v>1</v>
      </c>
      <c r="K163" s="25">
        <f>Source!O88</f>
        <v>1316.67</v>
      </c>
      <c r="L163" s="25"/>
      <c r="Q163">
        <f>ROUND((Source!BZ88/100)*ROUND((Source!AF88*Source!AV88)*Source!I88, 2), 2)</f>
        <v>0</v>
      </c>
      <c r="R163">
        <f>Source!X88</f>
        <v>0</v>
      </c>
      <c r="S163">
        <f>ROUND((Source!CA88/100)*ROUND((Source!AF88*Source!AV88)*Source!I88, 2), 2)</f>
        <v>0</v>
      </c>
      <c r="T163">
        <f>Source!Y88</f>
        <v>0</v>
      </c>
      <c r="U163">
        <f>ROUND((175/100)*ROUND((Source!AE88*Source!AV88)*Source!I88, 2), 2)</f>
        <v>0</v>
      </c>
      <c r="V163">
        <f>ROUND((108/100)*ROUND(Source!CS88*Source!I88, 2), 2)</f>
        <v>0</v>
      </c>
    </row>
    <row r="164" spans="1:22" ht="14.25">
      <c r="A164" s="20"/>
      <c r="B164" s="20"/>
      <c r="C164" s="21"/>
      <c r="D164" s="21" t="s">
        <v>580</v>
      </c>
      <c r="E164" s="22" t="s">
        <v>581</v>
      </c>
      <c r="F164" s="9">
        <f>Source!AT81</f>
        <v>70</v>
      </c>
      <c r="G164" s="24"/>
      <c r="H164" s="23"/>
      <c r="I164" s="9"/>
      <c r="J164" s="9"/>
      <c r="K164" s="25">
        <f>SUM(R151:R163)</f>
        <v>27452.66</v>
      </c>
      <c r="L164" s="25"/>
    </row>
    <row r="165" spans="1:22" ht="14.25">
      <c r="A165" s="20"/>
      <c r="B165" s="20"/>
      <c r="C165" s="21"/>
      <c r="D165" s="21" t="s">
        <v>582</v>
      </c>
      <c r="E165" s="22" t="s">
        <v>581</v>
      </c>
      <c r="F165" s="9">
        <f>Source!AU81</f>
        <v>10</v>
      </c>
      <c r="G165" s="24"/>
      <c r="H165" s="23"/>
      <c r="I165" s="9"/>
      <c r="J165" s="9"/>
      <c r="K165" s="25">
        <f>SUM(T151:T164)</f>
        <v>3921.81</v>
      </c>
      <c r="L165" s="25"/>
    </row>
    <row r="166" spans="1:22" ht="14.25">
      <c r="A166" s="20"/>
      <c r="B166" s="20"/>
      <c r="C166" s="21"/>
      <c r="D166" s="21" t="s">
        <v>583</v>
      </c>
      <c r="E166" s="22" t="s">
        <v>581</v>
      </c>
      <c r="F166" s="9">
        <f>108</f>
        <v>108</v>
      </c>
      <c r="G166" s="24"/>
      <c r="H166" s="23"/>
      <c r="I166" s="9"/>
      <c r="J166" s="9"/>
      <c r="K166" s="25">
        <f>SUM(V151:V165)</f>
        <v>3629.18</v>
      </c>
      <c r="L166" s="25"/>
    </row>
    <row r="167" spans="1:22" ht="14.25">
      <c r="A167" s="20"/>
      <c r="B167" s="20"/>
      <c r="C167" s="21"/>
      <c r="D167" s="21" t="s">
        <v>584</v>
      </c>
      <c r="E167" s="22" t="s">
        <v>585</v>
      </c>
      <c r="F167" s="9">
        <f>Source!AQ81</f>
        <v>7.08</v>
      </c>
      <c r="G167" s="24"/>
      <c r="H167" s="23" t="str">
        <f>Source!DI81</f>
        <v/>
      </c>
      <c r="I167" s="9">
        <f>Source!AV81</f>
        <v>1</v>
      </c>
      <c r="J167" s="9"/>
      <c r="K167" s="25"/>
      <c r="L167" s="25">
        <f>Source!U81</f>
        <v>162.13200000000001</v>
      </c>
    </row>
    <row r="168" spans="1:22" ht="15">
      <c r="A168" s="30"/>
      <c r="B168" s="30"/>
      <c r="C168" s="30"/>
      <c r="D168" s="30"/>
      <c r="E168" s="30"/>
      <c r="F168" s="30"/>
      <c r="G168" s="30"/>
      <c r="H168" s="30"/>
      <c r="I168" s="30"/>
      <c r="J168" s="91">
        <f>K153+K154+K156+K164+K165+K166+SUM(K157:K163)</f>
        <v>279545.76</v>
      </c>
      <c r="K168" s="91"/>
      <c r="L168" s="31">
        <f>IF(Source!I81&lt;&gt;0, ROUND(J168/Source!I81, 2), 0)</f>
        <v>12207.24</v>
      </c>
      <c r="P168" s="28">
        <f>J168</f>
        <v>279545.76</v>
      </c>
    </row>
    <row r="170" spans="1:22" ht="15">
      <c r="A170" s="95" t="str">
        <f>CONCATENATE("Итого по разделу: ",IF(Source!G90&lt;&gt;"Новый раздел", Source!G90, ""))</f>
        <v>Итого по разделу: Посадка кустарников - 229шт.</v>
      </c>
      <c r="B170" s="95"/>
      <c r="C170" s="95"/>
      <c r="D170" s="95"/>
      <c r="E170" s="95"/>
      <c r="F170" s="95"/>
      <c r="G170" s="95"/>
      <c r="H170" s="95"/>
      <c r="I170" s="95"/>
      <c r="J170" s="93">
        <f>SUM(P118:P169)</f>
        <v>440399.62</v>
      </c>
      <c r="K170" s="94"/>
      <c r="L170" s="33"/>
    </row>
    <row r="172" spans="1:22" ht="14.25">
      <c r="D172" s="88" t="str">
        <f>Source!H118</f>
        <v>Итого</v>
      </c>
      <c r="E172" s="88"/>
      <c r="F172" s="88"/>
      <c r="G172" s="88"/>
      <c r="H172" s="88"/>
      <c r="I172" s="88"/>
      <c r="J172" s="92">
        <f>IF(Source!F118=0, "", Source!F118)</f>
        <v>440399.62</v>
      </c>
      <c r="K172" s="92"/>
    </row>
    <row r="173" spans="1:22" ht="14.25">
      <c r="D173" s="88" t="str">
        <f>Source!H119</f>
        <v>НДС 20%</v>
      </c>
      <c r="E173" s="88"/>
      <c r="F173" s="88"/>
      <c r="G173" s="88"/>
      <c r="H173" s="88"/>
      <c r="I173" s="88"/>
      <c r="J173" s="92">
        <f>IF(Source!F119=0, "", Source!F119)</f>
        <v>88079.92</v>
      </c>
      <c r="K173" s="92"/>
    </row>
    <row r="174" spans="1:22" ht="14.25">
      <c r="D174" s="88" t="str">
        <f>Source!H120</f>
        <v>Всего с НДС</v>
      </c>
      <c r="E174" s="88"/>
      <c r="F174" s="88"/>
      <c r="G174" s="88"/>
      <c r="H174" s="88"/>
      <c r="I174" s="88"/>
      <c r="J174" s="92">
        <f>IF(Source!F120=0, "", Source!F120)</f>
        <v>528479.54</v>
      </c>
      <c r="K174" s="92"/>
    </row>
    <row r="176" spans="1:22" ht="16.5">
      <c r="A176" s="116" t="str">
        <f>CONCATENATE("Раздел: ",IF(Source!G122&lt;&gt;"Новый раздел", Source!G122, ""))</f>
        <v>Раздел: Посадка деревьев лиственных - 4шт.</v>
      </c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</row>
    <row r="177" spans="1:22" ht="85.5">
      <c r="A177" s="20">
        <v>25</v>
      </c>
      <c r="B177" s="20" t="str">
        <f>Source!E126</f>
        <v>14</v>
      </c>
      <c r="C177" s="21" t="str">
        <f>Source!F126</f>
        <v>5.4-3103-1-20/1</v>
      </c>
      <c r="D177" s="21" t="str">
        <f>Source!G126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E177" s="22" t="str">
        <f>Source!H126</f>
        <v>10 ям</v>
      </c>
      <c r="F177" s="9">
        <f>Source!I126</f>
        <v>0.24</v>
      </c>
      <c r="G177" s="24"/>
      <c r="H177" s="23"/>
      <c r="I177" s="9"/>
      <c r="J177" s="9"/>
      <c r="K177" s="25"/>
      <c r="L177" s="25"/>
      <c r="Q177">
        <f>ROUND((Source!BZ126/100)*ROUND((Source!AF126*Source!AV126)*Source!I126, 2), 2)</f>
        <v>1045.75</v>
      </c>
      <c r="R177">
        <f>Source!X126</f>
        <v>1045.75</v>
      </c>
      <c r="S177">
        <f>ROUND((Source!CA126/100)*ROUND((Source!AF126*Source!AV126)*Source!I126, 2), 2)</f>
        <v>149.38999999999999</v>
      </c>
      <c r="T177">
        <f>Source!Y126</f>
        <v>149.38999999999999</v>
      </c>
      <c r="U177">
        <f>ROUND((175/100)*ROUND((Source!AE126*Source!AV126)*Source!I126, 2), 2)</f>
        <v>128.08000000000001</v>
      </c>
      <c r="V177">
        <f>ROUND((108/100)*ROUND(Source!CS126*Source!I126, 2), 2)</f>
        <v>79.05</v>
      </c>
    </row>
    <row r="178" spans="1:22">
      <c r="D178" s="26" t="str">
        <f>"Объем: "&amp;Source!I126&amp;"=(4*"&amp;"0,6)/"&amp;"10"</f>
        <v>Объем: 0,24=(4*0,6)/10</v>
      </c>
    </row>
    <row r="179" spans="1:22" ht="14.25">
      <c r="A179" s="20"/>
      <c r="B179" s="20"/>
      <c r="C179" s="21"/>
      <c r="D179" s="21" t="s">
        <v>577</v>
      </c>
      <c r="E179" s="22"/>
      <c r="F179" s="9"/>
      <c r="G179" s="24">
        <f>Source!AO126</f>
        <v>6224.69</v>
      </c>
      <c r="H179" s="23" t="str">
        <f>Source!DG126</f>
        <v/>
      </c>
      <c r="I179" s="9">
        <f>Source!AV126</f>
        <v>1</v>
      </c>
      <c r="J179" s="9">
        <f>IF(Source!BA126&lt;&gt; 0, Source!BA126, 1)</f>
        <v>1</v>
      </c>
      <c r="K179" s="25">
        <f>Source!S126</f>
        <v>1493.93</v>
      </c>
      <c r="L179" s="25"/>
    </row>
    <row r="180" spans="1:22" ht="14.25">
      <c r="A180" s="20"/>
      <c r="B180" s="20"/>
      <c r="C180" s="21"/>
      <c r="D180" s="21" t="s">
        <v>578</v>
      </c>
      <c r="E180" s="22"/>
      <c r="F180" s="9"/>
      <c r="G180" s="24">
        <f>Source!AM126</f>
        <v>552.27</v>
      </c>
      <c r="H180" s="23" t="str">
        <f>Source!DE126</f>
        <v/>
      </c>
      <c r="I180" s="9">
        <f>Source!AV126</f>
        <v>1</v>
      </c>
      <c r="J180" s="9">
        <f>IF(Source!BB126&lt;&gt; 0, Source!BB126, 1)</f>
        <v>1</v>
      </c>
      <c r="K180" s="25">
        <f>Source!Q126</f>
        <v>132.54</v>
      </c>
      <c r="L180" s="25"/>
    </row>
    <row r="181" spans="1:22" ht="14.25">
      <c r="A181" s="20"/>
      <c r="B181" s="20"/>
      <c r="C181" s="21"/>
      <c r="D181" s="21" t="s">
        <v>579</v>
      </c>
      <c r="E181" s="22"/>
      <c r="F181" s="9"/>
      <c r="G181" s="24">
        <f>Source!AN126</f>
        <v>304.97000000000003</v>
      </c>
      <c r="H181" s="23" t="str">
        <f>Source!DF126</f>
        <v/>
      </c>
      <c r="I181" s="9">
        <f>Source!AV126</f>
        <v>1</v>
      </c>
      <c r="J181" s="9">
        <f>IF(Source!BS126&lt;&gt; 0, Source!BS126, 1)</f>
        <v>1</v>
      </c>
      <c r="K181" s="27">
        <f>Source!R126</f>
        <v>73.19</v>
      </c>
      <c r="L181" s="25"/>
    </row>
    <row r="182" spans="1:22" ht="14.25">
      <c r="A182" s="20"/>
      <c r="B182" s="20"/>
      <c r="C182" s="21"/>
      <c r="D182" s="21" t="s">
        <v>586</v>
      </c>
      <c r="E182" s="22"/>
      <c r="F182" s="9"/>
      <c r="G182" s="24">
        <f>Source!AL126</f>
        <v>6374.45</v>
      </c>
      <c r="H182" s="23" t="str">
        <f>Source!DD126</f>
        <v/>
      </c>
      <c r="I182" s="9">
        <f>Source!AW126</f>
        <v>1</v>
      </c>
      <c r="J182" s="9">
        <f>IF(Source!BC126&lt;&gt; 0, Source!BC126, 1)</f>
        <v>1</v>
      </c>
      <c r="K182" s="25">
        <f>Source!P126</f>
        <v>1529.87</v>
      </c>
      <c r="L182" s="25"/>
    </row>
    <row r="183" spans="1:22" ht="14.25">
      <c r="A183" s="20"/>
      <c r="B183" s="20"/>
      <c r="C183" s="21"/>
      <c r="D183" s="21" t="s">
        <v>580</v>
      </c>
      <c r="E183" s="22" t="s">
        <v>581</v>
      </c>
      <c r="F183" s="9">
        <f>Source!AT126</f>
        <v>70</v>
      </c>
      <c r="G183" s="24"/>
      <c r="H183" s="23"/>
      <c r="I183" s="9"/>
      <c r="J183" s="9"/>
      <c r="K183" s="25">
        <f>SUM(R177:R182)</f>
        <v>1045.75</v>
      </c>
      <c r="L183" s="25"/>
    </row>
    <row r="184" spans="1:22" ht="14.25">
      <c r="A184" s="20"/>
      <c r="B184" s="20"/>
      <c r="C184" s="21"/>
      <c r="D184" s="21" t="s">
        <v>582</v>
      </c>
      <c r="E184" s="22" t="s">
        <v>581</v>
      </c>
      <c r="F184" s="9">
        <f>Source!AU126</f>
        <v>10</v>
      </c>
      <c r="G184" s="24"/>
      <c r="H184" s="23"/>
      <c r="I184" s="9"/>
      <c r="J184" s="9"/>
      <c r="K184" s="25">
        <f>SUM(T177:T183)</f>
        <v>149.38999999999999</v>
      </c>
      <c r="L184" s="25"/>
    </row>
    <row r="185" spans="1:22" ht="14.25">
      <c r="A185" s="20"/>
      <c r="B185" s="20"/>
      <c r="C185" s="21"/>
      <c r="D185" s="21" t="s">
        <v>583</v>
      </c>
      <c r="E185" s="22" t="s">
        <v>581</v>
      </c>
      <c r="F185" s="9">
        <f>108</f>
        <v>108</v>
      </c>
      <c r="G185" s="24"/>
      <c r="H185" s="23"/>
      <c r="I185" s="9"/>
      <c r="J185" s="9"/>
      <c r="K185" s="25">
        <f>SUM(V177:V184)</f>
        <v>79.05</v>
      </c>
      <c r="L185" s="25"/>
    </row>
    <row r="186" spans="1:22" ht="14.25">
      <c r="A186" s="20"/>
      <c r="B186" s="20"/>
      <c r="C186" s="21"/>
      <c r="D186" s="21" t="s">
        <v>584</v>
      </c>
      <c r="E186" s="22" t="s">
        <v>585</v>
      </c>
      <c r="F186" s="9">
        <f>Source!AQ126</f>
        <v>34.44</v>
      </c>
      <c r="G186" s="24"/>
      <c r="H186" s="23" t="str">
        <f>Source!DI126</f>
        <v/>
      </c>
      <c r="I186" s="9">
        <f>Source!AV126</f>
        <v>1</v>
      </c>
      <c r="J186" s="9"/>
      <c r="K186" s="25"/>
      <c r="L186" s="25">
        <f>Source!U126</f>
        <v>8.2655999999999992</v>
      </c>
    </row>
    <row r="187" spans="1:22" ht="15">
      <c r="A187" s="30"/>
      <c r="B187" s="30"/>
      <c r="C187" s="30"/>
      <c r="D187" s="30"/>
      <c r="E187" s="30"/>
      <c r="F187" s="30"/>
      <c r="G187" s="30"/>
      <c r="H187" s="30"/>
      <c r="I187" s="30"/>
      <c r="J187" s="91">
        <f>K179+K180+K182+K183+K184+K185</f>
        <v>4430.5300000000007</v>
      </c>
      <c r="K187" s="91"/>
      <c r="L187" s="31">
        <f>IF(Source!I126&lt;&gt;0, ROUND(J187/Source!I126, 2), 0)</f>
        <v>18460.54</v>
      </c>
      <c r="P187" s="28">
        <f>J187</f>
        <v>4430.5300000000007</v>
      </c>
    </row>
    <row r="188" spans="1:22" ht="57">
      <c r="A188" s="20">
        <v>26</v>
      </c>
      <c r="B188" s="20" t="str">
        <f>Source!E127</f>
        <v>15</v>
      </c>
      <c r="C188" s="21" t="str">
        <f>Source!F127</f>
        <v>5.4-3103-3-20/1</v>
      </c>
      <c r="D188" s="21" t="str">
        <f>Source!G127</f>
        <v>Подготовка стандартных посадочных мест вручную, с круглым комом земли размером 0,8х0,6 м с добавлением растительной земли до 100%</v>
      </c>
      <c r="E188" s="22" t="str">
        <f>Source!H127</f>
        <v>10 ям</v>
      </c>
      <c r="F188" s="9">
        <f>Source!I127</f>
        <v>0.16</v>
      </c>
      <c r="G188" s="24"/>
      <c r="H188" s="23"/>
      <c r="I188" s="9"/>
      <c r="J188" s="9"/>
      <c r="K188" s="25"/>
      <c r="L188" s="25"/>
      <c r="Q188">
        <f>ROUND((Source!BZ127/100)*ROUND((Source!AF127*Source!AV127)*Source!I127, 2), 2)</f>
        <v>1189.27</v>
      </c>
      <c r="R188">
        <f>Source!X127</f>
        <v>1189.27</v>
      </c>
      <c r="S188">
        <f>ROUND((Source!CA127/100)*ROUND((Source!AF127*Source!AV127)*Source!I127, 2), 2)</f>
        <v>169.9</v>
      </c>
      <c r="T188">
        <f>Source!Y127</f>
        <v>169.9</v>
      </c>
      <c r="U188">
        <f>ROUND((175/100)*ROUND((Source!AE127*Source!AV127)*Source!I127, 2), 2)</f>
        <v>0</v>
      </c>
      <c r="V188">
        <f>ROUND((108/100)*ROUND(Source!CS127*Source!I127, 2), 2)</f>
        <v>0</v>
      </c>
    </row>
    <row r="189" spans="1:22">
      <c r="D189" s="26" t="str">
        <f>"Объем: "&amp;Source!I127&amp;"=(4*"&amp;"0,4)/"&amp;"10"</f>
        <v>Объем: 0,16=(4*0,4)/10</v>
      </c>
    </row>
    <row r="190" spans="1:22" ht="14.25">
      <c r="A190" s="20"/>
      <c r="B190" s="20"/>
      <c r="C190" s="21"/>
      <c r="D190" s="21" t="s">
        <v>577</v>
      </c>
      <c r="E190" s="22"/>
      <c r="F190" s="9"/>
      <c r="G190" s="24">
        <f>Source!AO127</f>
        <v>10618.48</v>
      </c>
      <c r="H190" s="23" t="str">
        <f>Source!DG127</f>
        <v/>
      </c>
      <c r="I190" s="9">
        <f>Source!AV127</f>
        <v>1</v>
      </c>
      <c r="J190" s="9">
        <f>IF(Source!BA127&lt;&gt; 0, Source!BA127, 1)</f>
        <v>1</v>
      </c>
      <c r="K190" s="25">
        <f>Source!S127</f>
        <v>1698.96</v>
      </c>
      <c r="L190" s="25"/>
    </row>
    <row r="191" spans="1:22" ht="14.25">
      <c r="A191" s="20"/>
      <c r="B191" s="20"/>
      <c r="C191" s="21"/>
      <c r="D191" s="21" t="s">
        <v>586</v>
      </c>
      <c r="E191" s="22"/>
      <c r="F191" s="9"/>
      <c r="G191" s="24">
        <f>Source!AL127</f>
        <v>6374.45</v>
      </c>
      <c r="H191" s="23" t="str">
        <f>Source!DD127</f>
        <v/>
      </c>
      <c r="I191" s="9">
        <f>Source!AW127</f>
        <v>1</v>
      </c>
      <c r="J191" s="9">
        <f>IF(Source!BC127&lt;&gt; 0, Source!BC127, 1)</f>
        <v>1</v>
      </c>
      <c r="K191" s="25">
        <f>Source!P127</f>
        <v>1019.91</v>
      </c>
      <c r="L191" s="25"/>
    </row>
    <row r="192" spans="1:22" ht="14.25">
      <c r="A192" s="20"/>
      <c r="B192" s="20"/>
      <c r="C192" s="21"/>
      <c r="D192" s="21" t="s">
        <v>580</v>
      </c>
      <c r="E192" s="22" t="s">
        <v>581</v>
      </c>
      <c r="F192" s="9">
        <f>Source!AT127</f>
        <v>70</v>
      </c>
      <c r="G192" s="24"/>
      <c r="H192" s="23"/>
      <c r="I192" s="9"/>
      <c r="J192" s="9"/>
      <c r="K192" s="25">
        <f>SUM(R188:R191)</f>
        <v>1189.27</v>
      </c>
      <c r="L192" s="25"/>
    </row>
    <row r="193" spans="1:22" ht="14.25">
      <c r="A193" s="20"/>
      <c r="B193" s="20"/>
      <c r="C193" s="21"/>
      <c r="D193" s="21" t="s">
        <v>582</v>
      </c>
      <c r="E193" s="22" t="s">
        <v>581</v>
      </c>
      <c r="F193" s="9">
        <f>Source!AU127</f>
        <v>10</v>
      </c>
      <c r="G193" s="24"/>
      <c r="H193" s="23"/>
      <c r="I193" s="9"/>
      <c r="J193" s="9"/>
      <c r="K193" s="25">
        <f>SUM(T188:T192)</f>
        <v>169.9</v>
      </c>
      <c r="L193" s="25"/>
    </row>
    <row r="194" spans="1:22" ht="14.25">
      <c r="A194" s="20"/>
      <c r="B194" s="20"/>
      <c r="C194" s="21"/>
      <c r="D194" s="21" t="s">
        <v>584</v>
      </c>
      <c r="E194" s="22" t="s">
        <v>585</v>
      </c>
      <c r="F194" s="9">
        <f>Source!AQ127</f>
        <v>58.75</v>
      </c>
      <c r="G194" s="24"/>
      <c r="H194" s="23" t="str">
        <f>Source!DI127</f>
        <v/>
      </c>
      <c r="I194" s="9">
        <f>Source!AV127</f>
        <v>1</v>
      </c>
      <c r="J194" s="9"/>
      <c r="K194" s="25"/>
      <c r="L194" s="25">
        <f>Source!U127</f>
        <v>9.4</v>
      </c>
    </row>
    <row r="195" spans="1:22" ht="15">
      <c r="A195" s="30"/>
      <c r="B195" s="30"/>
      <c r="C195" s="30"/>
      <c r="D195" s="30"/>
      <c r="E195" s="30"/>
      <c r="F195" s="30"/>
      <c r="G195" s="30"/>
      <c r="H195" s="30"/>
      <c r="I195" s="30"/>
      <c r="J195" s="91">
        <f>K190+K191+K192+K193</f>
        <v>4078.04</v>
      </c>
      <c r="K195" s="91"/>
      <c r="L195" s="31">
        <f>IF(Source!I127&lt;&gt;0, ROUND(J195/Source!I127, 2), 0)</f>
        <v>25487.75</v>
      </c>
      <c r="P195" s="28">
        <f>J195</f>
        <v>4078.04</v>
      </c>
    </row>
    <row r="196" spans="1:22" ht="142.5">
      <c r="A196" s="20">
        <v>27</v>
      </c>
      <c r="B196" s="20" t="str">
        <f>Source!E128</f>
        <v>16</v>
      </c>
      <c r="C196" s="21" t="str">
        <f>Source!F128</f>
        <v>5.4-3503-1-1/1</v>
      </c>
      <c r="D196" s="21" t="str">
        <f>Source!G128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4дерева =4,52м3 - при слое 20 см покрываемая площадь 4,52м3/0,2м х 0,75)</v>
      </c>
      <c r="E196" s="22" t="str">
        <f>Source!H128</f>
        <v>100 м2</v>
      </c>
      <c r="F196" s="9">
        <f>Source!I128</f>
        <v>0.16950000000000001</v>
      </c>
      <c r="G196" s="24"/>
      <c r="H196" s="23"/>
      <c r="I196" s="9"/>
      <c r="J196" s="9"/>
      <c r="K196" s="25"/>
      <c r="L196" s="25"/>
      <c r="Q196">
        <f>ROUND((Source!BZ128/100)*ROUND((Source!AF128*Source!AV128)*Source!I128, 2), 2)</f>
        <v>0</v>
      </c>
      <c r="R196">
        <f>Source!X128</f>
        <v>0</v>
      </c>
      <c r="S196">
        <f>ROUND((Source!CA128/100)*ROUND((Source!AF128*Source!AV128)*Source!I128, 2), 2)</f>
        <v>0</v>
      </c>
      <c r="T196">
        <f>Source!Y128</f>
        <v>0</v>
      </c>
      <c r="U196">
        <f>ROUND((175/100)*ROUND((Source!AE128*Source!AV128)*Source!I128, 2), 2)</f>
        <v>33.06</v>
      </c>
      <c r="V196">
        <f>ROUND((108/100)*ROUND(Source!CS128*Source!I128, 2), 2)</f>
        <v>20.399999999999999</v>
      </c>
    </row>
    <row r="197" spans="1:22">
      <c r="D197" s="26" t="str">
        <f>"Объем: "&amp;Source!I128&amp;"=16,95/"&amp;"100"</f>
        <v>Объем: 0,1695=16,95/100</v>
      </c>
    </row>
    <row r="198" spans="1:22" ht="14.25">
      <c r="A198" s="20"/>
      <c r="B198" s="20"/>
      <c r="C198" s="21"/>
      <c r="D198" s="21" t="s">
        <v>578</v>
      </c>
      <c r="E198" s="22"/>
      <c r="F198" s="9"/>
      <c r="G198" s="24">
        <f>Source!AM128</f>
        <v>296.60000000000002</v>
      </c>
      <c r="H198" s="23" t="str">
        <f>Source!DE128</f>
        <v/>
      </c>
      <c r="I198" s="9">
        <f>Source!AV128</f>
        <v>1</v>
      </c>
      <c r="J198" s="9">
        <f>IF(Source!BB128&lt;&gt; 0, Source!BB128, 1)</f>
        <v>1</v>
      </c>
      <c r="K198" s="25">
        <f>Source!Q128</f>
        <v>50.27</v>
      </c>
      <c r="L198" s="25"/>
    </row>
    <row r="199" spans="1:22" ht="14.25">
      <c r="A199" s="20"/>
      <c r="B199" s="20"/>
      <c r="C199" s="21"/>
      <c r="D199" s="21" t="s">
        <v>579</v>
      </c>
      <c r="E199" s="22"/>
      <c r="F199" s="9"/>
      <c r="G199" s="24">
        <f>Source!AN128</f>
        <v>111.43</v>
      </c>
      <c r="H199" s="23" t="str">
        <f>Source!DF128</f>
        <v/>
      </c>
      <c r="I199" s="9">
        <f>Source!AV128</f>
        <v>1</v>
      </c>
      <c r="J199" s="9">
        <f>IF(Source!BS128&lt;&gt; 0, Source!BS128, 1)</f>
        <v>1</v>
      </c>
      <c r="K199" s="27">
        <f>Source!R128</f>
        <v>18.89</v>
      </c>
      <c r="L199" s="25"/>
    </row>
    <row r="200" spans="1:22" ht="14.25">
      <c r="A200" s="20"/>
      <c r="B200" s="20"/>
      <c r="C200" s="21"/>
      <c r="D200" s="21" t="s">
        <v>583</v>
      </c>
      <c r="E200" s="22" t="s">
        <v>581</v>
      </c>
      <c r="F200" s="9">
        <f>108</f>
        <v>108</v>
      </c>
      <c r="G200" s="24"/>
      <c r="H200" s="23"/>
      <c r="I200" s="9"/>
      <c r="J200" s="9"/>
      <c r="K200" s="25">
        <f>SUM(V196:V199)</f>
        <v>20.399999999999999</v>
      </c>
      <c r="L200" s="25"/>
    </row>
    <row r="201" spans="1:22" ht="15">
      <c r="A201" s="30"/>
      <c r="B201" s="30"/>
      <c r="C201" s="30"/>
      <c r="D201" s="30"/>
      <c r="E201" s="30"/>
      <c r="F201" s="30"/>
      <c r="G201" s="30"/>
      <c r="H201" s="30"/>
      <c r="I201" s="30"/>
      <c r="J201" s="91">
        <f>K198+K200</f>
        <v>70.67</v>
      </c>
      <c r="K201" s="91"/>
      <c r="L201" s="31">
        <f>IF(Source!I128&lt;&gt;0, ROUND(J201/Source!I128, 2), 0)</f>
        <v>416.93</v>
      </c>
      <c r="P201" s="28">
        <f>J201</f>
        <v>70.67</v>
      </c>
    </row>
    <row r="202" spans="1:22" ht="99.75">
      <c r="A202" s="20">
        <v>28</v>
      </c>
      <c r="B202" s="20" t="str">
        <f>Source!E129</f>
        <v>17</v>
      </c>
      <c r="C202" s="21" t="str">
        <f>Source!F129</f>
        <v>5.4-3503-1-2/1</v>
      </c>
      <c r="D202" s="21" t="str">
        <f>Source!G129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4,52м3/0,2м х 0,25)</v>
      </c>
      <c r="E202" s="22" t="str">
        <f>Source!H129</f>
        <v>100 м2</v>
      </c>
      <c r="F202" s="9">
        <f>Source!I129</f>
        <v>5.6500000000000002E-2</v>
      </c>
      <c r="G202" s="24"/>
      <c r="H202" s="23"/>
      <c r="I202" s="9"/>
      <c r="J202" s="9"/>
      <c r="K202" s="25"/>
      <c r="L202" s="25"/>
      <c r="Q202">
        <f>ROUND((Source!BZ129/100)*ROUND((Source!AF129*Source!AV129)*Source!I129, 2), 2)</f>
        <v>83.85</v>
      </c>
      <c r="R202">
        <f>Source!X129</f>
        <v>83.85</v>
      </c>
      <c r="S202">
        <f>ROUND((Source!CA129/100)*ROUND((Source!AF129*Source!AV129)*Source!I129, 2), 2)</f>
        <v>11.98</v>
      </c>
      <c r="T202">
        <f>Source!Y129</f>
        <v>11.98</v>
      </c>
      <c r="U202">
        <f>ROUND((175/100)*ROUND((Source!AE129*Source!AV129)*Source!I129, 2), 2)</f>
        <v>0</v>
      </c>
      <c r="V202">
        <f>ROUND((108/100)*ROUND(Source!CS129*Source!I129, 2), 2)</f>
        <v>0</v>
      </c>
    </row>
    <row r="203" spans="1:22">
      <c r="D203" s="26" t="str">
        <f>"Объем: "&amp;Source!I129&amp;"=5,65/"&amp;"100"</f>
        <v>Объем: 0,0565=5,65/100</v>
      </c>
    </row>
    <row r="204" spans="1:22" ht="14.25">
      <c r="A204" s="20"/>
      <c r="B204" s="20"/>
      <c r="C204" s="21"/>
      <c r="D204" s="21" t="s">
        <v>577</v>
      </c>
      <c r="E204" s="22"/>
      <c r="F204" s="9"/>
      <c r="G204" s="24">
        <f>Source!AO129</f>
        <v>2120.08</v>
      </c>
      <c r="H204" s="23" t="str">
        <f>Source!DG129</f>
        <v/>
      </c>
      <c r="I204" s="9">
        <f>Source!AV129</f>
        <v>1</v>
      </c>
      <c r="J204" s="9">
        <f>IF(Source!BA129&lt;&gt; 0, Source!BA129, 1)</f>
        <v>1</v>
      </c>
      <c r="K204" s="25">
        <f>Source!S129</f>
        <v>119.78</v>
      </c>
      <c r="L204" s="25"/>
    </row>
    <row r="205" spans="1:22" ht="14.25">
      <c r="A205" s="20"/>
      <c r="B205" s="20"/>
      <c r="C205" s="21"/>
      <c r="D205" s="21" t="s">
        <v>580</v>
      </c>
      <c r="E205" s="22" t="s">
        <v>581</v>
      </c>
      <c r="F205" s="9">
        <f>Source!AT129</f>
        <v>70</v>
      </c>
      <c r="G205" s="24"/>
      <c r="H205" s="23"/>
      <c r="I205" s="9"/>
      <c r="J205" s="9"/>
      <c r="K205" s="25">
        <f>SUM(R202:R204)</f>
        <v>83.85</v>
      </c>
      <c r="L205" s="25"/>
    </row>
    <row r="206" spans="1:22" ht="14.25">
      <c r="A206" s="20"/>
      <c r="B206" s="20"/>
      <c r="C206" s="21"/>
      <c r="D206" s="21" t="s">
        <v>582</v>
      </c>
      <c r="E206" s="22" t="s">
        <v>581</v>
      </c>
      <c r="F206" s="9">
        <f>Source!AU129</f>
        <v>10</v>
      </c>
      <c r="G206" s="24"/>
      <c r="H206" s="23"/>
      <c r="I206" s="9"/>
      <c r="J206" s="9"/>
      <c r="K206" s="25">
        <f>SUM(T202:T205)</f>
        <v>11.98</v>
      </c>
      <c r="L206" s="25"/>
    </row>
    <row r="207" spans="1:22" ht="14.25">
      <c r="A207" s="20"/>
      <c r="B207" s="20"/>
      <c r="C207" s="21"/>
      <c r="D207" s="21" t="s">
        <v>584</v>
      </c>
      <c r="E207" s="22" t="s">
        <v>585</v>
      </c>
      <c r="F207" s="9">
        <f>Source!AQ129</f>
        <v>11.73</v>
      </c>
      <c r="G207" s="24"/>
      <c r="H207" s="23" t="str">
        <f>Source!DI129</f>
        <v/>
      </c>
      <c r="I207" s="9">
        <f>Source!AV129</f>
        <v>1</v>
      </c>
      <c r="J207" s="9"/>
      <c r="K207" s="25"/>
      <c r="L207" s="25">
        <f>Source!U129</f>
        <v>0.66274500000000003</v>
      </c>
    </row>
    <row r="208" spans="1:22" ht="15">
      <c r="A208" s="30"/>
      <c r="B208" s="30"/>
      <c r="C208" s="30"/>
      <c r="D208" s="30"/>
      <c r="E208" s="30"/>
      <c r="F208" s="30"/>
      <c r="G208" s="30"/>
      <c r="H208" s="30"/>
      <c r="I208" s="30"/>
      <c r="J208" s="91">
        <f>K204+K205+K206</f>
        <v>215.60999999999999</v>
      </c>
      <c r="K208" s="91"/>
      <c r="L208" s="31">
        <f>IF(Source!I129&lt;&gt;0, ROUND(J208/Source!I129, 2), 0)</f>
        <v>3816.11</v>
      </c>
      <c r="P208" s="28">
        <f>J208</f>
        <v>215.60999999999999</v>
      </c>
    </row>
    <row r="209" spans="1:22" ht="57">
      <c r="A209" s="20">
        <v>29</v>
      </c>
      <c r="B209" s="20" t="str">
        <f>Source!E130</f>
        <v>18</v>
      </c>
      <c r="C209" s="21" t="str">
        <f>Source!F130</f>
        <v>5.4-3103-6-4/1</v>
      </c>
      <c r="D209" s="21" t="str">
        <f>Source!G130</f>
        <v>Посадка деревьев и кустарников с комом земли, диаметром 0,8 м и высотой 0,6 м (без стоимости деревьев и кустарников)</v>
      </c>
      <c r="E209" s="22" t="str">
        <f>Source!H130</f>
        <v>10 шт.</v>
      </c>
      <c r="F209" s="9">
        <f>Source!I130</f>
        <v>0.4</v>
      </c>
      <c r="G209" s="24"/>
      <c r="H209" s="23"/>
      <c r="I209" s="9"/>
      <c r="J209" s="9"/>
      <c r="K209" s="25"/>
      <c r="L209" s="25"/>
      <c r="Q209">
        <f>ROUND((Source!BZ130/100)*ROUND((Source!AF130*Source!AV130)*Source!I130, 2), 2)</f>
        <v>1377.04</v>
      </c>
      <c r="R209">
        <f>Source!X130</f>
        <v>1377.04</v>
      </c>
      <c r="S209">
        <f>ROUND((Source!CA130/100)*ROUND((Source!AF130*Source!AV130)*Source!I130, 2), 2)</f>
        <v>196.72</v>
      </c>
      <c r="T209">
        <f>Source!Y130</f>
        <v>196.72</v>
      </c>
      <c r="U209">
        <f>ROUND((175/100)*ROUND((Source!AE130*Source!AV130)*Source!I130, 2), 2)</f>
        <v>243.95</v>
      </c>
      <c r="V209">
        <f>ROUND((108/100)*ROUND(Source!CS130*Source!I130, 2), 2)</f>
        <v>150.55000000000001</v>
      </c>
    </row>
    <row r="210" spans="1:22">
      <c r="D210" s="26" t="str">
        <f>"Объем: "&amp;Source!I130&amp;"=4/"&amp;"10"</f>
        <v>Объем: 0,4=4/10</v>
      </c>
    </row>
    <row r="211" spans="1:22" ht="14.25">
      <c r="A211" s="20"/>
      <c r="B211" s="20"/>
      <c r="C211" s="21"/>
      <c r="D211" s="21" t="s">
        <v>577</v>
      </c>
      <c r="E211" s="22"/>
      <c r="F211" s="9"/>
      <c r="G211" s="24">
        <f>Source!AO130</f>
        <v>4918</v>
      </c>
      <c r="H211" s="23" t="str">
        <f>Source!DG130</f>
        <v/>
      </c>
      <c r="I211" s="9">
        <f>Source!AV130</f>
        <v>1</v>
      </c>
      <c r="J211" s="9">
        <f>IF(Source!BA130&lt;&gt; 0, Source!BA130, 1)</f>
        <v>1</v>
      </c>
      <c r="K211" s="25">
        <f>Source!S130</f>
        <v>1967.2</v>
      </c>
      <c r="L211" s="25"/>
    </row>
    <row r="212" spans="1:22" ht="14.25">
      <c r="A212" s="20"/>
      <c r="B212" s="20"/>
      <c r="C212" s="21"/>
      <c r="D212" s="21" t="s">
        <v>578</v>
      </c>
      <c r="E212" s="22"/>
      <c r="F212" s="9"/>
      <c r="G212" s="24">
        <f>Source!AM130</f>
        <v>1535.65</v>
      </c>
      <c r="H212" s="23" t="str">
        <f>Source!DE130</f>
        <v/>
      </c>
      <c r="I212" s="9">
        <f>Source!AV130</f>
        <v>1</v>
      </c>
      <c r="J212" s="9">
        <f>IF(Source!BB130&lt;&gt; 0, Source!BB130, 1)</f>
        <v>1</v>
      </c>
      <c r="K212" s="25">
        <f>Source!Q130</f>
        <v>614.26</v>
      </c>
      <c r="L212" s="25"/>
    </row>
    <row r="213" spans="1:22" ht="14.25">
      <c r="A213" s="20"/>
      <c r="B213" s="20"/>
      <c r="C213" s="21"/>
      <c r="D213" s="21" t="s">
        <v>579</v>
      </c>
      <c r="E213" s="22"/>
      <c r="F213" s="9"/>
      <c r="G213" s="24">
        <f>Source!AN130</f>
        <v>348.51</v>
      </c>
      <c r="H213" s="23" t="str">
        <f>Source!DF130</f>
        <v/>
      </c>
      <c r="I213" s="9">
        <f>Source!AV130</f>
        <v>1</v>
      </c>
      <c r="J213" s="9">
        <f>IF(Source!BS130&lt;&gt; 0, Source!BS130, 1)</f>
        <v>1</v>
      </c>
      <c r="K213" s="27">
        <f>Source!R130</f>
        <v>139.4</v>
      </c>
      <c r="L213" s="25"/>
    </row>
    <row r="214" spans="1:22" ht="14.25">
      <c r="A214" s="20"/>
      <c r="B214" s="20"/>
      <c r="C214" s="21"/>
      <c r="D214" s="21" t="s">
        <v>586</v>
      </c>
      <c r="E214" s="22"/>
      <c r="F214" s="9"/>
      <c r="G214" s="24">
        <f>Source!AL130</f>
        <v>830.02</v>
      </c>
      <c r="H214" s="23" t="str">
        <f>Source!DD130</f>
        <v/>
      </c>
      <c r="I214" s="9">
        <f>Source!AW130</f>
        <v>1</v>
      </c>
      <c r="J214" s="9">
        <f>IF(Source!BC130&lt;&gt; 0, Source!BC130, 1)</f>
        <v>1</v>
      </c>
      <c r="K214" s="25">
        <f>Source!P130</f>
        <v>332.01</v>
      </c>
      <c r="L214" s="25"/>
    </row>
    <row r="215" spans="1:22" ht="71.25">
      <c r="A215" s="20">
        <v>30</v>
      </c>
      <c r="B215" s="20" t="str">
        <f>Source!E131</f>
        <v>18,1</v>
      </c>
      <c r="C215" s="21" t="str">
        <f>Source!F131</f>
        <v>коммерческое предложение</v>
      </c>
      <c r="D215" s="21" t="str">
        <f>Source!G131</f>
        <v>Деревья декоративные лиственных пород с комом земли, порода: Яблоня декоративная (шар), высота - 1,2 -1,4м, размер кома: диаметр-0,8 м, высота-0,6 м</v>
      </c>
      <c r="E215" s="22" t="str">
        <f>Source!H131</f>
        <v>шт.</v>
      </c>
      <c r="F215" s="9">
        <f>Source!I131</f>
        <v>4</v>
      </c>
      <c r="G215" s="24">
        <f>Source!AK131</f>
        <v>2833.33</v>
      </c>
      <c r="H215" s="32" t="s">
        <v>3</v>
      </c>
      <c r="I215" s="9">
        <f>Source!AW131</f>
        <v>1</v>
      </c>
      <c r="J215" s="9">
        <f>IF(Source!BC131&lt;&gt; 0, Source!BC131, 1)</f>
        <v>1</v>
      </c>
      <c r="K215" s="25">
        <f>Source!O131</f>
        <v>11333.32</v>
      </c>
      <c r="L215" s="25"/>
      <c r="Q215">
        <f>ROUND((Source!BZ131/100)*ROUND((Source!AF131*Source!AV131)*Source!I131, 2), 2)</f>
        <v>0</v>
      </c>
      <c r="R215">
        <f>Source!X131</f>
        <v>0</v>
      </c>
      <c r="S215">
        <f>ROUND((Source!CA131/100)*ROUND((Source!AF131*Source!AV131)*Source!I131, 2), 2)</f>
        <v>0</v>
      </c>
      <c r="T215">
        <f>Source!Y131</f>
        <v>0</v>
      </c>
      <c r="U215">
        <f>ROUND((175/100)*ROUND((Source!AE131*Source!AV131)*Source!I131, 2), 2)</f>
        <v>0</v>
      </c>
      <c r="V215">
        <f>ROUND((108/100)*ROUND(Source!CS131*Source!I131, 2), 2)</f>
        <v>0</v>
      </c>
    </row>
    <row r="216" spans="1:22" ht="14.25">
      <c r="A216" s="20"/>
      <c r="B216" s="20"/>
      <c r="C216" s="21"/>
      <c r="D216" s="21" t="s">
        <v>580</v>
      </c>
      <c r="E216" s="22" t="s">
        <v>581</v>
      </c>
      <c r="F216" s="9">
        <f>Source!AT130</f>
        <v>70</v>
      </c>
      <c r="G216" s="24"/>
      <c r="H216" s="23"/>
      <c r="I216" s="9"/>
      <c r="J216" s="9"/>
      <c r="K216" s="25">
        <f>SUM(R209:R215)</f>
        <v>1377.04</v>
      </c>
      <c r="L216" s="25"/>
    </row>
    <row r="217" spans="1:22" ht="14.25">
      <c r="A217" s="20"/>
      <c r="B217" s="20"/>
      <c r="C217" s="21"/>
      <c r="D217" s="21" t="s">
        <v>582</v>
      </c>
      <c r="E217" s="22" t="s">
        <v>581</v>
      </c>
      <c r="F217" s="9">
        <f>Source!AU130</f>
        <v>10</v>
      </c>
      <c r="G217" s="24"/>
      <c r="H217" s="23"/>
      <c r="I217" s="9"/>
      <c r="J217" s="9"/>
      <c r="K217" s="25">
        <f>SUM(T209:T216)</f>
        <v>196.72</v>
      </c>
      <c r="L217" s="25"/>
    </row>
    <row r="218" spans="1:22" ht="14.25">
      <c r="A218" s="20"/>
      <c r="B218" s="20"/>
      <c r="C218" s="21"/>
      <c r="D218" s="21" t="s">
        <v>583</v>
      </c>
      <c r="E218" s="22" t="s">
        <v>581</v>
      </c>
      <c r="F218" s="9">
        <f>108</f>
        <v>108</v>
      </c>
      <c r="G218" s="24"/>
      <c r="H218" s="23"/>
      <c r="I218" s="9"/>
      <c r="J218" s="9"/>
      <c r="K218" s="25">
        <f>SUM(V209:V217)</f>
        <v>150.55000000000001</v>
      </c>
      <c r="L218" s="25"/>
    </row>
    <row r="219" spans="1:22" ht="14.25">
      <c r="A219" s="20"/>
      <c r="B219" s="20"/>
      <c r="C219" s="21"/>
      <c r="D219" s="21" t="s">
        <v>584</v>
      </c>
      <c r="E219" s="22" t="s">
        <v>585</v>
      </c>
      <c r="F219" s="9">
        <f>Source!AQ130</f>
        <v>20.71</v>
      </c>
      <c r="G219" s="24"/>
      <c r="H219" s="23" t="str">
        <f>Source!DI130</f>
        <v/>
      </c>
      <c r="I219" s="9">
        <f>Source!AV130</f>
        <v>1</v>
      </c>
      <c r="J219" s="9"/>
      <c r="K219" s="25"/>
      <c r="L219" s="25">
        <f>Source!U130</f>
        <v>8.2840000000000007</v>
      </c>
    </row>
    <row r="220" spans="1:22" ht="15">
      <c r="A220" s="30"/>
      <c r="B220" s="30"/>
      <c r="C220" s="30"/>
      <c r="D220" s="30"/>
      <c r="E220" s="30"/>
      <c r="F220" s="30"/>
      <c r="G220" s="30"/>
      <c r="H220" s="30"/>
      <c r="I220" s="30"/>
      <c r="J220" s="91">
        <f>K211+K212+K214+K216+K217+K218+SUM(K215:K215)</f>
        <v>15971.1</v>
      </c>
      <c r="K220" s="91"/>
      <c r="L220" s="31">
        <f>IF(Source!I130&lt;&gt;0, ROUND(J220/Source!I130, 2), 0)</f>
        <v>39927.75</v>
      </c>
      <c r="P220" s="28">
        <f>J220</f>
        <v>15971.1</v>
      </c>
    </row>
    <row r="222" spans="1:22" ht="15">
      <c r="A222" s="95" t="str">
        <f>CONCATENATE("Итого по разделу: ",IF(Source!G133&lt;&gt;"Новый раздел", Source!G133, ""))</f>
        <v>Итого по разделу: Посадка деревьев лиственных - 4шт.</v>
      </c>
      <c r="B222" s="95"/>
      <c r="C222" s="95"/>
      <c r="D222" s="95"/>
      <c r="E222" s="95"/>
      <c r="F222" s="95"/>
      <c r="G222" s="95"/>
      <c r="H222" s="95"/>
      <c r="I222" s="95"/>
      <c r="J222" s="93">
        <f>SUM(P176:P221)</f>
        <v>24765.95</v>
      </c>
      <c r="K222" s="94"/>
      <c r="L222" s="33"/>
    </row>
    <row r="224" spans="1:22" ht="14.25">
      <c r="D224" s="88" t="str">
        <f>Source!H161</f>
        <v>Итого</v>
      </c>
      <c r="E224" s="88"/>
      <c r="F224" s="88"/>
      <c r="G224" s="88"/>
      <c r="H224" s="88"/>
      <c r="I224" s="88"/>
      <c r="J224" s="92">
        <f>IF(Source!F161=0, "", Source!F161)</f>
        <v>24765.95</v>
      </c>
      <c r="K224" s="92"/>
    </row>
    <row r="225" spans="1:22" ht="14.25">
      <c r="D225" s="88" t="str">
        <f>Source!H162</f>
        <v>НДС 20%</v>
      </c>
      <c r="E225" s="88"/>
      <c r="F225" s="88"/>
      <c r="G225" s="88"/>
      <c r="H225" s="88"/>
      <c r="I225" s="88"/>
      <c r="J225" s="92">
        <f>IF(Source!F162=0, "", Source!F162)</f>
        <v>4953.1899999999996</v>
      </c>
      <c r="K225" s="92"/>
    </row>
    <row r="226" spans="1:22" ht="14.25">
      <c r="D226" s="88" t="str">
        <f>Source!H163</f>
        <v>Всего с НДС</v>
      </c>
      <c r="E226" s="88"/>
      <c r="F226" s="88"/>
      <c r="G226" s="88"/>
      <c r="H226" s="88"/>
      <c r="I226" s="88"/>
      <c r="J226" s="92">
        <f>IF(Source!F163=0, "", Source!F163)</f>
        <v>29719.14</v>
      </c>
      <c r="K226" s="92"/>
    </row>
    <row r="228" spans="1:22" ht="16.5">
      <c r="A228" s="116" t="str">
        <f>CONCATENATE("Раздел: ",IF(Source!G165&lt;&gt;"Новый раздел", Source!G165, ""))</f>
        <v>Раздел: Посадка деревьев хвойных - 21шт.</v>
      </c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</row>
    <row r="229" spans="1:22" ht="85.5">
      <c r="A229" s="20">
        <v>31</v>
      </c>
      <c r="B229" s="20" t="str">
        <f>Source!E169</f>
        <v>19</v>
      </c>
      <c r="C229" s="21" t="str">
        <f>Source!F169</f>
        <v>5.4-3103-1-20/1</v>
      </c>
      <c r="D229" s="21" t="str">
        <f>Source!G169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E229" s="22" t="str">
        <f>Source!H169</f>
        <v>10 ям</v>
      </c>
      <c r="F229" s="9">
        <f>Source!I169</f>
        <v>0.24</v>
      </c>
      <c r="G229" s="24"/>
      <c r="H229" s="23"/>
      <c r="I229" s="9"/>
      <c r="J229" s="9"/>
      <c r="K229" s="25"/>
      <c r="L229" s="25"/>
      <c r="Q229">
        <f>ROUND((Source!BZ169/100)*ROUND((Source!AF169*Source!AV169)*Source!I169, 2), 2)</f>
        <v>1045.75</v>
      </c>
      <c r="R229">
        <f>Source!X169</f>
        <v>1045.75</v>
      </c>
      <c r="S229">
        <f>ROUND((Source!CA169/100)*ROUND((Source!AF169*Source!AV169)*Source!I169, 2), 2)</f>
        <v>149.38999999999999</v>
      </c>
      <c r="T229">
        <f>Source!Y169</f>
        <v>149.38999999999999</v>
      </c>
      <c r="U229">
        <f>ROUND((175/100)*ROUND((Source!AE169*Source!AV169)*Source!I169, 2), 2)</f>
        <v>128.08000000000001</v>
      </c>
      <c r="V229">
        <f>ROUND((108/100)*ROUND(Source!CS169*Source!I169, 2), 2)</f>
        <v>79.05</v>
      </c>
    </row>
    <row r="230" spans="1:22">
      <c r="D230" s="26" t="str">
        <f>"Объем: "&amp;Source!I169&amp;"=(4*"&amp;"0,6)/"&amp;"10"</f>
        <v>Объем: 0,24=(4*0,6)/10</v>
      </c>
    </row>
    <row r="231" spans="1:22" ht="14.25">
      <c r="A231" s="20"/>
      <c r="B231" s="20"/>
      <c r="C231" s="21"/>
      <c r="D231" s="21" t="s">
        <v>577</v>
      </c>
      <c r="E231" s="22"/>
      <c r="F231" s="9"/>
      <c r="G231" s="24">
        <f>Source!AO169</f>
        <v>6224.69</v>
      </c>
      <c r="H231" s="23" t="str">
        <f>Source!DG169</f>
        <v/>
      </c>
      <c r="I231" s="9">
        <f>Source!AV169</f>
        <v>1</v>
      </c>
      <c r="J231" s="9">
        <f>IF(Source!BA169&lt;&gt; 0, Source!BA169, 1)</f>
        <v>1</v>
      </c>
      <c r="K231" s="25">
        <f>Source!S169</f>
        <v>1493.93</v>
      </c>
      <c r="L231" s="25"/>
    </row>
    <row r="232" spans="1:22" ht="14.25">
      <c r="A232" s="20"/>
      <c r="B232" s="20"/>
      <c r="C232" s="21"/>
      <c r="D232" s="21" t="s">
        <v>578</v>
      </c>
      <c r="E232" s="22"/>
      <c r="F232" s="9"/>
      <c r="G232" s="24">
        <f>Source!AM169</f>
        <v>552.27</v>
      </c>
      <c r="H232" s="23" t="str">
        <f>Source!DE169</f>
        <v/>
      </c>
      <c r="I232" s="9">
        <f>Source!AV169</f>
        <v>1</v>
      </c>
      <c r="J232" s="9">
        <f>IF(Source!BB169&lt;&gt; 0, Source!BB169, 1)</f>
        <v>1</v>
      </c>
      <c r="K232" s="25">
        <f>Source!Q169</f>
        <v>132.54</v>
      </c>
      <c r="L232" s="25"/>
    </row>
    <row r="233" spans="1:22" ht="14.25">
      <c r="A233" s="20"/>
      <c r="B233" s="20"/>
      <c r="C233" s="21"/>
      <c r="D233" s="21" t="s">
        <v>579</v>
      </c>
      <c r="E233" s="22"/>
      <c r="F233" s="9"/>
      <c r="G233" s="24">
        <f>Source!AN169</f>
        <v>304.97000000000003</v>
      </c>
      <c r="H233" s="23" t="str">
        <f>Source!DF169</f>
        <v/>
      </c>
      <c r="I233" s="9">
        <f>Source!AV169</f>
        <v>1</v>
      </c>
      <c r="J233" s="9">
        <f>IF(Source!BS169&lt;&gt; 0, Source!BS169, 1)</f>
        <v>1</v>
      </c>
      <c r="K233" s="27">
        <f>Source!R169</f>
        <v>73.19</v>
      </c>
      <c r="L233" s="25"/>
    </row>
    <row r="234" spans="1:22" ht="14.25">
      <c r="A234" s="20"/>
      <c r="B234" s="20"/>
      <c r="C234" s="21"/>
      <c r="D234" s="21" t="s">
        <v>586</v>
      </c>
      <c r="E234" s="22"/>
      <c r="F234" s="9"/>
      <c r="G234" s="24">
        <f>Source!AL169</f>
        <v>6374.45</v>
      </c>
      <c r="H234" s="23" t="str">
        <f>Source!DD169</f>
        <v/>
      </c>
      <c r="I234" s="9">
        <f>Source!AW169</f>
        <v>1</v>
      </c>
      <c r="J234" s="9">
        <f>IF(Source!BC169&lt;&gt; 0, Source!BC169, 1)</f>
        <v>1</v>
      </c>
      <c r="K234" s="25">
        <f>Source!P169</f>
        <v>1529.87</v>
      </c>
      <c r="L234" s="25"/>
    </row>
    <row r="235" spans="1:22" ht="14.25">
      <c r="A235" s="20"/>
      <c r="B235" s="20"/>
      <c r="C235" s="21"/>
      <c r="D235" s="21" t="s">
        <v>580</v>
      </c>
      <c r="E235" s="22" t="s">
        <v>581</v>
      </c>
      <c r="F235" s="9">
        <f>Source!AT169</f>
        <v>70</v>
      </c>
      <c r="G235" s="24"/>
      <c r="H235" s="23"/>
      <c r="I235" s="9"/>
      <c r="J235" s="9"/>
      <c r="K235" s="25">
        <f>SUM(R229:R234)</f>
        <v>1045.75</v>
      </c>
      <c r="L235" s="25"/>
    </row>
    <row r="236" spans="1:22" ht="14.25">
      <c r="A236" s="20"/>
      <c r="B236" s="20"/>
      <c r="C236" s="21"/>
      <c r="D236" s="21" t="s">
        <v>582</v>
      </c>
      <c r="E236" s="22" t="s">
        <v>581</v>
      </c>
      <c r="F236" s="9">
        <f>Source!AU169</f>
        <v>10</v>
      </c>
      <c r="G236" s="24"/>
      <c r="H236" s="23"/>
      <c r="I236" s="9"/>
      <c r="J236" s="9"/>
      <c r="K236" s="25">
        <f>SUM(T229:T235)</f>
        <v>149.38999999999999</v>
      </c>
      <c r="L236" s="25"/>
    </row>
    <row r="237" spans="1:22" ht="14.25">
      <c r="A237" s="20"/>
      <c r="B237" s="20"/>
      <c r="C237" s="21"/>
      <c r="D237" s="21" t="s">
        <v>583</v>
      </c>
      <c r="E237" s="22" t="s">
        <v>581</v>
      </c>
      <c r="F237" s="9">
        <f>108</f>
        <v>108</v>
      </c>
      <c r="G237" s="24"/>
      <c r="H237" s="23"/>
      <c r="I237" s="9"/>
      <c r="J237" s="9"/>
      <c r="K237" s="25">
        <f>SUM(V229:V236)</f>
        <v>79.05</v>
      </c>
      <c r="L237" s="25"/>
    </row>
    <row r="238" spans="1:22" ht="14.25">
      <c r="A238" s="20"/>
      <c r="B238" s="20"/>
      <c r="C238" s="21"/>
      <c r="D238" s="21" t="s">
        <v>584</v>
      </c>
      <c r="E238" s="22" t="s">
        <v>585</v>
      </c>
      <c r="F238" s="9">
        <f>Source!AQ169</f>
        <v>34.44</v>
      </c>
      <c r="G238" s="24"/>
      <c r="H238" s="23" t="str">
        <f>Source!DI169</f>
        <v/>
      </c>
      <c r="I238" s="9">
        <f>Source!AV169</f>
        <v>1</v>
      </c>
      <c r="J238" s="9"/>
      <c r="K238" s="25"/>
      <c r="L238" s="25">
        <f>Source!U169</f>
        <v>8.2655999999999992</v>
      </c>
    </row>
    <row r="239" spans="1:22" ht="15">
      <c r="A239" s="30"/>
      <c r="B239" s="30"/>
      <c r="C239" s="30"/>
      <c r="D239" s="30"/>
      <c r="E239" s="30"/>
      <c r="F239" s="30"/>
      <c r="G239" s="30"/>
      <c r="H239" s="30"/>
      <c r="I239" s="30"/>
      <c r="J239" s="91">
        <f>K231+K232+K234+K235+K236+K237</f>
        <v>4430.5300000000007</v>
      </c>
      <c r="K239" s="91"/>
      <c r="L239" s="31">
        <f>IF(Source!I169&lt;&gt;0, ROUND(J239/Source!I169, 2), 0)</f>
        <v>18460.54</v>
      </c>
      <c r="P239" s="28">
        <f>J239</f>
        <v>4430.5300000000007</v>
      </c>
    </row>
    <row r="240" spans="1:22" ht="57">
      <c r="A240" s="20">
        <v>32</v>
      </c>
      <c r="B240" s="20" t="str">
        <f>Source!E170</f>
        <v>20</v>
      </c>
      <c r="C240" s="21" t="str">
        <f>Source!F170</f>
        <v>5.4-3103-3-20/1</v>
      </c>
      <c r="D240" s="21" t="str">
        <f>Source!G170</f>
        <v>Подготовка стандартных посадочных мест вручную, с круглым комом земли размером 0,8х0,6 м с добавлением растительной земли до 100%</v>
      </c>
      <c r="E240" s="22" t="str">
        <f>Source!H170</f>
        <v>10 ям</v>
      </c>
      <c r="F240" s="9">
        <f>Source!I170</f>
        <v>0.16</v>
      </c>
      <c r="G240" s="24"/>
      <c r="H240" s="23"/>
      <c r="I240" s="9"/>
      <c r="J240" s="9"/>
      <c r="K240" s="25"/>
      <c r="L240" s="25"/>
      <c r="Q240">
        <f>ROUND((Source!BZ170/100)*ROUND((Source!AF170*Source!AV170)*Source!I170, 2), 2)</f>
        <v>1189.27</v>
      </c>
      <c r="R240">
        <f>Source!X170</f>
        <v>1189.27</v>
      </c>
      <c r="S240">
        <f>ROUND((Source!CA170/100)*ROUND((Source!AF170*Source!AV170)*Source!I170, 2), 2)</f>
        <v>169.9</v>
      </c>
      <c r="T240">
        <f>Source!Y170</f>
        <v>169.9</v>
      </c>
      <c r="U240">
        <f>ROUND((175/100)*ROUND((Source!AE170*Source!AV170)*Source!I170, 2), 2)</f>
        <v>0</v>
      </c>
      <c r="V240">
        <f>ROUND((108/100)*ROUND(Source!CS170*Source!I170, 2), 2)</f>
        <v>0</v>
      </c>
    </row>
    <row r="241" spans="1:22">
      <c r="D241" s="26" t="str">
        <f>"Объем: "&amp;Source!I170&amp;"=(4*"&amp;"0,4)/"&amp;"10"</f>
        <v>Объем: 0,16=(4*0,4)/10</v>
      </c>
    </row>
    <row r="242" spans="1:22" ht="14.25">
      <c r="A242" s="20"/>
      <c r="B242" s="20"/>
      <c r="C242" s="21"/>
      <c r="D242" s="21" t="s">
        <v>577</v>
      </c>
      <c r="E242" s="22"/>
      <c r="F242" s="9"/>
      <c r="G242" s="24">
        <f>Source!AO170</f>
        <v>10618.48</v>
      </c>
      <c r="H242" s="23" t="str">
        <f>Source!DG170</f>
        <v/>
      </c>
      <c r="I242" s="9">
        <f>Source!AV170</f>
        <v>1</v>
      </c>
      <c r="J242" s="9">
        <f>IF(Source!BA170&lt;&gt; 0, Source!BA170, 1)</f>
        <v>1</v>
      </c>
      <c r="K242" s="25">
        <f>Source!S170</f>
        <v>1698.96</v>
      </c>
      <c r="L242" s="25"/>
    </row>
    <row r="243" spans="1:22" ht="14.25">
      <c r="A243" s="20"/>
      <c r="B243" s="20"/>
      <c r="C243" s="21"/>
      <c r="D243" s="21" t="s">
        <v>586</v>
      </c>
      <c r="E243" s="22"/>
      <c r="F243" s="9"/>
      <c r="G243" s="24">
        <f>Source!AL170</f>
        <v>6374.45</v>
      </c>
      <c r="H243" s="23" t="str">
        <f>Source!DD170</f>
        <v/>
      </c>
      <c r="I243" s="9">
        <f>Source!AW170</f>
        <v>1</v>
      </c>
      <c r="J243" s="9">
        <f>IF(Source!BC170&lt;&gt; 0, Source!BC170, 1)</f>
        <v>1</v>
      </c>
      <c r="K243" s="25">
        <f>Source!P170</f>
        <v>1019.91</v>
      </c>
      <c r="L243" s="25"/>
    </row>
    <row r="244" spans="1:22" ht="14.25">
      <c r="A244" s="20"/>
      <c r="B244" s="20"/>
      <c r="C244" s="21"/>
      <c r="D244" s="21" t="s">
        <v>580</v>
      </c>
      <c r="E244" s="22" t="s">
        <v>581</v>
      </c>
      <c r="F244" s="9">
        <f>Source!AT170</f>
        <v>70</v>
      </c>
      <c r="G244" s="24"/>
      <c r="H244" s="23"/>
      <c r="I244" s="9"/>
      <c r="J244" s="9"/>
      <c r="K244" s="25">
        <f>SUM(R240:R243)</f>
        <v>1189.27</v>
      </c>
      <c r="L244" s="25"/>
    </row>
    <row r="245" spans="1:22" ht="14.25">
      <c r="A245" s="20"/>
      <c r="B245" s="20"/>
      <c r="C245" s="21"/>
      <c r="D245" s="21" t="s">
        <v>582</v>
      </c>
      <c r="E245" s="22" t="s">
        <v>581</v>
      </c>
      <c r="F245" s="9">
        <f>Source!AU170</f>
        <v>10</v>
      </c>
      <c r="G245" s="24"/>
      <c r="H245" s="23"/>
      <c r="I245" s="9"/>
      <c r="J245" s="9"/>
      <c r="K245" s="25">
        <f>SUM(T240:T244)</f>
        <v>169.9</v>
      </c>
      <c r="L245" s="25"/>
    </row>
    <row r="246" spans="1:22" ht="14.25">
      <c r="A246" s="20"/>
      <c r="B246" s="20"/>
      <c r="C246" s="21"/>
      <c r="D246" s="21" t="s">
        <v>584</v>
      </c>
      <c r="E246" s="22" t="s">
        <v>585</v>
      </c>
      <c r="F246" s="9">
        <f>Source!AQ170</f>
        <v>58.75</v>
      </c>
      <c r="G246" s="24"/>
      <c r="H246" s="23" t="str">
        <f>Source!DI170</f>
        <v/>
      </c>
      <c r="I246" s="9">
        <f>Source!AV170</f>
        <v>1</v>
      </c>
      <c r="J246" s="9"/>
      <c r="K246" s="25"/>
      <c r="L246" s="25">
        <f>Source!U170</f>
        <v>9.4</v>
      </c>
    </row>
    <row r="247" spans="1:22" ht="15">
      <c r="A247" s="30"/>
      <c r="B247" s="30"/>
      <c r="C247" s="30"/>
      <c r="D247" s="30"/>
      <c r="E247" s="30"/>
      <c r="F247" s="30"/>
      <c r="G247" s="30"/>
      <c r="H247" s="30"/>
      <c r="I247" s="30"/>
      <c r="J247" s="91">
        <f>K242+K243+K244+K245</f>
        <v>4078.04</v>
      </c>
      <c r="K247" s="91"/>
      <c r="L247" s="31">
        <f>IF(Source!I170&lt;&gt;0, ROUND(J247/Source!I170, 2), 0)</f>
        <v>25487.75</v>
      </c>
      <c r="P247" s="28">
        <f>J247</f>
        <v>4078.04</v>
      </c>
    </row>
    <row r="248" spans="1:22" ht="142.5">
      <c r="A248" s="20">
        <v>33</v>
      </c>
      <c r="B248" s="20" t="str">
        <f>Source!E171</f>
        <v>21</v>
      </c>
      <c r="C248" s="21" t="str">
        <f>Source!F171</f>
        <v>5.4-3503-1-1/1</v>
      </c>
      <c r="D248" s="21" t="str">
        <f>Source!G171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4дерева =4,52м3 - при слое 20 см покрываемая площадь 4,52м3/0,2м х 0,75)</v>
      </c>
      <c r="E248" s="22" t="str">
        <f>Source!H171</f>
        <v>100 м2</v>
      </c>
      <c r="F248" s="9">
        <f>Source!I171</f>
        <v>0.16950000000000001</v>
      </c>
      <c r="G248" s="24"/>
      <c r="H248" s="23"/>
      <c r="I248" s="9"/>
      <c r="J248" s="9"/>
      <c r="K248" s="25"/>
      <c r="L248" s="25"/>
      <c r="Q248">
        <f>ROUND((Source!BZ171/100)*ROUND((Source!AF171*Source!AV171)*Source!I171, 2), 2)</f>
        <v>0</v>
      </c>
      <c r="R248">
        <f>Source!X171</f>
        <v>0</v>
      </c>
      <c r="S248">
        <f>ROUND((Source!CA171/100)*ROUND((Source!AF171*Source!AV171)*Source!I171, 2), 2)</f>
        <v>0</v>
      </c>
      <c r="T248">
        <f>Source!Y171</f>
        <v>0</v>
      </c>
      <c r="U248">
        <f>ROUND((175/100)*ROUND((Source!AE171*Source!AV171)*Source!I171, 2), 2)</f>
        <v>33.06</v>
      </c>
      <c r="V248">
        <f>ROUND((108/100)*ROUND(Source!CS171*Source!I171, 2), 2)</f>
        <v>20.399999999999999</v>
      </c>
    </row>
    <row r="249" spans="1:22">
      <c r="D249" s="26" t="str">
        <f>"Объем: "&amp;Source!I171&amp;"=16,95/"&amp;"100"</f>
        <v>Объем: 0,1695=16,95/100</v>
      </c>
    </row>
    <row r="250" spans="1:22" ht="14.25">
      <c r="A250" s="20"/>
      <c r="B250" s="20"/>
      <c r="C250" s="21"/>
      <c r="D250" s="21" t="s">
        <v>578</v>
      </c>
      <c r="E250" s="22"/>
      <c r="F250" s="9"/>
      <c r="G250" s="24">
        <f>Source!AM171</f>
        <v>296.60000000000002</v>
      </c>
      <c r="H250" s="23" t="str">
        <f>Source!DE171</f>
        <v/>
      </c>
      <c r="I250" s="9">
        <f>Source!AV171</f>
        <v>1</v>
      </c>
      <c r="J250" s="9">
        <f>IF(Source!BB171&lt;&gt; 0, Source!BB171, 1)</f>
        <v>1</v>
      </c>
      <c r="K250" s="25">
        <f>Source!Q171</f>
        <v>50.27</v>
      </c>
      <c r="L250" s="25"/>
    </row>
    <row r="251" spans="1:22" ht="14.25">
      <c r="A251" s="20"/>
      <c r="B251" s="20"/>
      <c r="C251" s="21"/>
      <c r="D251" s="21" t="s">
        <v>579</v>
      </c>
      <c r="E251" s="22"/>
      <c r="F251" s="9"/>
      <c r="G251" s="24">
        <f>Source!AN171</f>
        <v>111.43</v>
      </c>
      <c r="H251" s="23" t="str">
        <f>Source!DF171</f>
        <v/>
      </c>
      <c r="I251" s="9">
        <f>Source!AV171</f>
        <v>1</v>
      </c>
      <c r="J251" s="9">
        <f>IF(Source!BS171&lt;&gt; 0, Source!BS171, 1)</f>
        <v>1</v>
      </c>
      <c r="K251" s="27">
        <f>Source!R171</f>
        <v>18.89</v>
      </c>
      <c r="L251" s="25"/>
    </row>
    <row r="252" spans="1:22" ht="14.25">
      <c r="A252" s="20"/>
      <c r="B252" s="20"/>
      <c r="C252" s="21"/>
      <c r="D252" s="21" t="s">
        <v>583</v>
      </c>
      <c r="E252" s="22" t="s">
        <v>581</v>
      </c>
      <c r="F252" s="9">
        <f>108</f>
        <v>108</v>
      </c>
      <c r="G252" s="24"/>
      <c r="H252" s="23"/>
      <c r="I252" s="9"/>
      <c r="J252" s="9"/>
      <c r="K252" s="25">
        <f>SUM(V248:V251)</f>
        <v>20.399999999999999</v>
      </c>
      <c r="L252" s="25"/>
    </row>
    <row r="253" spans="1:22" ht="15">
      <c r="A253" s="30"/>
      <c r="B253" s="30"/>
      <c r="C253" s="30"/>
      <c r="D253" s="30"/>
      <c r="E253" s="30"/>
      <c r="F253" s="30"/>
      <c r="G253" s="30"/>
      <c r="H253" s="30"/>
      <c r="I253" s="30"/>
      <c r="J253" s="91">
        <f>K250+K252</f>
        <v>70.67</v>
      </c>
      <c r="K253" s="91"/>
      <c r="L253" s="31">
        <f>IF(Source!I171&lt;&gt;0, ROUND(J253/Source!I171, 2), 0)</f>
        <v>416.93</v>
      </c>
      <c r="P253" s="28">
        <f>J253</f>
        <v>70.67</v>
      </c>
    </row>
    <row r="254" spans="1:22" ht="99.75">
      <c r="A254" s="20">
        <v>34</v>
      </c>
      <c r="B254" s="20" t="str">
        <f>Source!E172</f>
        <v>22</v>
      </c>
      <c r="C254" s="21" t="str">
        <f>Source!F172</f>
        <v>5.4-3503-1-2/1</v>
      </c>
      <c r="D254" s="21" t="str">
        <f>Source!G172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4,52м3/0,2м х 0,25)</v>
      </c>
      <c r="E254" s="22" t="str">
        <f>Source!H172</f>
        <v>100 м2</v>
      </c>
      <c r="F254" s="9">
        <f>Source!I172</f>
        <v>5.6500000000000002E-2</v>
      </c>
      <c r="G254" s="24"/>
      <c r="H254" s="23"/>
      <c r="I254" s="9"/>
      <c r="J254" s="9"/>
      <c r="K254" s="25"/>
      <c r="L254" s="25"/>
      <c r="Q254">
        <f>ROUND((Source!BZ172/100)*ROUND((Source!AF172*Source!AV172)*Source!I172, 2), 2)</f>
        <v>83.85</v>
      </c>
      <c r="R254">
        <f>Source!X172</f>
        <v>83.85</v>
      </c>
      <c r="S254">
        <f>ROUND((Source!CA172/100)*ROUND((Source!AF172*Source!AV172)*Source!I172, 2), 2)</f>
        <v>11.98</v>
      </c>
      <c r="T254">
        <f>Source!Y172</f>
        <v>11.98</v>
      </c>
      <c r="U254">
        <f>ROUND((175/100)*ROUND((Source!AE172*Source!AV172)*Source!I172, 2), 2)</f>
        <v>0</v>
      </c>
      <c r="V254">
        <f>ROUND((108/100)*ROUND(Source!CS172*Source!I172, 2), 2)</f>
        <v>0</v>
      </c>
    </row>
    <row r="255" spans="1:22">
      <c r="D255" s="26" t="str">
        <f>"Объем: "&amp;Source!I172&amp;"=5,65/"&amp;"100"</f>
        <v>Объем: 0,0565=5,65/100</v>
      </c>
    </row>
    <row r="256" spans="1:22" ht="14.25">
      <c r="A256" s="20"/>
      <c r="B256" s="20"/>
      <c r="C256" s="21"/>
      <c r="D256" s="21" t="s">
        <v>577</v>
      </c>
      <c r="E256" s="22"/>
      <c r="F256" s="9"/>
      <c r="G256" s="24">
        <f>Source!AO172</f>
        <v>2120.08</v>
      </c>
      <c r="H256" s="23" t="str">
        <f>Source!DG172</f>
        <v/>
      </c>
      <c r="I256" s="9">
        <f>Source!AV172</f>
        <v>1</v>
      </c>
      <c r="J256" s="9">
        <f>IF(Source!BA172&lt;&gt; 0, Source!BA172, 1)</f>
        <v>1</v>
      </c>
      <c r="K256" s="25">
        <f>Source!S172</f>
        <v>119.78</v>
      </c>
      <c r="L256" s="25"/>
    </row>
    <row r="257" spans="1:22" ht="14.25">
      <c r="A257" s="20"/>
      <c r="B257" s="20"/>
      <c r="C257" s="21"/>
      <c r="D257" s="21" t="s">
        <v>580</v>
      </c>
      <c r="E257" s="22" t="s">
        <v>581</v>
      </c>
      <c r="F257" s="9">
        <f>Source!AT172</f>
        <v>70</v>
      </c>
      <c r="G257" s="24"/>
      <c r="H257" s="23"/>
      <c r="I257" s="9"/>
      <c r="J257" s="9"/>
      <c r="K257" s="25">
        <f>SUM(R254:R256)</f>
        <v>83.85</v>
      </c>
      <c r="L257" s="25"/>
    </row>
    <row r="258" spans="1:22" ht="14.25">
      <c r="A258" s="20"/>
      <c r="B258" s="20"/>
      <c r="C258" s="21"/>
      <c r="D258" s="21" t="s">
        <v>582</v>
      </c>
      <c r="E258" s="22" t="s">
        <v>581</v>
      </c>
      <c r="F258" s="9">
        <f>Source!AU172</f>
        <v>10</v>
      </c>
      <c r="G258" s="24"/>
      <c r="H258" s="23"/>
      <c r="I258" s="9"/>
      <c r="J258" s="9"/>
      <c r="K258" s="25">
        <f>SUM(T254:T257)</f>
        <v>11.98</v>
      </c>
      <c r="L258" s="25"/>
    </row>
    <row r="259" spans="1:22" ht="14.25">
      <c r="A259" s="20"/>
      <c r="B259" s="20"/>
      <c r="C259" s="21"/>
      <c r="D259" s="21" t="s">
        <v>584</v>
      </c>
      <c r="E259" s="22" t="s">
        <v>585</v>
      </c>
      <c r="F259" s="9">
        <f>Source!AQ172</f>
        <v>11.73</v>
      </c>
      <c r="G259" s="24"/>
      <c r="H259" s="23" t="str">
        <f>Source!DI172</f>
        <v/>
      </c>
      <c r="I259" s="9">
        <f>Source!AV172</f>
        <v>1</v>
      </c>
      <c r="J259" s="9"/>
      <c r="K259" s="25"/>
      <c r="L259" s="25">
        <f>Source!U172</f>
        <v>0.66274500000000003</v>
      </c>
    </row>
    <row r="260" spans="1:22" ht="15">
      <c r="A260" s="30"/>
      <c r="B260" s="30"/>
      <c r="C260" s="30"/>
      <c r="D260" s="30"/>
      <c r="E260" s="30"/>
      <c r="F260" s="30"/>
      <c r="G260" s="30"/>
      <c r="H260" s="30"/>
      <c r="I260" s="30"/>
      <c r="J260" s="91">
        <f>K256+K257+K258</f>
        <v>215.60999999999999</v>
      </c>
      <c r="K260" s="91"/>
      <c r="L260" s="31">
        <f>IF(Source!I172&lt;&gt;0, ROUND(J260/Source!I172, 2), 0)</f>
        <v>3816.11</v>
      </c>
      <c r="P260" s="28">
        <f>J260</f>
        <v>215.60999999999999</v>
      </c>
    </row>
    <row r="261" spans="1:22" ht="57">
      <c r="A261" s="20">
        <v>35</v>
      </c>
      <c r="B261" s="20" t="str">
        <f>Source!E173</f>
        <v>23</v>
      </c>
      <c r="C261" s="21" t="str">
        <f>Source!F173</f>
        <v>5.4-3103-6-4/1</v>
      </c>
      <c r="D261" s="21" t="str">
        <f>Source!G173</f>
        <v>Посадка деревьев и кустарников с комом земли, диаметром 0,8 м и высотой 0,6 м (без стоимости деревьев и кустарников)</v>
      </c>
      <c r="E261" s="22" t="str">
        <f>Source!H173</f>
        <v>10 шт.</v>
      </c>
      <c r="F261" s="9">
        <f>Source!I173</f>
        <v>0.4</v>
      </c>
      <c r="G261" s="24"/>
      <c r="H261" s="23"/>
      <c r="I261" s="9"/>
      <c r="J261" s="9"/>
      <c r="K261" s="25"/>
      <c r="L261" s="25"/>
      <c r="Q261">
        <f>ROUND((Source!BZ173/100)*ROUND((Source!AF173*Source!AV173)*Source!I173, 2), 2)</f>
        <v>1377.04</v>
      </c>
      <c r="R261">
        <f>Source!X173</f>
        <v>1377.04</v>
      </c>
      <c r="S261">
        <f>ROUND((Source!CA173/100)*ROUND((Source!AF173*Source!AV173)*Source!I173, 2), 2)</f>
        <v>196.72</v>
      </c>
      <c r="T261">
        <f>Source!Y173</f>
        <v>196.72</v>
      </c>
      <c r="U261">
        <f>ROUND((175/100)*ROUND((Source!AE173*Source!AV173)*Source!I173, 2), 2)</f>
        <v>243.95</v>
      </c>
      <c r="V261">
        <f>ROUND((108/100)*ROUND(Source!CS173*Source!I173, 2), 2)</f>
        <v>150.55000000000001</v>
      </c>
    </row>
    <row r="262" spans="1:22">
      <c r="D262" s="26" t="str">
        <f>"Объем: "&amp;Source!I173&amp;"=4/"&amp;"10"</f>
        <v>Объем: 0,4=4/10</v>
      </c>
    </row>
    <row r="263" spans="1:22" ht="14.25">
      <c r="A263" s="20"/>
      <c r="B263" s="20"/>
      <c r="C263" s="21"/>
      <c r="D263" s="21" t="s">
        <v>577</v>
      </c>
      <c r="E263" s="22"/>
      <c r="F263" s="9"/>
      <c r="G263" s="24">
        <f>Source!AO173</f>
        <v>4918</v>
      </c>
      <c r="H263" s="23" t="str">
        <f>Source!DG173</f>
        <v/>
      </c>
      <c r="I263" s="9">
        <f>Source!AV173</f>
        <v>1</v>
      </c>
      <c r="J263" s="9">
        <f>IF(Source!BA173&lt;&gt; 0, Source!BA173, 1)</f>
        <v>1</v>
      </c>
      <c r="K263" s="25">
        <f>Source!S173</f>
        <v>1967.2</v>
      </c>
      <c r="L263" s="25"/>
    </row>
    <row r="264" spans="1:22" ht="14.25">
      <c r="A264" s="20"/>
      <c r="B264" s="20"/>
      <c r="C264" s="21"/>
      <c r="D264" s="21" t="s">
        <v>578</v>
      </c>
      <c r="E264" s="22"/>
      <c r="F264" s="9"/>
      <c r="G264" s="24">
        <f>Source!AM173</f>
        <v>1535.65</v>
      </c>
      <c r="H264" s="23" t="str">
        <f>Source!DE173</f>
        <v/>
      </c>
      <c r="I264" s="9">
        <f>Source!AV173</f>
        <v>1</v>
      </c>
      <c r="J264" s="9">
        <f>IF(Source!BB173&lt;&gt; 0, Source!BB173, 1)</f>
        <v>1</v>
      </c>
      <c r="K264" s="25">
        <f>Source!Q173</f>
        <v>614.26</v>
      </c>
      <c r="L264" s="25"/>
    </row>
    <row r="265" spans="1:22" ht="14.25">
      <c r="A265" s="20"/>
      <c r="B265" s="20"/>
      <c r="C265" s="21"/>
      <c r="D265" s="21" t="s">
        <v>579</v>
      </c>
      <c r="E265" s="22"/>
      <c r="F265" s="9"/>
      <c r="G265" s="24">
        <f>Source!AN173</f>
        <v>348.51</v>
      </c>
      <c r="H265" s="23" t="str">
        <f>Source!DF173</f>
        <v/>
      </c>
      <c r="I265" s="9">
        <f>Source!AV173</f>
        <v>1</v>
      </c>
      <c r="J265" s="9">
        <f>IF(Source!BS173&lt;&gt; 0, Source!BS173, 1)</f>
        <v>1</v>
      </c>
      <c r="K265" s="27">
        <f>Source!R173</f>
        <v>139.4</v>
      </c>
      <c r="L265" s="25"/>
    </row>
    <row r="266" spans="1:22" ht="14.25">
      <c r="A266" s="20"/>
      <c r="B266" s="20"/>
      <c r="C266" s="21"/>
      <c r="D266" s="21" t="s">
        <v>586</v>
      </c>
      <c r="E266" s="22"/>
      <c r="F266" s="9"/>
      <c r="G266" s="24">
        <f>Source!AL173</f>
        <v>830.02</v>
      </c>
      <c r="H266" s="23" t="str">
        <f>Source!DD173</f>
        <v/>
      </c>
      <c r="I266" s="9">
        <f>Source!AW173</f>
        <v>1</v>
      </c>
      <c r="J266" s="9">
        <f>IF(Source!BC173&lt;&gt; 0, Source!BC173, 1)</f>
        <v>1</v>
      </c>
      <c r="K266" s="25">
        <f>Source!P173</f>
        <v>332.01</v>
      </c>
      <c r="L266" s="25"/>
    </row>
    <row r="267" spans="1:22" ht="57">
      <c r="A267" s="20">
        <v>36</v>
      </c>
      <c r="B267" s="20" t="str">
        <f>Source!E174</f>
        <v>23,1</v>
      </c>
      <c r="C267" s="21" t="str">
        <f>Source!F174</f>
        <v>комерческое предложение</v>
      </c>
      <c r="D267" s="21" t="str">
        <f>Source!G174</f>
        <v>Деревья хвойные садовых форм с комом земли, порода: Ель Глаука Глобоза высота - 1,8-2,2 м, размер кома 1,3х1,3х0,6 м</v>
      </c>
      <c r="E267" s="22" t="str">
        <f>Source!H174</f>
        <v>шт.</v>
      </c>
      <c r="F267" s="9">
        <f>Source!I174</f>
        <v>2</v>
      </c>
      <c r="G267" s="24">
        <f>Source!AK174</f>
        <v>13809.17</v>
      </c>
      <c r="H267" s="32" t="s">
        <v>3</v>
      </c>
      <c r="I267" s="9">
        <f>Source!AW174</f>
        <v>1</v>
      </c>
      <c r="J267" s="9">
        <f>IF(Source!BC174&lt;&gt; 0, Source!BC174, 1)</f>
        <v>1</v>
      </c>
      <c r="K267" s="25">
        <f>Source!O174</f>
        <v>27618.34</v>
      </c>
      <c r="L267" s="25"/>
      <c r="Q267">
        <f>ROUND((Source!BZ174/100)*ROUND((Source!AF174*Source!AV174)*Source!I174, 2), 2)</f>
        <v>0</v>
      </c>
      <c r="R267">
        <f>Source!X174</f>
        <v>0</v>
      </c>
      <c r="S267">
        <f>ROUND((Source!CA174/100)*ROUND((Source!AF174*Source!AV174)*Source!I174, 2), 2)</f>
        <v>0</v>
      </c>
      <c r="T267">
        <f>Source!Y174</f>
        <v>0</v>
      </c>
      <c r="U267">
        <f>ROUND((175/100)*ROUND((Source!AE174*Source!AV174)*Source!I174, 2), 2)</f>
        <v>0</v>
      </c>
      <c r="V267">
        <f>ROUND((108/100)*ROUND(Source!CS174*Source!I174, 2), 2)</f>
        <v>0</v>
      </c>
    </row>
    <row r="268" spans="1:22" ht="57">
      <c r="A268" s="20">
        <v>37</v>
      </c>
      <c r="B268" s="20" t="str">
        <f>Source!E175</f>
        <v>23,2</v>
      </c>
      <c r="C268" s="21" t="str">
        <f>Source!F175</f>
        <v>комерческое предложение</v>
      </c>
      <c r="D268" s="21" t="str">
        <f>Source!G175</f>
        <v>Деревья хвойные садовых форм с комом земли, порода:  Сосна Нигра, высота - 1,8-2,2 м, размер кома 1,3х1,3х0,6 м</v>
      </c>
      <c r="E268" s="22" t="str">
        <f>Source!H175</f>
        <v>шт.</v>
      </c>
      <c r="F268" s="9">
        <f>Source!I175</f>
        <v>2</v>
      </c>
      <c r="G268" s="24">
        <f>Source!AK175</f>
        <v>7845.83</v>
      </c>
      <c r="H268" s="32" t="s">
        <v>3</v>
      </c>
      <c r="I268" s="9">
        <f>Source!AW175</f>
        <v>1</v>
      </c>
      <c r="J268" s="9">
        <f>IF(Source!BC175&lt;&gt; 0, Source!BC175, 1)</f>
        <v>1</v>
      </c>
      <c r="K268" s="25">
        <f>Source!O175</f>
        <v>15691.66</v>
      </c>
      <c r="L268" s="25"/>
      <c r="Q268">
        <f>ROUND((Source!BZ175/100)*ROUND((Source!AF175*Source!AV175)*Source!I175, 2), 2)</f>
        <v>0</v>
      </c>
      <c r="R268">
        <f>Source!X175</f>
        <v>0</v>
      </c>
      <c r="S268">
        <f>ROUND((Source!CA175/100)*ROUND((Source!AF175*Source!AV175)*Source!I175, 2), 2)</f>
        <v>0</v>
      </c>
      <c r="T268">
        <f>Source!Y175</f>
        <v>0</v>
      </c>
      <c r="U268">
        <f>ROUND((175/100)*ROUND((Source!AE175*Source!AV175)*Source!I175, 2), 2)</f>
        <v>0</v>
      </c>
      <c r="V268">
        <f>ROUND((108/100)*ROUND(Source!CS175*Source!I175, 2), 2)</f>
        <v>0</v>
      </c>
    </row>
    <row r="269" spans="1:22" ht="14.25">
      <c r="A269" s="20"/>
      <c r="B269" s="20"/>
      <c r="C269" s="21"/>
      <c r="D269" s="21" t="s">
        <v>580</v>
      </c>
      <c r="E269" s="22" t="s">
        <v>581</v>
      </c>
      <c r="F269" s="9">
        <f>Source!AT173</f>
        <v>70</v>
      </c>
      <c r="G269" s="24"/>
      <c r="H269" s="23"/>
      <c r="I269" s="9"/>
      <c r="J269" s="9"/>
      <c r="K269" s="25">
        <f>SUM(R261:R268)</f>
        <v>1377.04</v>
      </c>
      <c r="L269" s="25"/>
    </row>
    <row r="270" spans="1:22" ht="14.25">
      <c r="A270" s="20"/>
      <c r="B270" s="20"/>
      <c r="C270" s="21"/>
      <c r="D270" s="21" t="s">
        <v>582</v>
      </c>
      <c r="E270" s="22" t="s">
        <v>581</v>
      </c>
      <c r="F270" s="9">
        <f>Source!AU173</f>
        <v>10</v>
      </c>
      <c r="G270" s="24"/>
      <c r="H270" s="23"/>
      <c r="I270" s="9"/>
      <c r="J270" s="9"/>
      <c r="K270" s="25">
        <f>SUM(T261:T269)</f>
        <v>196.72</v>
      </c>
      <c r="L270" s="25"/>
    </row>
    <row r="271" spans="1:22" ht="14.25">
      <c r="A271" s="20"/>
      <c r="B271" s="20"/>
      <c r="C271" s="21"/>
      <c r="D271" s="21" t="s">
        <v>583</v>
      </c>
      <c r="E271" s="22" t="s">
        <v>581</v>
      </c>
      <c r="F271" s="9">
        <f>108</f>
        <v>108</v>
      </c>
      <c r="G271" s="24"/>
      <c r="H271" s="23"/>
      <c r="I271" s="9"/>
      <c r="J271" s="9"/>
      <c r="K271" s="25">
        <f>SUM(V261:V270)</f>
        <v>150.55000000000001</v>
      </c>
      <c r="L271" s="25"/>
    </row>
    <row r="272" spans="1:22" ht="14.25">
      <c r="A272" s="20"/>
      <c r="B272" s="20"/>
      <c r="C272" s="21"/>
      <c r="D272" s="21" t="s">
        <v>584</v>
      </c>
      <c r="E272" s="22" t="s">
        <v>585</v>
      </c>
      <c r="F272" s="9">
        <f>Source!AQ173</f>
        <v>20.71</v>
      </c>
      <c r="G272" s="24"/>
      <c r="H272" s="23" t="str">
        <f>Source!DI173</f>
        <v/>
      </c>
      <c r="I272" s="9">
        <f>Source!AV173</f>
        <v>1</v>
      </c>
      <c r="J272" s="9"/>
      <c r="K272" s="25"/>
      <c r="L272" s="25">
        <f>Source!U173</f>
        <v>8.2840000000000007</v>
      </c>
    </row>
    <row r="273" spans="1:22" ht="15">
      <c r="A273" s="30"/>
      <c r="B273" s="30"/>
      <c r="C273" s="30"/>
      <c r="D273" s="30"/>
      <c r="E273" s="30"/>
      <c r="F273" s="30"/>
      <c r="G273" s="30"/>
      <c r="H273" s="30"/>
      <c r="I273" s="30"/>
      <c r="J273" s="91">
        <f>K263+K264+K266+K269+K270+K271+SUM(K267:K268)</f>
        <v>47947.78</v>
      </c>
      <c r="K273" s="91"/>
      <c r="L273" s="31">
        <f>IF(Source!I173&lt;&gt;0, ROUND(J273/Source!I173, 2), 0)</f>
        <v>119869.45</v>
      </c>
      <c r="P273" s="28">
        <f>J273</f>
        <v>47947.78</v>
      </c>
    </row>
    <row r="274" spans="1:22" ht="57">
      <c r="A274" s="20">
        <v>38</v>
      </c>
      <c r="B274" s="20" t="str">
        <f>Source!E176</f>
        <v>24</v>
      </c>
      <c r="C274" s="21" t="str">
        <f>Source!F176</f>
        <v>5.4-3103-3-15/1</v>
      </c>
      <c r="D274" s="21" t="str">
        <f>Source!G176</f>
        <v>Подготовка стандартных посадочных мест вручную, с круглым комом земли размером 0,5х0,4 м с добавлением растительной земли до 100%</v>
      </c>
      <c r="E274" s="22" t="str">
        <f>Source!H176</f>
        <v>10 ям</v>
      </c>
      <c r="F274" s="9">
        <f>Source!I176</f>
        <v>0.68</v>
      </c>
      <c r="G274" s="24"/>
      <c r="H274" s="23"/>
      <c r="I274" s="9"/>
      <c r="J274" s="9"/>
      <c r="K274" s="25"/>
      <c r="L274" s="25"/>
      <c r="Q274">
        <f>ROUND((Source!BZ176/100)*ROUND((Source!AF176*Source!AV176)*Source!I176, 2), 2)</f>
        <v>1872.92</v>
      </c>
      <c r="R274">
        <f>Source!X176</f>
        <v>1872.92</v>
      </c>
      <c r="S274">
        <f>ROUND((Source!CA176/100)*ROUND((Source!AF176*Source!AV176)*Source!I176, 2), 2)</f>
        <v>267.56</v>
      </c>
      <c r="T274">
        <f>Source!Y176</f>
        <v>267.56</v>
      </c>
      <c r="U274">
        <f>ROUND((175/100)*ROUND((Source!AE176*Source!AV176)*Source!I176, 2), 2)</f>
        <v>0</v>
      </c>
      <c r="V274">
        <f>ROUND((108/100)*ROUND(Source!CS176*Source!I176, 2), 2)</f>
        <v>0</v>
      </c>
    </row>
    <row r="275" spans="1:22">
      <c r="D275" s="26" t="str">
        <f>"Объем: "&amp;Source!I176&amp;"=(17*"&amp;"0,4)/"&amp;"10"</f>
        <v>Объем: 0,68=(17*0,4)/10</v>
      </c>
    </row>
    <row r="276" spans="1:22" ht="14.25">
      <c r="A276" s="20"/>
      <c r="B276" s="20"/>
      <c r="C276" s="21"/>
      <c r="D276" s="21" t="s">
        <v>577</v>
      </c>
      <c r="E276" s="22"/>
      <c r="F276" s="9"/>
      <c r="G276" s="24">
        <f>Source!AO176</f>
        <v>3934.71</v>
      </c>
      <c r="H276" s="23" t="str">
        <f>Source!DG176</f>
        <v/>
      </c>
      <c r="I276" s="9">
        <f>Source!AV176</f>
        <v>1</v>
      </c>
      <c r="J276" s="9">
        <f>IF(Source!BA176&lt;&gt; 0, Source!BA176, 1)</f>
        <v>1</v>
      </c>
      <c r="K276" s="25">
        <f>Source!S176</f>
        <v>2675.6</v>
      </c>
      <c r="L276" s="25"/>
    </row>
    <row r="277" spans="1:22" ht="14.25">
      <c r="A277" s="20"/>
      <c r="B277" s="20"/>
      <c r="C277" s="21"/>
      <c r="D277" s="21" t="s">
        <v>586</v>
      </c>
      <c r="E277" s="22"/>
      <c r="F277" s="9"/>
      <c r="G277" s="24">
        <f>Source!AL176</f>
        <v>3309.51</v>
      </c>
      <c r="H277" s="23" t="str">
        <f>Source!DD176</f>
        <v/>
      </c>
      <c r="I277" s="9">
        <f>Source!AW176</f>
        <v>1</v>
      </c>
      <c r="J277" s="9">
        <f>IF(Source!BC176&lt;&gt; 0, Source!BC176, 1)</f>
        <v>1</v>
      </c>
      <c r="K277" s="25">
        <f>Source!P176</f>
        <v>2250.4699999999998</v>
      </c>
      <c r="L277" s="25"/>
    </row>
    <row r="278" spans="1:22" ht="14.25">
      <c r="A278" s="20"/>
      <c r="B278" s="20"/>
      <c r="C278" s="21"/>
      <c r="D278" s="21" t="s">
        <v>580</v>
      </c>
      <c r="E278" s="22" t="s">
        <v>581</v>
      </c>
      <c r="F278" s="9">
        <f>Source!AT176</f>
        <v>70</v>
      </c>
      <c r="G278" s="24"/>
      <c r="H278" s="23"/>
      <c r="I278" s="9"/>
      <c r="J278" s="9"/>
      <c r="K278" s="25">
        <f>SUM(R274:R277)</f>
        <v>1872.92</v>
      </c>
      <c r="L278" s="25"/>
    </row>
    <row r="279" spans="1:22" ht="14.25">
      <c r="A279" s="20"/>
      <c r="B279" s="20"/>
      <c r="C279" s="21"/>
      <c r="D279" s="21" t="s">
        <v>582</v>
      </c>
      <c r="E279" s="22" t="s">
        <v>581</v>
      </c>
      <c r="F279" s="9">
        <f>Source!AU176</f>
        <v>10</v>
      </c>
      <c r="G279" s="24"/>
      <c r="H279" s="23"/>
      <c r="I279" s="9"/>
      <c r="J279" s="9"/>
      <c r="K279" s="25">
        <f>SUM(T274:T278)</f>
        <v>267.56</v>
      </c>
      <c r="L279" s="25"/>
    </row>
    <row r="280" spans="1:22" ht="14.25">
      <c r="A280" s="20"/>
      <c r="B280" s="20"/>
      <c r="C280" s="21"/>
      <c r="D280" s="21" t="s">
        <v>584</v>
      </c>
      <c r="E280" s="22" t="s">
        <v>585</v>
      </c>
      <c r="F280" s="9">
        <f>Source!AQ176</f>
        <v>21.77</v>
      </c>
      <c r="G280" s="24"/>
      <c r="H280" s="23" t="str">
        <f>Source!DI176</f>
        <v/>
      </c>
      <c r="I280" s="9">
        <f>Source!AV176</f>
        <v>1</v>
      </c>
      <c r="J280" s="9"/>
      <c r="K280" s="25"/>
      <c r="L280" s="25">
        <f>Source!U176</f>
        <v>14.803600000000001</v>
      </c>
    </row>
    <row r="281" spans="1:22" ht="15">
      <c r="A281" s="30"/>
      <c r="B281" s="30"/>
      <c r="C281" s="30"/>
      <c r="D281" s="30"/>
      <c r="E281" s="30"/>
      <c r="F281" s="30"/>
      <c r="G281" s="30"/>
      <c r="H281" s="30"/>
      <c r="I281" s="30"/>
      <c r="J281" s="91">
        <f>K276+K277+K278+K279</f>
        <v>7066.55</v>
      </c>
      <c r="K281" s="91"/>
      <c r="L281" s="31">
        <f>IF(Source!I176&lt;&gt;0, ROUND(J281/Source!I176, 2), 0)</f>
        <v>10391.99</v>
      </c>
      <c r="P281" s="28">
        <f>J281</f>
        <v>7066.55</v>
      </c>
    </row>
    <row r="282" spans="1:22" ht="85.5">
      <c r="A282" s="20">
        <v>39</v>
      </c>
      <c r="B282" s="20" t="str">
        <f>Source!E177</f>
        <v>25</v>
      </c>
      <c r="C282" s="21" t="str">
        <f>Source!F177</f>
        <v>5.4-3103-1-15/1</v>
      </c>
      <c r="D282" s="21" t="str">
        <f>Source!G177</f>
        <v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100%</v>
      </c>
      <c r="E282" s="22" t="str">
        <f>Source!H177</f>
        <v>10 ям</v>
      </c>
      <c r="F282" s="9">
        <f>Source!I177</f>
        <v>1.02</v>
      </c>
      <c r="G282" s="24"/>
      <c r="H282" s="23"/>
      <c r="I282" s="9"/>
      <c r="J282" s="9"/>
      <c r="K282" s="25"/>
      <c r="L282" s="25"/>
      <c r="Q282">
        <f>ROUND((Source!BZ177/100)*ROUND((Source!AF177*Source!AV177)*Source!I177, 2), 2)</f>
        <v>2002.83</v>
      </c>
      <c r="R282">
        <f>Source!X177</f>
        <v>2002.83</v>
      </c>
      <c r="S282">
        <f>ROUND((Source!CA177/100)*ROUND((Source!AF177*Source!AV177)*Source!I177, 2), 2)</f>
        <v>286.12</v>
      </c>
      <c r="T282">
        <f>Source!Y177</f>
        <v>286.12</v>
      </c>
      <c r="U282">
        <f>ROUND((175/100)*ROUND((Source!AE177*Source!AV177)*Source!I177, 2), 2)</f>
        <v>186.36</v>
      </c>
      <c r="V282">
        <f>ROUND((108/100)*ROUND(Source!CS177*Source!I177, 2), 2)</f>
        <v>115.01</v>
      </c>
    </row>
    <row r="283" spans="1:22">
      <c r="D283" s="26" t="str">
        <f>"Объем: "&amp;Source!I177&amp;"=(17*"&amp;"0,6)/"&amp;"10"</f>
        <v>Объем: 1,02=(17*0,6)/10</v>
      </c>
    </row>
    <row r="284" spans="1:22" ht="14.25">
      <c r="A284" s="20"/>
      <c r="B284" s="20"/>
      <c r="C284" s="21"/>
      <c r="D284" s="21" t="s">
        <v>577</v>
      </c>
      <c r="E284" s="22"/>
      <c r="F284" s="9"/>
      <c r="G284" s="24">
        <f>Source!AO177</f>
        <v>2805.08</v>
      </c>
      <c r="H284" s="23" t="str">
        <f>Source!DG177</f>
        <v/>
      </c>
      <c r="I284" s="9">
        <f>Source!AV177</f>
        <v>1</v>
      </c>
      <c r="J284" s="9">
        <f>IF(Source!BA177&lt;&gt; 0, Source!BA177, 1)</f>
        <v>1</v>
      </c>
      <c r="K284" s="25">
        <f>Source!S177</f>
        <v>2861.18</v>
      </c>
      <c r="L284" s="25"/>
    </row>
    <row r="285" spans="1:22" ht="14.25">
      <c r="A285" s="20"/>
      <c r="B285" s="20"/>
      <c r="C285" s="21"/>
      <c r="D285" s="21" t="s">
        <v>578</v>
      </c>
      <c r="E285" s="22"/>
      <c r="F285" s="9"/>
      <c r="G285" s="24">
        <f>Source!AM177</f>
        <v>285.45</v>
      </c>
      <c r="H285" s="23" t="str">
        <f>Source!DE177</f>
        <v/>
      </c>
      <c r="I285" s="9">
        <f>Source!AV177</f>
        <v>1</v>
      </c>
      <c r="J285" s="9">
        <f>IF(Source!BB177&lt;&gt; 0, Source!BB177, 1)</f>
        <v>1</v>
      </c>
      <c r="K285" s="25">
        <f>Source!Q177</f>
        <v>291.16000000000003</v>
      </c>
      <c r="L285" s="25"/>
    </row>
    <row r="286" spans="1:22" ht="14.25">
      <c r="A286" s="20"/>
      <c r="B286" s="20"/>
      <c r="C286" s="21"/>
      <c r="D286" s="21" t="s">
        <v>579</v>
      </c>
      <c r="E286" s="22"/>
      <c r="F286" s="9"/>
      <c r="G286" s="24">
        <f>Source!AN177</f>
        <v>104.4</v>
      </c>
      <c r="H286" s="23" t="str">
        <f>Source!DF177</f>
        <v/>
      </c>
      <c r="I286" s="9">
        <f>Source!AV177</f>
        <v>1</v>
      </c>
      <c r="J286" s="9">
        <f>IF(Source!BS177&lt;&gt; 0, Source!BS177, 1)</f>
        <v>1</v>
      </c>
      <c r="K286" s="27">
        <f>Source!R177</f>
        <v>106.49</v>
      </c>
      <c r="L286" s="25"/>
    </row>
    <row r="287" spans="1:22" ht="14.25">
      <c r="A287" s="20"/>
      <c r="B287" s="20"/>
      <c r="C287" s="21"/>
      <c r="D287" s="21" t="s">
        <v>586</v>
      </c>
      <c r="E287" s="22"/>
      <c r="F287" s="9"/>
      <c r="G287" s="24">
        <f>Source!AL177</f>
        <v>3309.51</v>
      </c>
      <c r="H287" s="23" t="str">
        <f>Source!DD177</f>
        <v/>
      </c>
      <c r="I287" s="9">
        <f>Source!AW177</f>
        <v>1</v>
      </c>
      <c r="J287" s="9">
        <f>IF(Source!BC177&lt;&gt; 0, Source!BC177, 1)</f>
        <v>1</v>
      </c>
      <c r="K287" s="25">
        <f>Source!P177</f>
        <v>3375.7</v>
      </c>
      <c r="L287" s="25"/>
    </row>
    <row r="288" spans="1:22" ht="14.25">
      <c r="A288" s="20"/>
      <c r="B288" s="20"/>
      <c r="C288" s="21"/>
      <c r="D288" s="21" t="s">
        <v>580</v>
      </c>
      <c r="E288" s="22" t="s">
        <v>581</v>
      </c>
      <c r="F288" s="9">
        <f>Source!AT177</f>
        <v>70</v>
      </c>
      <c r="G288" s="24"/>
      <c r="H288" s="23"/>
      <c r="I288" s="9"/>
      <c r="J288" s="9"/>
      <c r="K288" s="25">
        <f>SUM(R282:R287)</f>
        <v>2002.83</v>
      </c>
      <c r="L288" s="25"/>
    </row>
    <row r="289" spans="1:22" ht="14.25">
      <c r="A289" s="20"/>
      <c r="B289" s="20"/>
      <c r="C289" s="21"/>
      <c r="D289" s="21" t="s">
        <v>582</v>
      </c>
      <c r="E289" s="22" t="s">
        <v>581</v>
      </c>
      <c r="F289" s="9">
        <f>Source!AU177</f>
        <v>10</v>
      </c>
      <c r="G289" s="24"/>
      <c r="H289" s="23"/>
      <c r="I289" s="9"/>
      <c r="J289" s="9"/>
      <c r="K289" s="25">
        <f>SUM(T282:T288)</f>
        <v>286.12</v>
      </c>
      <c r="L289" s="25"/>
    </row>
    <row r="290" spans="1:22" ht="14.25">
      <c r="A290" s="20"/>
      <c r="B290" s="20"/>
      <c r="C290" s="21"/>
      <c r="D290" s="21" t="s">
        <v>583</v>
      </c>
      <c r="E290" s="22" t="s">
        <v>581</v>
      </c>
      <c r="F290" s="9">
        <f>108</f>
        <v>108</v>
      </c>
      <c r="G290" s="24"/>
      <c r="H290" s="23"/>
      <c r="I290" s="9"/>
      <c r="J290" s="9"/>
      <c r="K290" s="25">
        <f>SUM(V282:V289)</f>
        <v>115.01</v>
      </c>
      <c r="L290" s="25"/>
    </row>
    <row r="291" spans="1:22" ht="14.25">
      <c r="A291" s="20"/>
      <c r="B291" s="20"/>
      <c r="C291" s="21"/>
      <c r="D291" s="21" t="s">
        <v>584</v>
      </c>
      <c r="E291" s="22" t="s">
        <v>585</v>
      </c>
      <c r="F291" s="9">
        <f>Source!AQ177</f>
        <v>15.52</v>
      </c>
      <c r="G291" s="24"/>
      <c r="H291" s="23" t="str">
        <f>Source!DI177</f>
        <v/>
      </c>
      <c r="I291" s="9">
        <f>Source!AV177</f>
        <v>1</v>
      </c>
      <c r="J291" s="9"/>
      <c r="K291" s="25"/>
      <c r="L291" s="25">
        <f>Source!U177</f>
        <v>15.830399999999999</v>
      </c>
    </row>
    <row r="292" spans="1:22" ht="15">
      <c r="A292" s="30"/>
      <c r="B292" s="30"/>
      <c r="C292" s="30"/>
      <c r="D292" s="30"/>
      <c r="E292" s="30"/>
      <c r="F292" s="30"/>
      <c r="G292" s="30"/>
      <c r="H292" s="30"/>
      <c r="I292" s="30"/>
      <c r="J292" s="91">
        <f>K284+K285+K287+K288+K289+K290</f>
        <v>8932</v>
      </c>
      <c r="K292" s="91"/>
      <c r="L292" s="31">
        <f>IF(Source!I177&lt;&gt;0, ROUND(J292/Source!I177, 2), 0)</f>
        <v>8756.86</v>
      </c>
      <c r="P292" s="28">
        <f>J292</f>
        <v>8932</v>
      </c>
    </row>
    <row r="293" spans="1:22" ht="142.5">
      <c r="A293" s="20">
        <v>40</v>
      </c>
      <c r="B293" s="20" t="str">
        <f>Source!E178</f>
        <v>26</v>
      </c>
      <c r="C293" s="21" t="str">
        <f>Source!F178</f>
        <v>5.4-3503-1-1/1</v>
      </c>
      <c r="D293" s="21" t="str">
        <f>Source!G178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табл.1 - 0,51м3 * 17кустов =8,67м3 - при слое 20 см покрываемая площадь 8,67м3/0,2м х 0,75)</v>
      </c>
      <c r="E293" s="22" t="str">
        <f>Source!H178</f>
        <v>100 м2</v>
      </c>
      <c r="F293" s="9">
        <f>Source!I178</f>
        <v>0.3251</v>
      </c>
      <c r="G293" s="24"/>
      <c r="H293" s="23"/>
      <c r="I293" s="9"/>
      <c r="J293" s="9"/>
      <c r="K293" s="25"/>
      <c r="L293" s="25"/>
      <c r="Q293">
        <f>ROUND((Source!BZ178/100)*ROUND((Source!AF178*Source!AV178)*Source!I178, 2), 2)</f>
        <v>0</v>
      </c>
      <c r="R293">
        <f>Source!X178</f>
        <v>0</v>
      </c>
      <c r="S293">
        <f>ROUND((Source!CA178/100)*ROUND((Source!AF178*Source!AV178)*Source!I178, 2), 2)</f>
        <v>0</v>
      </c>
      <c r="T293">
        <f>Source!Y178</f>
        <v>0</v>
      </c>
      <c r="U293">
        <f>ROUND((175/100)*ROUND((Source!AE178*Source!AV178)*Source!I178, 2), 2)</f>
        <v>63.4</v>
      </c>
      <c r="V293">
        <f>ROUND((108/100)*ROUND(Source!CS178*Source!I178, 2), 2)</f>
        <v>39.130000000000003</v>
      </c>
    </row>
    <row r="294" spans="1:22">
      <c r="D294" s="26" t="str">
        <f>"Объем: "&amp;Source!I178&amp;"=32,51/"&amp;"100"</f>
        <v>Объем: 0,3251=32,51/100</v>
      </c>
    </row>
    <row r="295" spans="1:22" ht="14.25">
      <c r="A295" s="20"/>
      <c r="B295" s="20"/>
      <c r="C295" s="21"/>
      <c r="D295" s="21" t="s">
        <v>578</v>
      </c>
      <c r="E295" s="22"/>
      <c r="F295" s="9"/>
      <c r="G295" s="24">
        <f>Source!AM178</f>
        <v>296.60000000000002</v>
      </c>
      <c r="H295" s="23" t="str">
        <f>Source!DE178</f>
        <v/>
      </c>
      <c r="I295" s="9">
        <f>Source!AV178</f>
        <v>1</v>
      </c>
      <c r="J295" s="9">
        <f>IF(Source!BB178&lt;&gt; 0, Source!BB178, 1)</f>
        <v>1</v>
      </c>
      <c r="K295" s="25">
        <f>Source!Q178</f>
        <v>96.42</v>
      </c>
      <c r="L295" s="25"/>
    </row>
    <row r="296" spans="1:22" ht="14.25">
      <c r="A296" s="20"/>
      <c r="B296" s="20"/>
      <c r="C296" s="21"/>
      <c r="D296" s="21" t="s">
        <v>579</v>
      </c>
      <c r="E296" s="22"/>
      <c r="F296" s="9"/>
      <c r="G296" s="24">
        <f>Source!AN178</f>
        <v>111.43</v>
      </c>
      <c r="H296" s="23" t="str">
        <f>Source!DF178</f>
        <v/>
      </c>
      <c r="I296" s="9">
        <f>Source!AV178</f>
        <v>1</v>
      </c>
      <c r="J296" s="9">
        <f>IF(Source!BS178&lt;&gt; 0, Source!BS178, 1)</f>
        <v>1</v>
      </c>
      <c r="K296" s="27">
        <f>Source!R178</f>
        <v>36.229999999999997</v>
      </c>
      <c r="L296" s="25"/>
    </row>
    <row r="297" spans="1:22" ht="14.25">
      <c r="A297" s="20"/>
      <c r="B297" s="20"/>
      <c r="C297" s="21"/>
      <c r="D297" s="21" t="s">
        <v>583</v>
      </c>
      <c r="E297" s="22" t="s">
        <v>581</v>
      </c>
      <c r="F297" s="9">
        <f>108</f>
        <v>108</v>
      </c>
      <c r="G297" s="24"/>
      <c r="H297" s="23"/>
      <c r="I297" s="9"/>
      <c r="J297" s="9"/>
      <c r="K297" s="25">
        <f>SUM(V293:V296)</f>
        <v>39.130000000000003</v>
      </c>
      <c r="L297" s="25"/>
    </row>
    <row r="298" spans="1:22" ht="15">
      <c r="A298" s="30"/>
      <c r="B298" s="30"/>
      <c r="C298" s="30"/>
      <c r="D298" s="30"/>
      <c r="E298" s="30"/>
      <c r="F298" s="30"/>
      <c r="G298" s="30"/>
      <c r="H298" s="30"/>
      <c r="I298" s="30"/>
      <c r="J298" s="91">
        <f>K295+K297</f>
        <v>135.55000000000001</v>
      </c>
      <c r="K298" s="91"/>
      <c r="L298" s="31">
        <f>IF(Source!I178&lt;&gt;0, ROUND(J298/Source!I178, 2), 0)</f>
        <v>416.95</v>
      </c>
      <c r="P298" s="28">
        <f>J298</f>
        <v>135.55000000000001</v>
      </c>
    </row>
    <row r="299" spans="1:22" ht="99.75">
      <c r="A299" s="20">
        <v>41</v>
      </c>
      <c r="B299" s="20" t="str">
        <f>Source!E179</f>
        <v>27</v>
      </c>
      <c r="C299" s="21" t="str">
        <f>Source!F179</f>
        <v>5.4-3503-1-2/1</v>
      </c>
      <c r="D299" s="21" t="str">
        <f>Source!G179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8,67м3/0,2м х 0,25)</v>
      </c>
      <c r="E299" s="22" t="str">
        <f>Source!H179</f>
        <v>100 м2</v>
      </c>
      <c r="F299" s="9">
        <f>Source!I179</f>
        <v>0.10829999999999999</v>
      </c>
      <c r="G299" s="24"/>
      <c r="H299" s="23"/>
      <c r="I299" s="9"/>
      <c r="J299" s="9"/>
      <c r="K299" s="25"/>
      <c r="L299" s="25"/>
      <c r="Q299">
        <f>ROUND((Source!BZ179/100)*ROUND((Source!AF179*Source!AV179)*Source!I179, 2), 2)</f>
        <v>160.72</v>
      </c>
      <c r="R299">
        <f>Source!X179</f>
        <v>160.72</v>
      </c>
      <c r="S299">
        <f>ROUND((Source!CA179/100)*ROUND((Source!AF179*Source!AV179)*Source!I179, 2), 2)</f>
        <v>22.96</v>
      </c>
      <c r="T299">
        <f>Source!Y179</f>
        <v>22.96</v>
      </c>
      <c r="U299">
        <f>ROUND((175/100)*ROUND((Source!AE179*Source!AV179)*Source!I179, 2), 2)</f>
        <v>0</v>
      </c>
      <c r="V299">
        <f>ROUND((108/100)*ROUND(Source!CS179*Source!I179, 2), 2)</f>
        <v>0</v>
      </c>
    </row>
    <row r="300" spans="1:22">
      <c r="D300" s="26" t="str">
        <f>"Объем: "&amp;Source!I179&amp;"=10,83/"&amp;"100"</f>
        <v>Объем: 0,1083=10,83/100</v>
      </c>
    </row>
    <row r="301" spans="1:22" ht="14.25">
      <c r="A301" s="20"/>
      <c r="B301" s="20"/>
      <c r="C301" s="21"/>
      <c r="D301" s="21" t="s">
        <v>577</v>
      </c>
      <c r="E301" s="22"/>
      <c r="F301" s="9"/>
      <c r="G301" s="24">
        <f>Source!AO179</f>
        <v>2120.08</v>
      </c>
      <c r="H301" s="23" t="str">
        <f>Source!DG179</f>
        <v/>
      </c>
      <c r="I301" s="9">
        <f>Source!AV179</f>
        <v>1</v>
      </c>
      <c r="J301" s="9">
        <f>IF(Source!BA179&lt;&gt; 0, Source!BA179, 1)</f>
        <v>1</v>
      </c>
      <c r="K301" s="25">
        <f>Source!S179</f>
        <v>229.6</v>
      </c>
      <c r="L301" s="25"/>
    </row>
    <row r="302" spans="1:22" ht="14.25">
      <c r="A302" s="20"/>
      <c r="B302" s="20"/>
      <c r="C302" s="21"/>
      <c r="D302" s="21" t="s">
        <v>580</v>
      </c>
      <c r="E302" s="22" t="s">
        <v>581</v>
      </c>
      <c r="F302" s="9">
        <f>Source!AT179</f>
        <v>70</v>
      </c>
      <c r="G302" s="24"/>
      <c r="H302" s="23"/>
      <c r="I302" s="9"/>
      <c r="J302" s="9"/>
      <c r="K302" s="25">
        <f>SUM(R299:R301)</f>
        <v>160.72</v>
      </c>
      <c r="L302" s="25"/>
    </row>
    <row r="303" spans="1:22" ht="14.25">
      <c r="A303" s="20"/>
      <c r="B303" s="20"/>
      <c r="C303" s="21"/>
      <c r="D303" s="21" t="s">
        <v>582</v>
      </c>
      <c r="E303" s="22" t="s">
        <v>581</v>
      </c>
      <c r="F303" s="9">
        <f>Source!AU179</f>
        <v>10</v>
      </c>
      <c r="G303" s="24"/>
      <c r="H303" s="23"/>
      <c r="I303" s="9"/>
      <c r="J303" s="9"/>
      <c r="K303" s="25">
        <f>SUM(T299:T302)</f>
        <v>22.96</v>
      </c>
      <c r="L303" s="25"/>
    </row>
    <row r="304" spans="1:22" ht="14.25">
      <c r="A304" s="20"/>
      <c r="B304" s="20"/>
      <c r="C304" s="21"/>
      <c r="D304" s="21" t="s">
        <v>584</v>
      </c>
      <c r="E304" s="22" t="s">
        <v>585</v>
      </c>
      <c r="F304" s="9">
        <f>Source!AQ179</f>
        <v>11.73</v>
      </c>
      <c r="G304" s="24"/>
      <c r="H304" s="23" t="str">
        <f>Source!DI179</f>
        <v/>
      </c>
      <c r="I304" s="9">
        <f>Source!AV179</f>
        <v>1</v>
      </c>
      <c r="J304" s="9"/>
      <c r="K304" s="25"/>
      <c r="L304" s="25">
        <f>Source!U179</f>
        <v>1.270359</v>
      </c>
    </row>
    <row r="305" spans="1:22" ht="15">
      <c r="A305" s="30"/>
      <c r="B305" s="30"/>
      <c r="C305" s="30"/>
      <c r="D305" s="30"/>
      <c r="E305" s="30"/>
      <c r="F305" s="30"/>
      <c r="G305" s="30"/>
      <c r="H305" s="30"/>
      <c r="I305" s="30"/>
      <c r="J305" s="91">
        <f>K301+K302+K303</f>
        <v>413.28</v>
      </c>
      <c r="K305" s="91"/>
      <c r="L305" s="31">
        <f>IF(Source!I179&lt;&gt;0, ROUND(J305/Source!I179, 2), 0)</f>
        <v>3816.07</v>
      </c>
      <c r="P305" s="28">
        <f>J305</f>
        <v>413.28</v>
      </c>
    </row>
    <row r="306" spans="1:22" ht="57">
      <c r="A306" s="20">
        <v>42</v>
      </c>
      <c r="B306" s="20" t="str">
        <f>Source!E180</f>
        <v>28</v>
      </c>
      <c r="C306" s="21" t="str">
        <f>Source!F180</f>
        <v>5.4-3103-6-3/1</v>
      </c>
      <c r="D306" s="21" t="str">
        <f>Source!G180</f>
        <v>Посадка деревьев и кустарников с комом земли, диаметром 0,5 м и высотой 0,4 м (без стоимости деревьев и кустарников)</v>
      </c>
      <c r="E306" s="22" t="str">
        <f>Source!H180</f>
        <v>10 шт.</v>
      </c>
      <c r="F306" s="9">
        <f>Source!I180</f>
        <v>1.7</v>
      </c>
      <c r="G306" s="24"/>
      <c r="H306" s="23"/>
      <c r="I306" s="9"/>
      <c r="J306" s="9"/>
      <c r="K306" s="25"/>
      <c r="L306" s="25"/>
      <c r="Q306">
        <f>ROUND((Source!BZ180/100)*ROUND((Source!AF180*Source!AV180)*Source!I180, 2), 2)</f>
        <v>4150.78</v>
      </c>
      <c r="R306">
        <f>Source!X180</f>
        <v>4150.78</v>
      </c>
      <c r="S306">
        <f>ROUND((Source!CA180/100)*ROUND((Source!AF180*Source!AV180)*Source!I180, 2), 2)</f>
        <v>592.97</v>
      </c>
      <c r="T306">
        <f>Source!Y180</f>
        <v>592.97</v>
      </c>
      <c r="U306">
        <f>ROUND((175/100)*ROUND((Source!AE180*Source!AV180)*Source!I180, 2), 2)</f>
        <v>900.39</v>
      </c>
      <c r="V306">
        <f>ROUND((108/100)*ROUND(Source!CS180*Source!I180, 2), 2)</f>
        <v>555.66999999999996</v>
      </c>
    </row>
    <row r="307" spans="1:22">
      <c r="D307" s="26" t="str">
        <f>"Объем: "&amp;Source!I180&amp;"=17/"&amp;"10"</f>
        <v>Объем: 1,7=17/10</v>
      </c>
    </row>
    <row r="308" spans="1:22" ht="14.25">
      <c r="A308" s="20"/>
      <c r="B308" s="20"/>
      <c r="C308" s="21"/>
      <c r="D308" s="21" t="s">
        <v>577</v>
      </c>
      <c r="E308" s="22"/>
      <c r="F308" s="9"/>
      <c r="G308" s="24">
        <f>Source!AO180</f>
        <v>3488.05</v>
      </c>
      <c r="H308" s="23" t="str">
        <f>Source!DG180</f>
        <v/>
      </c>
      <c r="I308" s="9">
        <f>Source!AV180</f>
        <v>1</v>
      </c>
      <c r="J308" s="9">
        <f>IF(Source!BA180&lt;&gt; 0, Source!BA180, 1)</f>
        <v>1</v>
      </c>
      <c r="K308" s="25">
        <f>Source!S180</f>
        <v>5929.69</v>
      </c>
      <c r="L308" s="25"/>
    </row>
    <row r="309" spans="1:22" ht="14.25">
      <c r="A309" s="20"/>
      <c r="B309" s="20"/>
      <c r="C309" s="21"/>
      <c r="D309" s="21" t="s">
        <v>578</v>
      </c>
      <c r="E309" s="22"/>
      <c r="F309" s="9"/>
      <c r="G309" s="24">
        <f>Source!AM180</f>
        <v>1333.59</v>
      </c>
      <c r="H309" s="23" t="str">
        <f>Source!DE180</f>
        <v/>
      </c>
      <c r="I309" s="9">
        <f>Source!AV180</f>
        <v>1</v>
      </c>
      <c r="J309" s="9">
        <f>IF(Source!BB180&lt;&gt; 0, Source!BB180, 1)</f>
        <v>1</v>
      </c>
      <c r="K309" s="25">
        <f>Source!Q180</f>
        <v>2267.1</v>
      </c>
      <c r="L309" s="25"/>
    </row>
    <row r="310" spans="1:22" ht="14.25">
      <c r="A310" s="20"/>
      <c r="B310" s="20"/>
      <c r="C310" s="21"/>
      <c r="D310" s="21" t="s">
        <v>579</v>
      </c>
      <c r="E310" s="22"/>
      <c r="F310" s="9"/>
      <c r="G310" s="24">
        <f>Source!AN180</f>
        <v>302.64999999999998</v>
      </c>
      <c r="H310" s="23" t="str">
        <f>Source!DF180</f>
        <v/>
      </c>
      <c r="I310" s="9">
        <f>Source!AV180</f>
        <v>1</v>
      </c>
      <c r="J310" s="9">
        <f>IF(Source!BS180&lt;&gt; 0, Source!BS180, 1)</f>
        <v>1</v>
      </c>
      <c r="K310" s="27">
        <f>Source!R180</f>
        <v>514.51</v>
      </c>
      <c r="L310" s="25"/>
    </row>
    <row r="311" spans="1:22" ht="14.25">
      <c r="A311" s="20"/>
      <c r="B311" s="20"/>
      <c r="C311" s="21"/>
      <c r="D311" s="21" t="s">
        <v>586</v>
      </c>
      <c r="E311" s="22"/>
      <c r="F311" s="9"/>
      <c r="G311" s="24">
        <f>Source!AL180</f>
        <v>815.92</v>
      </c>
      <c r="H311" s="23" t="str">
        <f>Source!DD180</f>
        <v/>
      </c>
      <c r="I311" s="9">
        <f>Source!AW180</f>
        <v>1</v>
      </c>
      <c r="J311" s="9">
        <f>IF(Source!BC180&lt;&gt; 0, Source!BC180, 1)</f>
        <v>1</v>
      </c>
      <c r="K311" s="25">
        <f>Source!P180</f>
        <v>1387.06</v>
      </c>
      <c r="L311" s="25"/>
    </row>
    <row r="312" spans="1:22" ht="57">
      <c r="A312" s="20">
        <v>43</v>
      </c>
      <c r="B312" s="20" t="str">
        <f>Source!E181</f>
        <v>28,1</v>
      </c>
      <c r="C312" s="21" t="str">
        <f>Source!F181</f>
        <v>комерческое предложение</v>
      </c>
      <c r="D312" s="21" t="str">
        <f>Source!G181</f>
        <v>Деревья хвойные садовых форм с комом земли, порода:  Туя Брабант, высота - 1,2-1,4 м, размер кома 0,5м*0,4м</v>
      </c>
      <c r="E312" s="22" t="str">
        <f>Source!H181</f>
        <v>шт.</v>
      </c>
      <c r="F312" s="9">
        <f>Source!I181</f>
        <v>1</v>
      </c>
      <c r="G312" s="24">
        <f>Source!AK181</f>
        <v>3833.33</v>
      </c>
      <c r="H312" s="32" t="s">
        <v>3</v>
      </c>
      <c r="I312" s="9">
        <f>Source!AW181</f>
        <v>1</v>
      </c>
      <c r="J312" s="9">
        <f>IF(Source!BC181&lt;&gt; 0, Source!BC181, 1)</f>
        <v>1</v>
      </c>
      <c r="K312" s="25">
        <f>Source!O181</f>
        <v>3833.33</v>
      </c>
      <c r="L312" s="25"/>
      <c r="Q312">
        <f>ROUND((Source!BZ181/100)*ROUND((Source!AF181*Source!AV181)*Source!I181, 2), 2)</f>
        <v>0</v>
      </c>
      <c r="R312">
        <f>Source!X181</f>
        <v>0</v>
      </c>
      <c r="S312">
        <f>ROUND((Source!CA181/100)*ROUND((Source!AF181*Source!AV181)*Source!I181, 2), 2)</f>
        <v>0</v>
      </c>
      <c r="T312">
        <f>Source!Y181</f>
        <v>0</v>
      </c>
      <c r="U312">
        <f>ROUND((175/100)*ROUND((Source!AE181*Source!AV181)*Source!I181, 2), 2)</f>
        <v>0</v>
      </c>
      <c r="V312">
        <f>ROUND((108/100)*ROUND(Source!CS181*Source!I181, 2), 2)</f>
        <v>0</v>
      </c>
    </row>
    <row r="313" spans="1:22" ht="57">
      <c r="A313" s="20">
        <v>44</v>
      </c>
      <c r="B313" s="20" t="str">
        <f>Source!E182</f>
        <v>28,2</v>
      </c>
      <c r="C313" s="21" t="str">
        <f>Source!F182</f>
        <v>комерческое предложение</v>
      </c>
      <c r="D313" s="21" t="str">
        <f>Source!G182</f>
        <v>Деревья хвойные садовых форм с комом земли, порода:  Туя Смарагд (шар) , высота - 0,6-0,8м, размер кома 0,5м*0,4м</v>
      </c>
      <c r="E313" s="22" t="str">
        <f>Source!H182</f>
        <v>шт.</v>
      </c>
      <c r="F313" s="9">
        <f>Source!I182</f>
        <v>6</v>
      </c>
      <c r="G313" s="24">
        <f>Source!AK182</f>
        <v>2250</v>
      </c>
      <c r="H313" s="32" t="s">
        <v>3</v>
      </c>
      <c r="I313" s="9">
        <f>Source!AW182</f>
        <v>1</v>
      </c>
      <c r="J313" s="9">
        <f>IF(Source!BC182&lt;&gt; 0, Source!BC182, 1)</f>
        <v>1</v>
      </c>
      <c r="K313" s="25">
        <f>Source!O182</f>
        <v>13500</v>
      </c>
      <c r="L313" s="25"/>
      <c r="Q313">
        <f>ROUND((Source!BZ182/100)*ROUND((Source!AF182*Source!AV182)*Source!I182, 2), 2)</f>
        <v>0</v>
      </c>
      <c r="R313">
        <f>Source!X182</f>
        <v>0</v>
      </c>
      <c r="S313">
        <f>ROUND((Source!CA182/100)*ROUND((Source!AF182*Source!AV182)*Source!I182, 2), 2)</f>
        <v>0</v>
      </c>
      <c r="T313">
        <f>Source!Y182</f>
        <v>0</v>
      </c>
      <c r="U313">
        <f>ROUND((175/100)*ROUND((Source!AE182*Source!AV182)*Source!I182, 2), 2)</f>
        <v>0</v>
      </c>
      <c r="V313">
        <f>ROUND((108/100)*ROUND(Source!CS182*Source!I182, 2), 2)</f>
        <v>0</v>
      </c>
    </row>
    <row r="314" spans="1:22" ht="57">
      <c r="A314" s="20">
        <v>45</v>
      </c>
      <c r="B314" s="20" t="str">
        <f>Source!E183</f>
        <v>28,3</v>
      </c>
      <c r="C314" s="21" t="str">
        <f>Source!F183</f>
        <v>комерческое предложение</v>
      </c>
      <c r="D314" s="21" t="str">
        <f>Source!G183</f>
        <v>Деревья хвойные садовых форм с комом земли, порода:  Туя Вудварди, высота - 1,2-1,4 м, размер кома 0,5м*0,4м</v>
      </c>
      <c r="E314" s="22" t="str">
        <f>Source!H183</f>
        <v>шт.</v>
      </c>
      <c r="F314" s="9">
        <f>Source!I183</f>
        <v>3</v>
      </c>
      <c r="G314" s="24">
        <f>Source!AK183</f>
        <v>4250</v>
      </c>
      <c r="H314" s="32" t="s">
        <v>3</v>
      </c>
      <c r="I314" s="9">
        <f>Source!AW183</f>
        <v>1</v>
      </c>
      <c r="J314" s="9">
        <f>IF(Source!BC183&lt;&gt; 0, Source!BC183, 1)</f>
        <v>1</v>
      </c>
      <c r="K314" s="25">
        <f>Source!O183</f>
        <v>12750</v>
      </c>
      <c r="L314" s="25"/>
      <c r="Q314">
        <f>ROUND((Source!BZ183/100)*ROUND((Source!AF183*Source!AV183)*Source!I183, 2), 2)</f>
        <v>0</v>
      </c>
      <c r="R314">
        <f>Source!X183</f>
        <v>0</v>
      </c>
      <c r="S314">
        <f>ROUND((Source!CA183/100)*ROUND((Source!AF183*Source!AV183)*Source!I183, 2), 2)</f>
        <v>0</v>
      </c>
      <c r="T314">
        <f>Source!Y183</f>
        <v>0</v>
      </c>
      <c r="U314">
        <f>ROUND((175/100)*ROUND((Source!AE183*Source!AV183)*Source!I183, 2), 2)</f>
        <v>0</v>
      </c>
      <c r="V314">
        <f>ROUND((108/100)*ROUND(Source!CS183*Source!I183, 2), 2)</f>
        <v>0</v>
      </c>
    </row>
    <row r="315" spans="1:22" ht="57">
      <c r="A315" s="20">
        <v>46</v>
      </c>
      <c r="B315" s="20" t="str">
        <f>Source!E184</f>
        <v>28,4</v>
      </c>
      <c r="C315" s="21" t="str">
        <f>Source!F184</f>
        <v>комерческое предложение</v>
      </c>
      <c r="D315" s="21" t="str">
        <f>Source!G184</f>
        <v>Деревья хвойные садовых форм с комом земли, порода:  Туя Глобоза (шар), высота - 1,2 м, размер кома 0,5м*0,4м</v>
      </c>
      <c r="E315" s="22" t="str">
        <f>Source!H184</f>
        <v>шт.</v>
      </c>
      <c r="F315" s="9">
        <f>Source!I184</f>
        <v>3</v>
      </c>
      <c r="G315" s="24">
        <f>Source!AK184</f>
        <v>3583.33</v>
      </c>
      <c r="H315" s="32" t="s">
        <v>3</v>
      </c>
      <c r="I315" s="9">
        <f>Source!AW184</f>
        <v>1</v>
      </c>
      <c r="J315" s="9">
        <f>IF(Source!BC184&lt;&gt; 0, Source!BC184, 1)</f>
        <v>1</v>
      </c>
      <c r="K315" s="25">
        <f>Source!O184</f>
        <v>10749.99</v>
      </c>
      <c r="L315" s="25"/>
      <c r="Q315">
        <f>ROUND((Source!BZ184/100)*ROUND((Source!AF184*Source!AV184)*Source!I184, 2), 2)</f>
        <v>0</v>
      </c>
      <c r="R315">
        <f>Source!X184</f>
        <v>0</v>
      </c>
      <c r="S315">
        <f>ROUND((Source!CA184/100)*ROUND((Source!AF184*Source!AV184)*Source!I184, 2), 2)</f>
        <v>0</v>
      </c>
      <c r="T315">
        <f>Source!Y184</f>
        <v>0</v>
      </c>
      <c r="U315">
        <f>ROUND((175/100)*ROUND((Source!AE184*Source!AV184)*Source!I184, 2), 2)</f>
        <v>0</v>
      </c>
      <c r="V315">
        <f>ROUND((108/100)*ROUND(Source!CS184*Source!I184, 2), 2)</f>
        <v>0</v>
      </c>
    </row>
    <row r="316" spans="1:22" ht="57">
      <c r="A316" s="20">
        <v>47</v>
      </c>
      <c r="B316" s="20" t="str">
        <f>Source!E185</f>
        <v>28,5</v>
      </c>
      <c r="C316" s="21" t="str">
        <f>Source!F185</f>
        <v>комерческое предложение</v>
      </c>
      <c r="D316" s="21" t="str">
        <f>Source!G185</f>
        <v>Деревья хвойные садовых форм с комом земли, порода:  Туя Глаука Глобоза, высота - 1,2-1,4 м, размер кома 0,5м*0,4м</v>
      </c>
      <c r="E316" s="22" t="str">
        <f>Source!H185</f>
        <v>шт.</v>
      </c>
      <c r="F316" s="9">
        <f>Source!I185</f>
        <v>4</v>
      </c>
      <c r="G316" s="24">
        <f>Source!AK185</f>
        <v>3250</v>
      </c>
      <c r="H316" s="32" t="s">
        <v>3</v>
      </c>
      <c r="I316" s="9">
        <f>Source!AW185</f>
        <v>1</v>
      </c>
      <c r="J316" s="9">
        <f>IF(Source!BC185&lt;&gt; 0, Source!BC185, 1)</f>
        <v>1</v>
      </c>
      <c r="K316" s="25">
        <f>Source!O185</f>
        <v>13000</v>
      </c>
      <c r="L316" s="25"/>
      <c r="Q316">
        <f>ROUND((Source!BZ185/100)*ROUND((Source!AF185*Source!AV185)*Source!I185, 2), 2)</f>
        <v>0</v>
      </c>
      <c r="R316">
        <f>Source!X185</f>
        <v>0</v>
      </c>
      <c r="S316">
        <f>ROUND((Source!CA185/100)*ROUND((Source!AF185*Source!AV185)*Source!I185, 2), 2)</f>
        <v>0</v>
      </c>
      <c r="T316">
        <f>Source!Y185</f>
        <v>0</v>
      </c>
      <c r="U316">
        <f>ROUND((175/100)*ROUND((Source!AE185*Source!AV185)*Source!I185, 2), 2)</f>
        <v>0</v>
      </c>
      <c r="V316">
        <f>ROUND((108/100)*ROUND(Source!CS185*Source!I185, 2), 2)</f>
        <v>0</v>
      </c>
    </row>
    <row r="317" spans="1:22" ht="14.25">
      <c r="A317" s="20"/>
      <c r="B317" s="20"/>
      <c r="C317" s="21"/>
      <c r="D317" s="21" t="s">
        <v>580</v>
      </c>
      <c r="E317" s="22" t="s">
        <v>581</v>
      </c>
      <c r="F317" s="9">
        <f>Source!AT180</f>
        <v>70</v>
      </c>
      <c r="G317" s="24"/>
      <c r="H317" s="23"/>
      <c r="I317" s="9"/>
      <c r="J317" s="9"/>
      <c r="K317" s="25">
        <f>SUM(R306:R316)</f>
        <v>4150.78</v>
      </c>
      <c r="L317" s="25"/>
    </row>
    <row r="318" spans="1:22" ht="14.25">
      <c r="A318" s="20"/>
      <c r="B318" s="20"/>
      <c r="C318" s="21"/>
      <c r="D318" s="21" t="s">
        <v>582</v>
      </c>
      <c r="E318" s="22" t="s">
        <v>581</v>
      </c>
      <c r="F318" s="9">
        <f>Source!AU180</f>
        <v>10</v>
      </c>
      <c r="G318" s="24"/>
      <c r="H318" s="23"/>
      <c r="I318" s="9"/>
      <c r="J318" s="9"/>
      <c r="K318" s="25">
        <f>SUM(T306:T317)</f>
        <v>592.97</v>
      </c>
      <c r="L318" s="25"/>
    </row>
    <row r="319" spans="1:22" ht="14.25">
      <c r="A319" s="20"/>
      <c r="B319" s="20"/>
      <c r="C319" s="21"/>
      <c r="D319" s="21" t="s">
        <v>583</v>
      </c>
      <c r="E319" s="22" t="s">
        <v>581</v>
      </c>
      <c r="F319" s="9">
        <f>108</f>
        <v>108</v>
      </c>
      <c r="G319" s="24"/>
      <c r="H319" s="23"/>
      <c r="I319" s="9"/>
      <c r="J319" s="9"/>
      <c r="K319" s="25">
        <f>SUM(V306:V318)</f>
        <v>555.66999999999996</v>
      </c>
      <c r="L319" s="25"/>
    </row>
    <row r="320" spans="1:22" ht="14.25">
      <c r="A320" s="20"/>
      <c r="B320" s="20"/>
      <c r="C320" s="21"/>
      <c r="D320" s="21" t="s">
        <v>584</v>
      </c>
      <c r="E320" s="22" t="s">
        <v>585</v>
      </c>
      <c r="F320" s="9">
        <f>Source!AQ180</f>
        <v>14.42</v>
      </c>
      <c r="G320" s="24"/>
      <c r="H320" s="23" t="str">
        <f>Source!DI180</f>
        <v/>
      </c>
      <c r="I320" s="9">
        <f>Source!AV180</f>
        <v>1</v>
      </c>
      <c r="J320" s="9"/>
      <c r="K320" s="25"/>
      <c r="L320" s="25">
        <f>Source!U180</f>
        <v>24.513999999999999</v>
      </c>
    </row>
    <row r="321" spans="1:22" ht="15">
      <c r="A321" s="30"/>
      <c r="B321" s="30"/>
      <c r="C321" s="30"/>
      <c r="D321" s="30"/>
      <c r="E321" s="30"/>
      <c r="F321" s="30"/>
      <c r="G321" s="30"/>
      <c r="H321" s="30"/>
      <c r="I321" s="30"/>
      <c r="J321" s="91">
        <f>K308+K309+K311+K317+K318+K319+SUM(K312:K316)</f>
        <v>68716.59</v>
      </c>
      <c r="K321" s="91"/>
      <c r="L321" s="31">
        <f>IF(Source!I180&lt;&gt;0, ROUND(J321/Source!I180, 2), 0)</f>
        <v>40421.519999999997</v>
      </c>
      <c r="P321" s="28">
        <f>J321</f>
        <v>68716.59</v>
      </c>
    </row>
    <row r="323" spans="1:22" ht="15">
      <c r="A323" s="95" t="str">
        <f>CONCATENATE("Итого по разделу: ",IF(Source!G187&lt;&gt;"Новый раздел", Source!G187, ""))</f>
        <v>Итого по разделу: Посадка деревьев хвойных - 21шт.</v>
      </c>
      <c r="B323" s="95"/>
      <c r="C323" s="95"/>
      <c r="D323" s="95"/>
      <c r="E323" s="95"/>
      <c r="F323" s="95"/>
      <c r="G323" s="95"/>
      <c r="H323" s="95"/>
      <c r="I323" s="95"/>
      <c r="J323" s="93">
        <f>SUM(P228:P322)</f>
        <v>142006.59999999998</v>
      </c>
      <c r="K323" s="94"/>
      <c r="L323" s="33"/>
    </row>
    <row r="325" spans="1:22" ht="14.25">
      <c r="D325" s="88" t="str">
        <f>Source!H215</f>
        <v>Итого</v>
      </c>
      <c r="E325" s="88"/>
      <c r="F325" s="88"/>
      <c r="G325" s="88"/>
      <c r="H325" s="88"/>
      <c r="I325" s="88"/>
      <c r="J325" s="92">
        <f>IF(Source!F215=0, "", Source!F215)</f>
        <v>142006.6</v>
      </c>
      <c r="K325" s="92"/>
    </row>
    <row r="326" spans="1:22" ht="14.25">
      <c r="D326" s="88" t="str">
        <f>Source!H216</f>
        <v>НДС 20%</v>
      </c>
      <c r="E326" s="88"/>
      <c r="F326" s="88"/>
      <c r="G326" s="88"/>
      <c r="H326" s="88"/>
      <c r="I326" s="88"/>
      <c r="J326" s="92">
        <f>IF(Source!F216=0, "", Source!F216)</f>
        <v>28401.32</v>
      </c>
      <c r="K326" s="92"/>
    </row>
    <row r="327" spans="1:22" ht="14.25">
      <c r="D327" s="88" t="str">
        <f>Source!H217</f>
        <v>Всего с НДС</v>
      </c>
      <c r="E327" s="88"/>
      <c r="F327" s="88"/>
      <c r="G327" s="88"/>
      <c r="H327" s="88"/>
      <c r="I327" s="88"/>
      <c r="J327" s="92">
        <f>IF(Source!F217=0, "", Source!F217)</f>
        <v>170407.92</v>
      </c>
      <c r="K327" s="92"/>
    </row>
    <row r="329" spans="1:22" ht="16.5">
      <c r="A329" s="116" t="str">
        <f>CONCATENATE("Раздел: ",IF(Source!G219&lt;&gt;"Новый раздел", Source!G219, ""))</f>
        <v>Раздел: Декоративное украшение территори озеленения</v>
      </c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</row>
    <row r="330" spans="1:22" ht="42.75">
      <c r="A330" s="20">
        <v>48</v>
      </c>
      <c r="B330" s="20" t="str">
        <f>Source!E223</f>
        <v>29</v>
      </c>
      <c r="C330" s="21" t="str">
        <f>Source!F223</f>
        <v>5.4-1201-2-1/1</v>
      </c>
      <c r="D330" s="21" t="str">
        <f>Source!G223</f>
        <v>Укрытие цветников и газонов мульчирующими материалами вручную, толщина слоя 2 см</v>
      </c>
      <c r="E330" s="22" t="str">
        <f>Source!H223</f>
        <v>100 м2</v>
      </c>
      <c r="F330" s="9">
        <f>Source!I223</f>
        <v>0.35</v>
      </c>
      <c r="G330" s="24"/>
      <c r="H330" s="23"/>
      <c r="I330" s="9"/>
      <c r="J330" s="9"/>
      <c r="K330" s="25"/>
      <c r="L330" s="25"/>
      <c r="Q330">
        <f>ROUND((Source!BZ223/100)*ROUND((Source!AF223*Source!AV223)*Source!I223, 2), 2)</f>
        <v>97.08</v>
      </c>
      <c r="R330">
        <f>Source!X223</f>
        <v>97.08</v>
      </c>
      <c r="S330">
        <f>ROUND((Source!CA223/100)*ROUND((Source!AF223*Source!AV223)*Source!I223, 2), 2)</f>
        <v>13.87</v>
      </c>
      <c r="T330">
        <f>Source!Y223</f>
        <v>13.87</v>
      </c>
      <c r="U330">
        <f>ROUND((175/100)*ROUND((Source!AE223*Source!AV223)*Source!I223, 2), 2)</f>
        <v>0</v>
      </c>
      <c r="V330">
        <f>ROUND((108/100)*ROUND(Source!CS223*Source!I223, 2), 2)</f>
        <v>0</v>
      </c>
    </row>
    <row r="331" spans="1:22">
      <c r="D331" s="26" t="str">
        <f>"Объем: "&amp;Source!I223&amp;"=35/"&amp;"100"</f>
        <v>Объем: 0,35=35/100</v>
      </c>
    </row>
    <row r="332" spans="1:22" ht="14.25">
      <c r="A332" s="20"/>
      <c r="B332" s="20"/>
      <c r="C332" s="21"/>
      <c r="D332" s="21" t="s">
        <v>577</v>
      </c>
      <c r="E332" s="22"/>
      <c r="F332" s="9"/>
      <c r="G332" s="24">
        <f>Source!AO223</f>
        <v>396.23</v>
      </c>
      <c r="H332" s="23" t="str">
        <f>Source!DG223</f>
        <v/>
      </c>
      <c r="I332" s="9">
        <f>Source!AV223</f>
        <v>1</v>
      </c>
      <c r="J332" s="9">
        <f>IF(Source!BA223&lt;&gt; 0, Source!BA223, 1)</f>
        <v>1</v>
      </c>
      <c r="K332" s="25">
        <f>Source!S223</f>
        <v>138.68</v>
      </c>
      <c r="L332" s="25"/>
    </row>
    <row r="333" spans="1:22" ht="14.25">
      <c r="A333" s="20"/>
      <c r="B333" s="20"/>
      <c r="C333" s="21"/>
      <c r="D333" s="21" t="s">
        <v>586</v>
      </c>
      <c r="E333" s="22"/>
      <c r="F333" s="9"/>
      <c r="G333" s="24">
        <f>Source!AL223</f>
        <v>5242.8</v>
      </c>
      <c r="H333" s="23" t="str">
        <f>Source!DD223</f>
        <v/>
      </c>
      <c r="I333" s="9">
        <f>Source!AW223</f>
        <v>1</v>
      </c>
      <c r="J333" s="9">
        <f>IF(Source!BC223&lt;&gt; 0, Source!BC223, 1)</f>
        <v>1</v>
      </c>
      <c r="K333" s="25">
        <f>Source!P223</f>
        <v>1834.98</v>
      </c>
      <c r="L333" s="25"/>
    </row>
    <row r="334" spans="1:22" ht="14.25">
      <c r="A334" s="20"/>
      <c r="B334" s="20"/>
      <c r="C334" s="21"/>
      <c r="D334" s="21" t="s">
        <v>580</v>
      </c>
      <c r="E334" s="22" t="s">
        <v>581</v>
      </c>
      <c r="F334" s="9">
        <f>Source!AT223</f>
        <v>70</v>
      </c>
      <c r="G334" s="24"/>
      <c r="H334" s="23"/>
      <c r="I334" s="9"/>
      <c r="J334" s="9"/>
      <c r="K334" s="25">
        <f>SUM(R330:R333)</f>
        <v>97.08</v>
      </c>
      <c r="L334" s="25"/>
    </row>
    <row r="335" spans="1:22" ht="14.25">
      <c r="A335" s="20"/>
      <c r="B335" s="20"/>
      <c r="C335" s="21"/>
      <c r="D335" s="21" t="s">
        <v>582</v>
      </c>
      <c r="E335" s="22" t="s">
        <v>581</v>
      </c>
      <c r="F335" s="9">
        <f>Source!AU223</f>
        <v>10</v>
      </c>
      <c r="G335" s="24"/>
      <c r="H335" s="23"/>
      <c r="I335" s="9"/>
      <c r="J335" s="9"/>
      <c r="K335" s="25">
        <f>SUM(T330:T334)</f>
        <v>13.87</v>
      </c>
      <c r="L335" s="25"/>
    </row>
    <row r="336" spans="1:22" ht="14.25">
      <c r="A336" s="20"/>
      <c r="B336" s="20"/>
      <c r="C336" s="21"/>
      <c r="D336" s="21" t="s">
        <v>584</v>
      </c>
      <c r="E336" s="22" t="s">
        <v>585</v>
      </c>
      <c r="F336" s="9">
        <f>Source!AQ223</f>
        <v>1.96</v>
      </c>
      <c r="G336" s="24"/>
      <c r="H336" s="23" t="str">
        <f>Source!DI223</f>
        <v/>
      </c>
      <c r="I336" s="9">
        <f>Source!AV223</f>
        <v>1</v>
      </c>
      <c r="J336" s="9"/>
      <c r="K336" s="25"/>
      <c r="L336" s="25">
        <f>Source!U223</f>
        <v>0.68599999999999994</v>
      </c>
    </row>
    <row r="337" spans="1:22" ht="15">
      <c r="A337" s="30"/>
      <c r="B337" s="30"/>
      <c r="C337" s="30"/>
      <c r="D337" s="30"/>
      <c r="E337" s="30"/>
      <c r="F337" s="30"/>
      <c r="G337" s="30"/>
      <c r="H337" s="30"/>
      <c r="I337" s="30"/>
      <c r="J337" s="91">
        <f>K332+K333+K334+K335</f>
        <v>2084.61</v>
      </c>
      <c r="K337" s="91"/>
      <c r="L337" s="31">
        <f>IF(Source!I223&lt;&gt;0, ROUND(J337/Source!I223, 2), 0)</f>
        <v>5956.03</v>
      </c>
      <c r="P337" s="28">
        <f>J337</f>
        <v>2084.61</v>
      </c>
    </row>
    <row r="338" spans="1:22" ht="57">
      <c r="A338" s="20">
        <v>49</v>
      </c>
      <c r="B338" s="20" t="str">
        <f>Source!E224</f>
        <v>30</v>
      </c>
      <c r="C338" s="21" t="str">
        <f>Source!F224</f>
        <v>5.4-1201-2-3/1</v>
      </c>
      <c r="D338" s="21" t="str">
        <f>Source!G224</f>
        <v>Укрытие цветников и газонов мульчирующими материалами вручную, добавлять на каждый 1 см толщины слоя сверх 2 см</v>
      </c>
      <c r="E338" s="22" t="str">
        <f>Source!H224</f>
        <v>100 м2</v>
      </c>
      <c r="F338" s="9">
        <f>Source!I224</f>
        <v>0.35</v>
      </c>
      <c r="G338" s="24"/>
      <c r="H338" s="23"/>
      <c r="I338" s="9"/>
      <c r="J338" s="9"/>
      <c r="K338" s="25"/>
      <c r="L338" s="25"/>
      <c r="Q338">
        <f>ROUND((Source!BZ224/100)*ROUND((Source!AF224*Source!AV224)*Source!I224, 2), 2)</f>
        <v>112.92</v>
      </c>
      <c r="R338">
        <f>Source!X224</f>
        <v>112.92</v>
      </c>
      <c r="S338">
        <f>ROUND((Source!CA224/100)*ROUND((Source!AF224*Source!AV224)*Source!I224, 2), 2)</f>
        <v>16.13</v>
      </c>
      <c r="T338">
        <f>Source!Y224</f>
        <v>16.13</v>
      </c>
      <c r="U338">
        <f>ROUND((175/100)*ROUND((Source!AE224*Source!AV224)*Source!I224, 2), 2)</f>
        <v>0</v>
      </c>
      <c r="V338">
        <f>ROUND((108/100)*ROUND(Source!CS224*Source!I224, 2), 2)</f>
        <v>0</v>
      </c>
    </row>
    <row r="339" spans="1:22">
      <c r="D339" s="26" t="str">
        <f>"Объем: "&amp;Source!I224&amp;"=35/"&amp;"100"</f>
        <v>Объем: 0,35=35/100</v>
      </c>
    </row>
    <row r="340" spans="1:22" ht="14.25">
      <c r="A340" s="20"/>
      <c r="B340" s="20"/>
      <c r="C340" s="21"/>
      <c r="D340" s="21" t="s">
        <v>577</v>
      </c>
      <c r="E340" s="22"/>
      <c r="F340" s="9"/>
      <c r="G340" s="24">
        <f>Source!AO224</f>
        <v>153.63</v>
      </c>
      <c r="H340" s="23" t="str">
        <f>Source!DG224</f>
        <v>*3</v>
      </c>
      <c r="I340" s="9">
        <f>Source!AV224</f>
        <v>1</v>
      </c>
      <c r="J340" s="9">
        <f>IF(Source!BA224&lt;&gt; 0, Source!BA224, 1)</f>
        <v>1</v>
      </c>
      <c r="K340" s="25">
        <f>Source!S224</f>
        <v>161.31</v>
      </c>
      <c r="L340" s="25"/>
    </row>
    <row r="341" spans="1:22" ht="14.25">
      <c r="A341" s="20"/>
      <c r="B341" s="20"/>
      <c r="C341" s="21"/>
      <c r="D341" s="21" t="s">
        <v>586</v>
      </c>
      <c r="E341" s="22"/>
      <c r="F341" s="9"/>
      <c r="G341" s="24">
        <f>Source!AL224</f>
        <v>2621.4</v>
      </c>
      <c r="H341" s="23" t="str">
        <f>Source!DD224</f>
        <v>*3</v>
      </c>
      <c r="I341" s="9">
        <f>Source!AW224</f>
        <v>1</v>
      </c>
      <c r="J341" s="9">
        <f>IF(Source!BC224&lt;&gt; 0, Source!BC224, 1)</f>
        <v>1</v>
      </c>
      <c r="K341" s="25">
        <f>Source!P224</f>
        <v>2752.47</v>
      </c>
      <c r="L341" s="25"/>
    </row>
    <row r="342" spans="1:22" ht="14.25">
      <c r="A342" s="20"/>
      <c r="B342" s="20"/>
      <c r="C342" s="21"/>
      <c r="D342" s="21" t="s">
        <v>580</v>
      </c>
      <c r="E342" s="22" t="s">
        <v>581</v>
      </c>
      <c r="F342" s="9">
        <f>Source!AT224</f>
        <v>70</v>
      </c>
      <c r="G342" s="24"/>
      <c r="H342" s="23"/>
      <c r="I342" s="9"/>
      <c r="J342" s="9"/>
      <c r="K342" s="25">
        <f>SUM(R338:R341)</f>
        <v>112.92</v>
      </c>
      <c r="L342" s="25"/>
    </row>
    <row r="343" spans="1:22" ht="14.25">
      <c r="A343" s="20"/>
      <c r="B343" s="20"/>
      <c r="C343" s="21"/>
      <c r="D343" s="21" t="s">
        <v>582</v>
      </c>
      <c r="E343" s="22" t="s">
        <v>581</v>
      </c>
      <c r="F343" s="9">
        <f>Source!AU224</f>
        <v>10</v>
      </c>
      <c r="G343" s="24"/>
      <c r="H343" s="23"/>
      <c r="I343" s="9"/>
      <c r="J343" s="9"/>
      <c r="K343" s="25">
        <f>SUM(T338:T342)</f>
        <v>16.13</v>
      </c>
      <c r="L343" s="25"/>
    </row>
    <row r="344" spans="1:22" ht="14.25">
      <c r="A344" s="20"/>
      <c r="B344" s="20"/>
      <c r="C344" s="21"/>
      <c r="D344" s="21" t="s">
        <v>584</v>
      </c>
      <c r="E344" s="22" t="s">
        <v>585</v>
      </c>
      <c r="F344" s="9">
        <f>Source!AQ224</f>
        <v>0.85</v>
      </c>
      <c r="G344" s="24"/>
      <c r="H344" s="23" t="str">
        <f>Source!DI224</f>
        <v>*3</v>
      </c>
      <c r="I344" s="9">
        <f>Source!AV224</f>
        <v>1</v>
      </c>
      <c r="J344" s="9"/>
      <c r="K344" s="25"/>
      <c r="L344" s="25">
        <f>Source!U224</f>
        <v>0.89249999999999985</v>
      </c>
    </row>
    <row r="345" spans="1:22" ht="15">
      <c r="A345" s="30"/>
      <c r="B345" s="30"/>
      <c r="C345" s="30"/>
      <c r="D345" s="30"/>
      <c r="E345" s="30"/>
      <c r="F345" s="30"/>
      <c r="G345" s="30"/>
      <c r="H345" s="30"/>
      <c r="I345" s="30"/>
      <c r="J345" s="91">
        <f>K340+K341+K342+K343</f>
        <v>3042.83</v>
      </c>
      <c r="K345" s="91"/>
      <c r="L345" s="31">
        <f>IF(Source!I224&lt;&gt;0, ROUND(J345/Source!I224, 2), 0)</f>
        <v>8693.7999999999993</v>
      </c>
      <c r="P345" s="28">
        <f>J345</f>
        <v>3042.83</v>
      </c>
    </row>
    <row r="346" spans="1:22" ht="42.75">
      <c r="A346" s="20">
        <v>50</v>
      </c>
      <c r="B346" s="20" t="str">
        <f>Source!E225</f>
        <v>31</v>
      </c>
      <c r="C346" s="21" t="str">
        <f>Source!F225</f>
        <v>5.3-3103-9-3/1</v>
      </c>
      <c r="D346" s="21" t="str">
        <f>Source!G225</f>
        <v>Устройство бордюра из мелкоштучных камней, установленных на ребро, для клумб</v>
      </c>
      <c r="E346" s="22" t="str">
        <f>Source!H225</f>
        <v>100 м</v>
      </c>
      <c r="F346" s="9">
        <f>Source!I225</f>
        <v>0.5</v>
      </c>
      <c r="G346" s="24"/>
      <c r="H346" s="23"/>
      <c r="I346" s="9"/>
      <c r="J346" s="9"/>
      <c r="K346" s="25"/>
      <c r="L346" s="25"/>
      <c r="Q346">
        <f>ROUND((Source!BZ225/100)*ROUND((Source!AF225*Source!AV225)*Source!I225, 2), 2)</f>
        <v>8799.92</v>
      </c>
      <c r="R346">
        <f>Source!X225</f>
        <v>8799.92</v>
      </c>
      <c r="S346">
        <f>ROUND((Source!CA225/100)*ROUND((Source!AF225*Source!AV225)*Source!I225, 2), 2)</f>
        <v>1257.1300000000001</v>
      </c>
      <c r="T346">
        <f>Source!Y225</f>
        <v>1257.1300000000001</v>
      </c>
      <c r="U346">
        <f>ROUND((175/100)*ROUND((Source!AE225*Source!AV225)*Source!I225, 2), 2)</f>
        <v>409.8</v>
      </c>
      <c r="V346">
        <f>ROUND((108/100)*ROUND(Source!CS225*Source!I225, 2), 2)</f>
        <v>252.9</v>
      </c>
    </row>
    <row r="347" spans="1:22">
      <c r="D347" s="26" t="str">
        <f>"Объем: "&amp;Source!I225&amp;"=50/"&amp;"100"</f>
        <v>Объем: 0,5=50/100</v>
      </c>
    </row>
    <row r="348" spans="1:22" ht="14.25">
      <c r="A348" s="20"/>
      <c r="B348" s="20"/>
      <c r="C348" s="21"/>
      <c r="D348" s="21" t="s">
        <v>577</v>
      </c>
      <c r="E348" s="22"/>
      <c r="F348" s="9"/>
      <c r="G348" s="24">
        <f>Source!AO225</f>
        <v>25142.639999999999</v>
      </c>
      <c r="H348" s="23" t="str">
        <f>Source!DG225</f>
        <v/>
      </c>
      <c r="I348" s="9">
        <f>Source!AV225</f>
        <v>1</v>
      </c>
      <c r="J348" s="9">
        <f>IF(Source!BA225&lt;&gt; 0, Source!BA225, 1)</f>
        <v>1</v>
      </c>
      <c r="K348" s="25">
        <f>Source!S225</f>
        <v>12571.32</v>
      </c>
      <c r="L348" s="25"/>
    </row>
    <row r="349" spans="1:22" ht="14.25">
      <c r="A349" s="20"/>
      <c r="B349" s="20"/>
      <c r="C349" s="21"/>
      <c r="D349" s="21" t="s">
        <v>578</v>
      </c>
      <c r="E349" s="22"/>
      <c r="F349" s="9"/>
      <c r="G349" s="24">
        <f>Source!AM225</f>
        <v>762.81</v>
      </c>
      <c r="H349" s="23" t="str">
        <f>Source!DE225</f>
        <v/>
      </c>
      <c r="I349" s="9">
        <f>Source!AV225</f>
        <v>1</v>
      </c>
      <c r="J349" s="9">
        <f>IF(Source!BB225&lt;&gt; 0, Source!BB225, 1)</f>
        <v>1</v>
      </c>
      <c r="K349" s="25">
        <f>Source!Q225</f>
        <v>381.41</v>
      </c>
      <c r="L349" s="25"/>
    </row>
    <row r="350" spans="1:22" ht="14.25">
      <c r="A350" s="20"/>
      <c r="B350" s="20"/>
      <c r="C350" s="21"/>
      <c r="D350" s="21" t="s">
        <v>579</v>
      </c>
      <c r="E350" s="22"/>
      <c r="F350" s="9"/>
      <c r="G350" s="24">
        <f>Source!AN225</f>
        <v>468.34</v>
      </c>
      <c r="H350" s="23" t="str">
        <f>Source!DF225</f>
        <v/>
      </c>
      <c r="I350" s="9">
        <f>Source!AV225</f>
        <v>1</v>
      </c>
      <c r="J350" s="9">
        <f>IF(Source!BS225&lt;&gt; 0, Source!BS225, 1)</f>
        <v>1</v>
      </c>
      <c r="K350" s="27">
        <f>Source!R225</f>
        <v>234.17</v>
      </c>
      <c r="L350" s="25"/>
    </row>
    <row r="351" spans="1:22" ht="14.25">
      <c r="A351" s="20"/>
      <c r="B351" s="20"/>
      <c r="C351" s="21"/>
      <c r="D351" s="21" t="s">
        <v>586</v>
      </c>
      <c r="E351" s="22"/>
      <c r="F351" s="9"/>
      <c r="G351" s="24">
        <f>Source!AL225</f>
        <v>79886.62</v>
      </c>
      <c r="H351" s="23" t="str">
        <f>Source!DD225</f>
        <v/>
      </c>
      <c r="I351" s="9">
        <f>Source!AW225</f>
        <v>1</v>
      </c>
      <c r="J351" s="9">
        <f>IF(Source!BC225&lt;&gt; 0, Source!BC225, 1)</f>
        <v>1</v>
      </c>
      <c r="K351" s="25">
        <f>Source!P225</f>
        <v>39943.31</v>
      </c>
      <c r="L351" s="25"/>
    </row>
    <row r="352" spans="1:22" ht="14.25">
      <c r="A352" s="20"/>
      <c r="B352" s="20"/>
      <c r="C352" s="21"/>
      <c r="D352" s="21" t="s">
        <v>580</v>
      </c>
      <c r="E352" s="22" t="s">
        <v>581</v>
      </c>
      <c r="F352" s="9">
        <f>Source!AT225</f>
        <v>70</v>
      </c>
      <c r="G352" s="24"/>
      <c r="H352" s="23"/>
      <c r="I352" s="9"/>
      <c r="J352" s="9"/>
      <c r="K352" s="25">
        <f>SUM(R346:R351)</f>
        <v>8799.92</v>
      </c>
      <c r="L352" s="25"/>
    </row>
    <row r="353" spans="1:22" ht="14.25">
      <c r="A353" s="20"/>
      <c r="B353" s="20"/>
      <c r="C353" s="21"/>
      <c r="D353" s="21" t="s">
        <v>582</v>
      </c>
      <c r="E353" s="22" t="s">
        <v>581</v>
      </c>
      <c r="F353" s="9">
        <f>Source!AU225</f>
        <v>10</v>
      </c>
      <c r="G353" s="24"/>
      <c r="H353" s="23"/>
      <c r="I353" s="9"/>
      <c r="J353" s="9"/>
      <c r="K353" s="25">
        <f>SUM(T346:T352)</f>
        <v>1257.1300000000001</v>
      </c>
      <c r="L353" s="25"/>
    </row>
    <row r="354" spans="1:22" ht="14.25">
      <c r="A354" s="20"/>
      <c r="B354" s="20"/>
      <c r="C354" s="21"/>
      <c r="D354" s="21" t="s">
        <v>583</v>
      </c>
      <c r="E354" s="22" t="s">
        <v>581</v>
      </c>
      <c r="F354" s="9">
        <f>108</f>
        <v>108</v>
      </c>
      <c r="G354" s="24"/>
      <c r="H354" s="23"/>
      <c r="I354" s="9"/>
      <c r="J354" s="9"/>
      <c r="K354" s="25">
        <f>SUM(V346:V353)</f>
        <v>252.9</v>
      </c>
      <c r="L354" s="25"/>
    </row>
    <row r="355" spans="1:22" ht="14.25">
      <c r="A355" s="20"/>
      <c r="B355" s="20"/>
      <c r="C355" s="21"/>
      <c r="D355" s="21" t="s">
        <v>584</v>
      </c>
      <c r="E355" s="22" t="s">
        <v>585</v>
      </c>
      <c r="F355" s="9">
        <f>Source!AQ225</f>
        <v>124.37</v>
      </c>
      <c r="G355" s="24"/>
      <c r="H355" s="23" t="str">
        <f>Source!DI225</f>
        <v/>
      </c>
      <c r="I355" s="9">
        <f>Source!AV225</f>
        <v>1</v>
      </c>
      <c r="J355" s="9"/>
      <c r="K355" s="25"/>
      <c r="L355" s="25">
        <f>Source!U225</f>
        <v>62.185000000000002</v>
      </c>
    </row>
    <row r="356" spans="1:22" ht="15">
      <c r="A356" s="30"/>
      <c r="B356" s="30"/>
      <c r="C356" s="30"/>
      <c r="D356" s="30"/>
      <c r="E356" s="30"/>
      <c r="F356" s="30"/>
      <c r="G356" s="30"/>
      <c r="H356" s="30"/>
      <c r="I356" s="30"/>
      <c r="J356" s="91">
        <f>K348+K349+K351+K352+K353+K354</f>
        <v>63205.989999999991</v>
      </c>
      <c r="K356" s="91"/>
      <c r="L356" s="31">
        <f>IF(Source!I225&lt;&gt;0, ROUND(J356/Source!I225, 2), 0)</f>
        <v>126411.98</v>
      </c>
      <c r="P356" s="28">
        <f>J356</f>
        <v>63205.989999999991</v>
      </c>
    </row>
    <row r="358" spans="1:22" ht="15">
      <c r="A358" s="95" t="str">
        <f>CONCATENATE("Итого по разделу: ",IF(Source!G227&lt;&gt;"Новый раздел", Source!G227, ""))</f>
        <v>Итого по разделу: Декоративное украшение территори озеленения</v>
      </c>
      <c r="B358" s="95"/>
      <c r="C358" s="95"/>
      <c r="D358" s="95"/>
      <c r="E358" s="95"/>
      <c r="F358" s="95"/>
      <c r="G358" s="95"/>
      <c r="H358" s="95"/>
      <c r="I358" s="95"/>
      <c r="J358" s="93">
        <f>SUM(P329:P357)</f>
        <v>68333.429999999993</v>
      </c>
      <c r="K358" s="94"/>
      <c r="L358" s="33"/>
    </row>
    <row r="360" spans="1:22" ht="14.25">
      <c r="D360" s="88" t="str">
        <f>Source!H255</f>
        <v>Итого</v>
      </c>
      <c r="E360" s="88"/>
      <c r="F360" s="88"/>
      <c r="G360" s="88"/>
      <c r="H360" s="88"/>
      <c r="I360" s="88"/>
      <c r="J360" s="92">
        <f>IF(Source!F255=0, "", Source!F255)</f>
        <v>68333.429999999993</v>
      </c>
      <c r="K360" s="92"/>
    </row>
    <row r="361" spans="1:22" ht="14.25">
      <c r="D361" s="88" t="str">
        <f>Source!H256</f>
        <v>НДС 20%</v>
      </c>
      <c r="E361" s="88"/>
      <c r="F361" s="88"/>
      <c r="G361" s="88"/>
      <c r="H361" s="88"/>
      <c r="I361" s="88"/>
      <c r="J361" s="92">
        <f>IF(Source!F256=0, "", Source!F256)</f>
        <v>13666.69</v>
      </c>
      <c r="K361" s="92"/>
    </row>
    <row r="362" spans="1:22" ht="14.25">
      <c r="D362" s="88" t="str">
        <f>Source!H257</f>
        <v>Всего с НДС</v>
      </c>
      <c r="E362" s="88"/>
      <c r="F362" s="88"/>
      <c r="G362" s="88"/>
      <c r="H362" s="88"/>
      <c r="I362" s="88"/>
      <c r="J362" s="92">
        <f>IF(Source!F257=0, "", Source!F257)</f>
        <v>82000.12</v>
      </c>
      <c r="K362" s="92"/>
    </row>
    <row r="364" spans="1:22" ht="16.5">
      <c r="A364" s="116" t="str">
        <f>CONCATENATE("Раздел: ",IF(Source!G259&lt;&gt;"Новый раздел", Source!G259, ""))</f>
        <v>Раздел: Ремонт газона (посевной) - 550м2 ( вокруг цветника с кустами и деревьями)</v>
      </c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</row>
    <row r="365" spans="1:22" ht="57">
      <c r="A365" s="20">
        <v>51</v>
      </c>
      <c r="B365" s="20" t="str">
        <f>Source!E263</f>
        <v>32</v>
      </c>
      <c r="C365" s="21" t="str">
        <f>Source!F263</f>
        <v>5.4-3203-3-3/1</v>
      </c>
      <c r="D365" s="21" t="str">
        <f>Source!G263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E365" s="22" t="str">
        <f>Source!H263</f>
        <v>100 м2</v>
      </c>
      <c r="F365" s="9">
        <f>Source!I263</f>
        <v>4.125</v>
      </c>
      <c r="G365" s="24"/>
      <c r="H365" s="23"/>
      <c r="I365" s="9"/>
      <c r="J365" s="9"/>
      <c r="K365" s="25"/>
      <c r="L365" s="25"/>
      <c r="Q365">
        <f>ROUND((Source!BZ263/100)*ROUND((Source!AF263*Source!AV263)*Source!I263, 2), 2)</f>
        <v>16454.77</v>
      </c>
      <c r="R365">
        <f>Source!X263</f>
        <v>16454.77</v>
      </c>
      <c r="S365">
        <f>ROUND((Source!CA263/100)*ROUND((Source!AF263*Source!AV263)*Source!I263, 2), 2)</f>
        <v>2350.6799999999998</v>
      </c>
      <c r="T365">
        <f>Source!Y263</f>
        <v>2350.6799999999998</v>
      </c>
      <c r="U365">
        <f>ROUND((175/100)*ROUND((Source!AE263*Source!AV263)*Source!I263, 2), 2)</f>
        <v>160.47999999999999</v>
      </c>
      <c r="V365">
        <f>ROUND((108/100)*ROUND(Source!CS263*Source!I263, 2), 2)</f>
        <v>99.04</v>
      </c>
    </row>
    <row r="366" spans="1:22">
      <c r="D366" s="26" t="str">
        <f>"Объем: "&amp;Source!I263&amp;"=550*"&amp;"0,75/"&amp;"100"</f>
        <v>Объем: 4,125=550*0,75/100</v>
      </c>
    </row>
    <row r="367" spans="1:22" ht="14.25">
      <c r="A367" s="20"/>
      <c r="B367" s="20"/>
      <c r="C367" s="21"/>
      <c r="D367" s="21" t="s">
        <v>577</v>
      </c>
      <c r="E367" s="22"/>
      <c r="F367" s="9"/>
      <c r="G367" s="24">
        <f>Source!AO263</f>
        <v>5698.62</v>
      </c>
      <c r="H367" s="23" t="str">
        <f>Source!DG263</f>
        <v/>
      </c>
      <c r="I367" s="9">
        <f>Source!AV263</f>
        <v>1</v>
      </c>
      <c r="J367" s="9">
        <f>IF(Source!BA263&lt;&gt; 0, Source!BA263, 1)</f>
        <v>1</v>
      </c>
      <c r="K367" s="25">
        <f>Source!S263</f>
        <v>23506.81</v>
      </c>
      <c r="L367" s="25"/>
    </row>
    <row r="368" spans="1:22" ht="14.25">
      <c r="A368" s="20"/>
      <c r="B368" s="20"/>
      <c r="C368" s="21"/>
      <c r="D368" s="21" t="s">
        <v>578</v>
      </c>
      <c r="E368" s="22"/>
      <c r="F368" s="9"/>
      <c r="G368" s="24">
        <f>Source!AM263</f>
        <v>60.76</v>
      </c>
      <c r="H368" s="23" t="str">
        <f>Source!DE263</f>
        <v/>
      </c>
      <c r="I368" s="9">
        <f>Source!AV263</f>
        <v>1</v>
      </c>
      <c r="J368" s="9">
        <f>IF(Source!BB263&lt;&gt; 0, Source!BB263, 1)</f>
        <v>1</v>
      </c>
      <c r="K368" s="25">
        <f>Source!Q263</f>
        <v>250.64</v>
      </c>
      <c r="L368" s="25"/>
    </row>
    <row r="369" spans="1:22" ht="14.25">
      <c r="A369" s="20"/>
      <c r="B369" s="20"/>
      <c r="C369" s="21"/>
      <c r="D369" s="21" t="s">
        <v>579</v>
      </c>
      <c r="E369" s="22"/>
      <c r="F369" s="9"/>
      <c r="G369" s="24">
        <f>Source!AN263</f>
        <v>22.23</v>
      </c>
      <c r="H369" s="23" t="str">
        <f>Source!DF263</f>
        <v/>
      </c>
      <c r="I369" s="9">
        <f>Source!AV263</f>
        <v>1</v>
      </c>
      <c r="J369" s="9">
        <f>IF(Source!BS263&lt;&gt; 0, Source!BS263, 1)</f>
        <v>1</v>
      </c>
      <c r="K369" s="27">
        <f>Source!R263</f>
        <v>91.7</v>
      </c>
      <c r="L369" s="25"/>
    </row>
    <row r="370" spans="1:22" ht="14.25">
      <c r="A370" s="20"/>
      <c r="B370" s="20"/>
      <c r="C370" s="21"/>
      <c r="D370" s="21" t="s">
        <v>586</v>
      </c>
      <c r="E370" s="22"/>
      <c r="F370" s="9"/>
      <c r="G370" s="24">
        <f>Source!AL263</f>
        <v>11305.05</v>
      </c>
      <c r="H370" s="23" t="str">
        <f>Source!DD263</f>
        <v/>
      </c>
      <c r="I370" s="9">
        <f>Source!AW263</f>
        <v>1</v>
      </c>
      <c r="J370" s="9">
        <f>IF(Source!BC263&lt;&gt; 0, Source!BC263, 1)</f>
        <v>1</v>
      </c>
      <c r="K370" s="25">
        <f>Source!P263</f>
        <v>46633.33</v>
      </c>
      <c r="L370" s="25"/>
    </row>
    <row r="371" spans="1:22" ht="14.25">
      <c r="A371" s="20"/>
      <c r="B371" s="20"/>
      <c r="C371" s="21"/>
      <c r="D371" s="21" t="s">
        <v>580</v>
      </c>
      <c r="E371" s="22" t="s">
        <v>581</v>
      </c>
      <c r="F371" s="9">
        <f>Source!AT263</f>
        <v>70</v>
      </c>
      <c r="G371" s="24"/>
      <c r="H371" s="23"/>
      <c r="I371" s="9"/>
      <c r="J371" s="9"/>
      <c r="K371" s="25">
        <f>SUM(R365:R370)</f>
        <v>16454.77</v>
      </c>
      <c r="L371" s="25"/>
    </row>
    <row r="372" spans="1:22" ht="14.25">
      <c r="A372" s="20"/>
      <c r="B372" s="20"/>
      <c r="C372" s="21"/>
      <c r="D372" s="21" t="s">
        <v>582</v>
      </c>
      <c r="E372" s="22" t="s">
        <v>581</v>
      </c>
      <c r="F372" s="9">
        <f>Source!AU263</f>
        <v>10</v>
      </c>
      <c r="G372" s="24"/>
      <c r="H372" s="23"/>
      <c r="I372" s="9"/>
      <c r="J372" s="9"/>
      <c r="K372" s="25">
        <f>SUM(T365:T371)</f>
        <v>2350.6799999999998</v>
      </c>
      <c r="L372" s="25"/>
    </row>
    <row r="373" spans="1:22" ht="14.25">
      <c r="A373" s="20"/>
      <c r="B373" s="20"/>
      <c r="C373" s="21"/>
      <c r="D373" s="21" t="s">
        <v>583</v>
      </c>
      <c r="E373" s="22" t="s">
        <v>581</v>
      </c>
      <c r="F373" s="9">
        <f>108</f>
        <v>108</v>
      </c>
      <c r="G373" s="24"/>
      <c r="H373" s="23"/>
      <c r="I373" s="9"/>
      <c r="J373" s="9"/>
      <c r="K373" s="25">
        <f>SUM(V365:V372)</f>
        <v>99.04</v>
      </c>
      <c r="L373" s="25"/>
    </row>
    <row r="374" spans="1:22" ht="14.25">
      <c r="A374" s="20"/>
      <c r="B374" s="20"/>
      <c r="C374" s="21"/>
      <c r="D374" s="21" t="s">
        <v>584</v>
      </c>
      <c r="E374" s="22" t="s">
        <v>585</v>
      </c>
      <c r="F374" s="9">
        <f>Source!AQ263</f>
        <v>30.8</v>
      </c>
      <c r="G374" s="24"/>
      <c r="H374" s="23" t="str">
        <f>Source!DI263</f>
        <v/>
      </c>
      <c r="I374" s="9">
        <f>Source!AV263</f>
        <v>1</v>
      </c>
      <c r="J374" s="9"/>
      <c r="K374" s="25"/>
      <c r="L374" s="25">
        <f>Source!U263</f>
        <v>127.05</v>
      </c>
    </row>
    <row r="375" spans="1:22" ht="15">
      <c r="A375" s="30"/>
      <c r="B375" s="30"/>
      <c r="C375" s="30"/>
      <c r="D375" s="30"/>
      <c r="E375" s="30"/>
      <c r="F375" s="30"/>
      <c r="G375" s="30"/>
      <c r="H375" s="30"/>
      <c r="I375" s="30"/>
      <c r="J375" s="91">
        <f>K367+K368+K370+K371+K372+K373</f>
        <v>89295.26999999999</v>
      </c>
      <c r="K375" s="91"/>
      <c r="L375" s="31">
        <f>IF(Source!I263&lt;&gt;0, ROUND(J375/Source!I263, 2), 0)</f>
        <v>21647.34</v>
      </c>
      <c r="P375" s="28">
        <f>J375</f>
        <v>89295.26999999999</v>
      </c>
    </row>
    <row r="376" spans="1:22" ht="57">
      <c r="A376" s="20">
        <v>52</v>
      </c>
      <c r="B376" s="20" t="str">
        <f>Source!E264</f>
        <v>33</v>
      </c>
      <c r="C376" s="21" t="str">
        <f>Source!F264</f>
        <v>5.4-3203-3-4/1</v>
      </c>
      <c r="D376" s="21" t="str">
        <f>Source!G264</f>
        <v>Подготовка почвы для устройства партерного и обыкновенного газонов с внесением растительной земли слоем 15 см вручную</v>
      </c>
      <c r="E376" s="22" t="str">
        <f>Source!H264</f>
        <v>100 м2</v>
      </c>
      <c r="F376" s="9">
        <f>Source!I264</f>
        <v>1.375</v>
      </c>
      <c r="G376" s="24"/>
      <c r="H376" s="23"/>
      <c r="I376" s="9"/>
      <c r="J376" s="9"/>
      <c r="K376" s="25"/>
      <c r="L376" s="25"/>
      <c r="Q376">
        <f>ROUND((Source!BZ264/100)*ROUND((Source!AF264*Source!AV264)*Source!I264, 2), 2)</f>
        <v>8191.76</v>
      </c>
      <c r="R376">
        <f>Source!X264</f>
        <v>8191.76</v>
      </c>
      <c r="S376">
        <f>ROUND((Source!CA264/100)*ROUND((Source!AF264*Source!AV264)*Source!I264, 2), 2)</f>
        <v>1170.25</v>
      </c>
      <c r="T376">
        <f>Source!Y264</f>
        <v>1170.25</v>
      </c>
      <c r="U376">
        <f>ROUND((175/100)*ROUND((Source!AE264*Source!AV264)*Source!I264, 2), 2)</f>
        <v>0</v>
      </c>
      <c r="V376">
        <f>ROUND((108/100)*ROUND(Source!CS264*Source!I264, 2), 2)</f>
        <v>0</v>
      </c>
    </row>
    <row r="377" spans="1:22">
      <c r="D377" s="26" t="str">
        <f>"Объем: "&amp;Source!I264&amp;"=550*"&amp;"0,25/"&amp;"100"</f>
        <v>Объем: 1,375=550*0,25/100</v>
      </c>
    </row>
    <row r="378" spans="1:22" ht="14.25">
      <c r="A378" s="20"/>
      <c r="B378" s="20"/>
      <c r="C378" s="21"/>
      <c r="D378" s="21" t="s">
        <v>577</v>
      </c>
      <c r="E378" s="22"/>
      <c r="F378" s="9"/>
      <c r="G378" s="24">
        <f>Source!AO264</f>
        <v>8510.92</v>
      </c>
      <c r="H378" s="23" t="str">
        <f>Source!DG264</f>
        <v/>
      </c>
      <c r="I378" s="9">
        <f>Source!AV264</f>
        <v>1</v>
      </c>
      <c r="J378" s="9">
        <f>IF(Source!BA264&lt;&gt; 0, Source!BA264, 1)</f>
        <v>1</v>
      </c>
      <c r="K378" s="25">
        <f>Source!S264</f>
        <v>11702.52</v>
      </c>
      <c r="L378" s="25"/>
    </row>
    <row r="379" spans="1:22" ht="14.25">
      <c r="A379" s="20"/>
      <c r="B379" s="20"/>
      <c r="C379" s="21"/>
      <c r="D379" s="21" t="s">
        <v>586</v>
      </c>
      <c r="E379" s="22"/>
      <c r="F379" s="9"/>
      <c r="G379" s="24">
        <f>Source!AL264</f>
        <v>11305.05</v>
      </c>
      <c r="H379" s="23" t="str">
        <f>Source!DD264</f>
        <v/>
      </c>
      <c r="I379" s="9">
        <f>Source!AW264</f>
        <v>1</v>
      </c>
      <c r="J379" s="9">
        <f>IF(Source!BC264&lt;&gt; 0, Source!BC264, 1)</f>
        <v>1</v>
      </c>
      <c r="K379" s="25">
        <f>Source!P264</f>
        <v>15544.44</v>
      </c>
      <c r="L379" s="25"/>
    </row>
    <row r="380" spans="1:22" ht="14.25">
      <c r="A380" s="20"/>
      <c r="B380" s="20"/>
      <c r="C380" s="21"/>
      <c r="D380" s="21" t="s">
        <v>580</v>
      </c>
      <c r="E380" s="22" t="s">
        <v>581</v>
      </c>
      <c r="F380" s="9">
        <f>Source!AT264</f>
        <v>70</v>
      </c>
      <c r="G380" s="24"/>
      <c r="H380" s="23"/>
      <c r="I380" s="9"/>
      <c r="J380" s="9"/>
      <c r="K380" s="25">
        <f>SUM(R376:R379)</f>
        <v>8191.76</v>
      </c>
      <c r="L380" s="25"/>
    </row>
    <row r="381" spans="1:22" ht="14.25">
      <c r="A381" s="20"/>
      <c r="B381" s="20"/>
      <c r="C381" s="21"/>
      <c r="D381" s="21" t="s">
        <v>582</v>
      </c>
      <c r="E381" s="22" t="s">
        <v>581</v>
      </c>
      <c r="F381" s="9">
        <f>Source!AU264</f>
        <v>10</v>
      </c>
      <c r="G381" s="24"/>
      <c r="H381" s="23"/>
      <c r="I381" s="9"/>
      <c r="J381" s="9"/>
      <c r="K381" s="25">
        <f>SUM(T376:T380)</f>
        <v>1170.25</v>
      </c>
      <c r="L381" s="25"/>
    </row>
    <row r="382" spans="1:22" ht="14.25">
      <c r="A382" s="20"/>
      <c r="B382" s="20"/>
      <c r="C382" s="21"/>
      <c r="D382" s="21" t="s">
        <v>584</v>
      </c>
      <c r="E382" s="22" t="s">
        <v>585</v>
      </c>
      <c r="F382" s="9">
        <f>Source!AQ264</f>
        <v>46</v>
      </c>
      <c r="G382" s="24"/>
      <c r="H382" s="23" t="str">
        <f>Source!DI264</f>
        <v/>
      </c>
      <c r="I382" s="9">
        <f>Source!AV264</f>
        <v>1</v>
      </c>
      <c r="J382" s="9"/>
      <c r="K382" s="25"/>
      <c r="L382" s="25">
        <f>Source!U264</f>
        <v>63.25</v>
      </c>
    </row>
    <row r="383" spans="1:22" ht="15">
      <c r="A383" s="30"/>
      <c r="B383" s="30"/>
      <c r="C383" s="30"/>
      <c r="D383" s="30"/>
      <c r="E383" s="30"/>
      <c r="F383" s="30"/>
      <c r="G383" s="30"/>
      <c r="H383" s="30"/>
      <c r="I383" s="30"/>
      <c r="J383" s="91">
        <f>K378+K379+K380+K381</f>
        <v>36608.97</v>
      </c>
      <c r="K383" s="91"/>
      <c r="L383" s="31">
        <f>IF(Source!I264&lt;&gt;0, ROUND(J383/Source!I264, 2), 0)</f>
        <v>26624.71</v>
      </c>
      <c r="P383" s="28">
        <f>J383</f>
        <v>36608.97</v>
      </c>
    </row>
    <row r="384" spans="1:22" ht="57">
      <c r="A384" s="20">
        <v>53</v>
      </c>
      <c r="B384" s="20" t="str">
        <f>Source!E265</f>
        <v>34</v>
      </c>
      <c r="C384" s="21" t="str">
        <f>Source!F265</f>
        <v>5.4-3203-3-5/1</v>
      </c>
      <c r="D384" s="21" t="str">
        <f>Source!G265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E384" s="22" t="str">
        <f>Source!H265</f>
        <v>100 м2</v>
      </c>
      <c r="F384" s="9">
        <f>Source!I265</f>
        <v>-5.5</v>
      </c>
      <c r="G384" s="24"/>
      <c r="H384" s="23"/>
      <c r="I384" s="9"/>
      <c r="J384" s="9"/>
      <c r="K384" s="25"/>
      <c r="L384" s="25"/>
      <c r="Q384">
        <f>ROUND((Source!BZ265/100)*ROUND((Source!AF265*Source!AV265)*Source!I265, 2), 2)</f>
        <v>-4480.55</v>
      </c>
      <c r="R384">
        <f>Source!X265</f>
        <v>-4480.55</v>
      </c>
      <c r="S384">
        <f>ROUND((Source!CA265/100)*ROUND((Source!AF265*Source!AV265)*Source!I265, 2), 2)</f>
        <v>-640.08000000000004</v>
      </c>
      <c r="T384">
        <f>Source!Y265</f>
        <v>-640.08000000000004</v>
      </c>
      <c r="U384">
        <f>ROUND((175/100)*ROUND((Source!AE265*Source!AV265)*Source!I265, 2), 2)</f>
        <v>0</v>
      </c>
      <c r="V384">
        <f>ROUND((108/100)*ROUND(Source!CS265*Source!I265, 2), 2)</f>
        <v>0</v>
      </c>
    </row>
    <row r="385" spans="1:22">
      <c r="D385" s="26" t="str">
        <f>"Объем: "&amp;Source!I265&amp;"=-"&amp;"550/"&amp;"100"</f>
        <v>Объем: -5,5=-550/100</v>
      </c>
    </row>
    <row r="386" spans="1:22" ht="14.25">
      <c r="A386" s="20"/>
      <c r="B386" s="20"/>
      <c r="C386" s="21"/>
      <c r="D386" s="21" t="s">
        <v>577</v>
      </c>
      <c r="E386" s="22"/>
      <c r="F386" s="9"/>
      <c r="G386" s="24">
        <f>Source!AO265</f>
        <v>1163.78</v>
      </c>
      <c r="H386" s="23" t="str">
        <f>Source!DG265</f>
        <v/>
      </c>
      <c r="I386" s="9">
        <f>Source!AV265</f>
        <v>1</v>
      </c>
      <c r="J386" s="9">
        <f>IF(Source!BA265&lt;&gt; 0, Source!BA265, 1)</f>
        <v>1</v>
      </c>
      <c r="K386" s="25">
        <f>Source!S265</f>
        <v>-6400.79</v>
      </c>
      <c r="L386" s="25"/>
    </row>
    <row r="387" spans="1:22" ht="14.25">
      <c r="A387" s="20"/>
      <c r="B387" s="20"/>
      <c r="C387" s="21"/>
      <c r="D387" s="21" t="s">
        <v>586</v>
      </c>
      <c r="E387" s="22"/>
      <c r="F387" s="9"/>
      <c r="G387" s="24">
        <f>Source!AL265</f>
        <v>3768.35</v>
      </c>
      <c r="H387" s="23" t="str">
        <f>Source!DD265</f>
        <v/>
      </c>
      <c r="I387" s="9">
        <f>Source!AW265</f>
        <v>1</v>
      </c>
      <c r="J387" s="9">
        <f>IF(Source!BC265&lt;&gt; 0, Source!BC265, 1)</f>
        <v>1</v>
      </c>
      <c r="K387" s="25">
        <f>Source!P265</f>
        <v>-20725.93</v>
      </c>
      <c r="L387" s="25"/>
    </row>
    <row r="388" spans="1:22" ht="14.25">
      <c r="A388" s="20"/>
      <c r="B388" s="20"/>
      <c r="C388" s="21"/>
      <c r="D388" s="21" t="s">
        <v>580</v>
      </c>
      <c r="E388" s="22" t="s">
        <v>581</v>
      </c>
      <c r="F388" s="9">
        <f>Source!AT265</f>
        <v>70</v>
      </c>
      <c r="G388" s="24"/>
      <c r="H388" s="23"/>
      <c r="I388" s="9"/>
      <c r="J388" s="9"/>
      <c r="K388" s="25">
        <f>SUM(R384:R387)</f>
        <v>-4480.55</v>
      </c>
      <c r="L388" s="25"/>
    </row>
    <row r="389" spans="1:22" ht="14.25">
      <c r="A389" s="20"/>
      <c r="B389" s="20"/>
      <c r="C389" s="21"/>
      <c r="D389" s="21" t="s">
        <v>582</v>
      </c>
      <c r="E389" s="22" t="s">
        <v>581</v>
      </c>
      <c r="F389" s="9">
        <f>Source!AU265</f>
        <v>10</v>
      </c>
      <c r="G389" s="24"/>
      <c r="H389" s="23"/>
      <c r="I389" s="9"/>
      <c r="J389" s="9"/>
      <c r="K389" s="25">
        <f>SUM(T384:T388)</f>
        <v>-640.08000000000004</v>
      </c>
      <c r="L389" s="25"/>
    </row>
    <row r="390" spans="1:22" ht="14.25">
      <c r="A390" s="20"/>
      <c r="B390" s="20"/>
      <c r="C390" s="21"/>
      <c r="D390" s="21" t="s">
        <v>584</v>
      </c>
      <c r="E390" s="22" t="s">
        <v>585</v>
      </c>
      <c r="F390" s="9">
        <f>Source!AQ265</f>
        <v>6.29</v>
      </c>
      <c r="G390" s="24"/>
      <c r="H390" s="23" t="str">
        <f>Source!DI265</f>
        <v/>
      </c>
      <c r="I390" s="9">
        <f>Source!AV265</f>
        <v>1</v>
      </c>
      <c r="J390" s="9"/>
      <c r="K390" s="25"/>
      <c r="L390" s="25">
        <f>Source!U265</f>
        <v>-34.594999999999999</v>
      </c>
    </row>
    <row r="391" spans="1:22" ht="15">
      <c r="A391" s="30"/>
      <c r="B391" s="30"/>
      <c r="C391" s="30"/>
      <c r="D391" s="30"/>
      <c r="E391" s="30"/>
      <c r="F391" s="30"/>
      <c r="G391" s="30"/>
      <c r="H391" s="30"/>
      <c r="I391" s="30"/>
      <c r="J391" s="91">
        <f>K386+K387+K388+K389</f>
        <v>-32247.350000000002</v>
      </c>
      <c r="K391" s="91"/>
      <c r="L391" s="31">
        <f>IF(Source!I265&lt;&gt;0, ROUND(J391/Source!I265, 2), 0)</f>
        <v>5863.15</v>
      </c>
      <c r="P391" s="28">
        <f>J391</f>
        <v>-32247.350000000002</v>
      </c>
    </row>
    <row r="392" spans="1:22" ht="42.75">
      <c r="A392" s="20">
        <v>54</v>
      </c>
      <c r="B392" s="20" t="str">
        <f>Source!E266</f>
        <v>35</v>
      </c>
      <c r="C392" s="21" t="str">
        <f>Source!F266</f>
        <v>5.4-3203-3-6/1</v>
      </c>
      <c r="D392" s="21" t="str">
        <f>Source!G266</f>
        <v>Посев газонов партерных, мавританских, и обыкновенных вручную</v>
      </c>
      <c r="E392" s="22" t="str">
        <f>Source!H266</f>
        <v>100 м2</v>
      </c>
      <c r="F392" s="9">
        <f>Source!I266</f>
        <v>5.5</v>
      </c>
      <c r="G392" s="24"/>
      <c r="H392" s="23"/>
      <c r="I392" s="9"/>
      <c r="J392" s="9"/>
      <c r="K392" s="25"/>
      <c r="L392" s="25"/>
      <c r="Q392">
        <f>ROUND((Source!BZ266/100)*ROUND((Source!AF266*Source!AV266)*Source!I266, 2), 2)</f>
        <v>4701.05</v>
      </c>
      <c r="R392">
        <f>Source!X266</f>
        <v>4701.05</v>
      </c>
      <c r="S392">
        <f>ROUND((Source!CA266/100)*ROUND((Source!AF266*Source!AV266)*Source!I266, 2), 2)</f>
        <v>671.58</v>
      </c>
      <c r="T392">
        <f>Source!Y266</f>
        <v>671.58</v>
      </c>
      <c r="U392">
        <f>ROUND((175/100)*ROUND((Source!AE266*Source!AV266)*Source!I266, 2), 2)</f>
        <v>0</v>
      </c>
      <c r="V392">
        <f>ROUND((108/100)*ROUND(Source!CS266*Source!I266, 2), 2)</f>
        <v>0</v>
      </c>
    </row>
    <row r="393" spans="1:22">
      <c r="D393" s="26" t="str">
        <f>"Объем: "&amp;Source!I266&amp;"=550/"&amp;"100"</f>
        <v>Объем: 5,5=550/100</v>
      </c>
    </row>
    <row r="394" spans="1:22" ht="14.25">
      <c r="A394" s="20"/>
      <c r="B394" s="20"/>
      <c r="C394" s="21"/>
      <c r="D394" s="21" t="s">
        <v>577</v>
      </c>
      <c r="E394" s="22"/>
      <c r="F394" s="9"/>
      <c r="G394" s="24">
        <f>Source!AO266</f>
        <v>1221.05</v>
      </c>
      <c r="H394" s="23" t="str">
        <f>Source!DG266</f>
        <v/>
      </c>
      <c r="I394" s="9">
        <f>Source!AV266</f>
        <v>1</v>
      </c>
      <c r="J394" s="9">
        <f>IF(Source!BA266&lt;&gt; 0, Source!BA266, 1)</f>
        <v>1</v>
      </c>
      <c r="K394" s="25">
        <f>Source!S266</f>
        <v>6715.78</v>
      </c>
      <c r="L394" s="25"/>
    </row>
    <row r="395" spans="1:22" ht="14.25">
      <c r="A395" s="20"/>
      <c r="B395" s="20"/>
      <c r="C395" s="21"/>
      <c r="D395" s="21" t="s">
        <v>586</v>
      </c>
      <c r="E395" s="22"/>
      <c r="F395" s="9"/>
      <c r="G395" s="24">
        <f>Source!AL266</f>
        <v>1564.86</v>
      </c>
      <c r="H395" s="23" t="str">
        <f>Source!DD266</f>
        <v/>
      </c>
      <c r="I395" s="9">
        <f>Source!AW266</f>
        <v>1</v>
      </c>
      <c r="J395" s="9">
        <f>IF(Source!BC266&lt;&gt; 0, Source!BC266, 1)</f>
        <v>1</v>
      </c>
      <c r="K395" s="25">
        <f>Source!P266</f>
        <v>8606.73</v>
      </c>
      <c r="L395" s="25"/>
    </row>
    <row r="396" spans="1:22" ht="14.25">
      <c r="A396" s="20"/>
      <c r="B396" s="20"/>
      <c r="C396" s="21"/>
      <c r="D396" s="21" t="s">
        <v>580</v>
      </c>
      <c r="E396" s="22" t="s">
        <v>581</v>
      </c>
      <c r="F396" s="9">
        <f>Source!AT266</f>
        <v>70</v>
      </c>
      <c r="G396" s="24"/>
      <c r="H396" s="23"/>
      <c r="I396" s="9"/>
      <c r="J396" s="9"/>
      <c r="K396" s="25">
        <f>SUM(R392:R395)</f>
        <v>4701.05</v>
      </c>
      <c r="L396" s="25"/>
    </row>
    <row r="397" spans="1:22" ht="14.25">
      <c r="A397" s="20"/>
      <c r="B397" s="20"/>
      <c r="C397" s="21"/>
      <c r="D397" s="21" t="s">
        <v>582</v>
      </c>
      <c r="E397" s="22" t="s">
        <v>581</v>
      </c>
      <c r="F397" s="9">
        <f>Source!AU266</f>
        <v>10</v>
      </c>
      <c r="G397" s="24"/>
      <c r="H397" s="23"/>
      <c r="I397" s="9"/>
      <c r="J397" s="9"/>
      <c r="K397" s="25">
        <f>SUM(T392:T396)</f>
        <v>671.58</v>
      </c>
      <c r="L397" s="25"/>
    </row>
    <row r="398" spans="1:22" ht="14.25">
      <c r="A398" s="20"/>
      <c r="B398" s="20"/>
      <c r="C398" s="21"/>
      <c r="D398" s="21" t="s">
        <v>584</v>
      </c>
      <c r="E398" s="22" t="s">
        <v>585</v>
      </c>
      <c r="F398" s="9">
        <f>Source!AQ266</f>
        <v>6.04</v>
      </c>
      <c r="G398" s="24"/>
      <c r="H398" s="23" t="str">
        <f>Source!DI266</f>
        <v/>
      </c>
      <c r="I398" s="9">
        <f>Source!AV266</f>
        <v>1</v>
      </c>
      <c r="J398" s="9"/>
      <c r="K398" s="25"/>
      <c r="L398" s="25">
        <f>Source!U266</f>
        <v>33.22</v>
      </c>
    </row>
    <row r="399" spans="1:22" ht="15">
      <c r="A399" s="30"/>
      <c r="B399" s="30"/>
      <c r="C399" s="30"/>
      <c r="D399" s="30"/>
      <c r="E399" s="30"/>
      <c r="F399" s="30"/>
      <c r="G399" s="30"/>
      <c r="H399" s="30"/>
      <c r="I399" s="30"/>
      <c r="J399" s="91">
        <f>K394+K395+K396+K397</f>
        <v>20695.14</v>
      </c>
      <c r="K399" s="91"/>
      <c r="L399" s="31">
        <f>IF(Source!I266&lt;&gt;0, ROUND(J399/Source!I266, 2), 0)</f>
        <v>3762.75</v>
      </c>
      <c r="P399" s="28">
        <f>J399</f>
        <v>20695.14</v>
      </c>
    </row>
    <row r="401" spans="1:32" ht="15">
      <c r="A401" s="95" t="str">
        <f>CONCATENATE("Итого по разделу: ",IF(Source!G268&lt;&gt;"Новый раздел", Source!G268, ""))</f>
        <v>Итого по разделу: Ремонт газона (посевной) - 550м2 ( вокруг цветника с кустами и деревьями)</v>
      </c>
      <c r="B401" s="95"/>
      <c r="C401" s="95"/>
      <c r="D401" s="95"/>
      <c r="E401" s="95"/>
      <c r="F401" s="95"/>
      <c r="G401" s="95"/>
      <c r="H401" s="95"/>
      <c r="I401" s="95"/>
      <c r="J401" s="93">
        <f>SUM(P364:P400)</f>
        <v>114352.02999999998</v>
      </c>
      <c r="K401" s="94"/>
      <c r="L401" s="33"/>
      <c r="AF401" s="34" t="str">
        <f>CONCATENATE("Итого по разделу: ",IF(Source!G268&lt;&gt;"Новый раздел", Source!G268, ""))</f>
        <v>Итого по разделу: Ремонт газона (посевной) - 550м2 ( вокруг цветника с кустами и деревьями)</v>
      </c>
    </row>
    <row r="403" spans="1:32" ht="14.25">
      <c r="D403" s="88" t="str">
        <f>Source!H296</f>
        <v>Итого</v>
      </c>
      <c r="E403" s="88"/>
      <c r="F403" s="88"/>
      <c r="G403" s="88"/>
      <c r="H403" s="88"/>
      <c r="I403" s="88"/>
      <c r="J403" s="92">
        <f>IF(Source!F296=0, "", Source!F296)</f>
        <v>114352.03</v>
      </c>
      <c r="K403" s="92"/>
    </row>
    <row r="404" spans="1:32" ht="14.25">
      <c r="D404" s="88" t="str">
        <f>Source!H297</f>
        <v>НДС 20%</v>
      </c>
      <c r="E404" s="88"/>
      <c r="F404" s="88"/>
      <c r="G404" s="88"/>
      <c r="H404" s="88"/>
      <c r="I404" s="88"/>
      <c r="J404" s="92">
        <f>IF(Source!F297=0, "", Source!F297)</f>
        <v>22870.41</v>
      </c>
      <c r="K404" s="92"/>
    </row>
    <row r="405" spans="1:32" ht="14.25">
      <c r="D405" s="88" t="str">
        <f>Source!H298</f>
        <v>Всего с НДС</v>
      </c>
      <c r="E405" s="88"/>
      <c r="F405" s="88"/>
      <c r="G405" s="88"/>
      <c r="H405" s="88"/>
      <c r="I405" s="88"/>
      <c r="J405" s="92">
        <f>IF(Source!F298=0, "", Source!F298)</f>
        <v>137222.44</v>
      </c>
      <c r="K405" s="92"/>
    </row>
    <row r="407" spans="1:32" ht="16.5">
      <c r="A407" s="116" t="str">
        <f>CONCATENATE("Раздел: ",IF(Source!G300&lt;&gt;"Новый раздел", Source!G300, ""))</f>
        <v>Раздел: Стелла " Чертаново Центральное"</v>
      </c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</row>
    <row r="408" spans="1:32" ht="71.25">
      <c r="A408" s="20">
        <v>55</v>
      </c>
      <c r="B408" s="20" t="str">
        <f>Source!E304</f>
        <v>36</v>
      </c>
      <c r="C408" s="21" t="str">
        <f>Source!F304</f>
        <v>2.49-3201-14-1/1</v>
      </c>
      <c r="D408" s="21" t="str">
        <f>Source!G304</f>
        <v>Разработка грунта вручную в траншеях глубиной до 2 м без креплений с откосами, группа грунтов 1-3  ( 2,6м2*0,3м*0,1 (10%) ) с последующей планировкой прилегающей территории</v>
      </c>
      <c r="E408" s="22" t="str">
        <f>Source!H304</f>
        <v>100 м3</v>
      </c>
      <c r="F408" s="9">
        <f>Source!I304</f>
        <v>8.0000000000000004E-4</v>
      </c>
      <c r="G408" s="24"/>
      <c r="H408" s="23"/>
      <c r="I408" s="9"/>
      <c r="J408" s="9"/>
      <c r="K408" s="25"/>
      <c r="L408" s="25"/>
      <c r="Q408">
        <f>ROUND((Source!BZ304/100)*ROUND((Source!AF304*Source!AV304)*Source!I304, 2), 2)</f>
        <v>23.49</v>
      </c>
      <c r="R408">
        <f>Source!X304</f>
        <v>23.49</v>
      </c>
      <c r="S408">
        <f>ROUND((Source!CA304/100)*ROUND((Source!AF304*Source!AV304)*Source!I304, 2), 2)</f>
        <v>3.36</v>
      </c>
      <c r="T408">
        <f>Source!Y304</f>
        <v>3.36</v>
      </c>
      <c r="U408">
        <f>ROUND((175/100)*ROUND((Source!AE304*Source!AV304)*Source!I304, 2), 2)</f>
        <v>0</v>
      </c>
      <c r="V408">
        <f>ROUND((108/100)*ROUND(Source!CS304*Source!I304, 2), 2)</f>
        <v>0</v>
      </c>
    </row>
    <row r="409" spans="1:32">
      <c r="D409" s="26" t="str">
        <f>"Объем: "&amp;Source!I304&amp;"=0,08/"&amp;"100"</f>
        <v>Объем: 0,0008=0,08/100</v>
      </c>
    </row>
    <row r="410" spans="1:32" ht="14.25">
      <c r="A410" s="20"/>
      <c r="B410" s="20"/>
      <c r="C410" s="21"/>
      <c r="D410" s="21" t="s">
        <v>577</v>
      </c>
      <c r="E410" s="22"/>
      <c r="F410" s="9"/>
      <c r="G410" s="24">
        <f>Source!AO304</f>
        <v>41951.1</v>
      </c>
      <c r="H410" s="23" t="str">
        <f>Source!DG304</f>
        <v/>
      </c>
      <c r="I410" s="9">
        <f>Source!AV304</f>
        <v>1</v>
      </c>
      <c r="J410" s="9">
        <f>IF(Source!BA304&lt;&gt; 0, Source!BA304, 1)</f>
        <v>1</v>
      </c>
      <c r="K410" s="25">
        <f>Source!S304</f>
        <v>33.56</v>
      </c>
      <c r="L410" s="25"/>
    </row>
    <row r="411" spans="1:32" ht="14.25">
      <c r="A411" s="20"/>
      <c r="B411" s="20"/>
      <c r="C411" s="21"/>
      <c r="D411" s="21" t="s">
        <v>580</v>
      </c>
      <c r="E411" s="22" t="s">
        <v>581</v>
      </c>
      <c r="F411" s="9">
        <f>Source!AT304</f>
        <v>70</v>
      </c>
      <c r="G411" s="24"/>
      <c r="H411" s="23"/>
      <c r="I411" s="9"/>
      <c r="J411" s="9"/>
      <c r="K411" s="25">
        <f>SUM(R408:R410)</f>
        <v>23.49</v>
      </c>
      <c r="L411" s="25"/>
    </row>
    <row r="412" spans="1:32" ht="14.25">
      <c r="A412" s="20"/>
      <c r="B412" s="20"/>
      <c r="C412" s="21"/>
      <c r="D412" s="21" t="s">
        <v>582</v>
      </c>
      <c r="E412" s="22" t="s">
        <v>581</v>
      </c>
      <c r="F412" s="9">
        <f>Source!AU304</f>
        <v>10</v>
      </c>
      <c r="G412" s="24"/>
      <c r="H412" s="23"/>
      <c r="I412" s="9"/>
      <c r="J412" s="9"/>
      <c r="K412" s="25">
        <f>SUM(T408:T411)</f>
        <v>3.36</v>
      </c>
      <c r="L412" s="25"/>
    </row>
    <row r="413" spans="1:32" ht="14.25">
      <c r="A413" s="20"/>
      <c r="B413" s="20"/>
      <c r="C413" s="21"/>
      <c r="D413" s="21" t="s">
        <v>584</v>
      </c>
      <c r="E413" s="22" t="s">
        <v>585</v>
      </c>
      <c r="F413" s="9">
        <f>Source!AQ304</f>
        <v>221.6</v>
      </c>
      <c r="G413" s="24"/>
      <c r="H413" s="23" t="str">
        <f>Source!DI304</f>
        <v/>
      </c>
      <c r="I413" s="9">
        <f>Source!AV304</f>
        <v>1</v>
      </c>
      <c r="J413" s="9"/>
      <c r="K413" s="25"/>
      <c r="L413" s="25">
        <f>Source!U304</f>
        <v>0.17727999999999999</v>
      </c>
    </row>
    <row r="414" spans="1:32" ht="15">
      <c r="A414" s="30"/>
      <c r="B414" s="30"/>
      <c r="C414" s="30"/>
      <c r="D414" s="30"/>
      <c r="E414" s="30"/>
      <c r="F414" s="30"/>
      <c r="G414" s="30"/>
      <c r="H414" s="30"/>
      <c r="I414" s="30"/>
      <c r="J414" s="91">
        <f>K410+K411+K412</f>
        <v>60.41</v>
      </c>
      <c r="K414" s="91"/>
      <c r="L414" s="31">
        <f>IF(Source!I304&lt;&gt;0, ROUND(J414/Source!I304, 2), 0)</f>
        <v>75512.5</v>
      </c>
      <c r="P414" s="28">
        <f>J414</f>
        <v>60.41</v>
      </c>
    </row>
    <row r="415" spans="1:32" ht="57">
      <c r="A415" s="20">
        <v>56</v>
      </c>
      <c r="B415" s="20" t="str">
        <f>Source!E305</f>
        <v>37</v>
      </c>
      <c r="C415" s="21" t="str">
        <f>Source!F305</f>
        <v>2.49-3101-3-3/1</v>
      </c>
      <c r="D415" s="21" t="str">
        <f>Source!G305</f>
        <v>Разработка грунта с погрузкой на автомобили-самосвалы экскаваторами с ковшом вместимостью 0,5 м3, группа грунтов 1-3 ( 2,6м2*0,3м*0,9(90%))</v>
      </c>
      <c r="E415" s="22" t="str">
        <f>Source!H305</f>
        <v>100 м3</v>
      </c>
      <c r="F415" s="9">
        <f>Source!I305</f>
        <v>7.0000000000000001E-3</v>
      </c>
      <c r="G415" s="24"/>
      <c r="H415" s="23"/>
      <c r="I415" s="9"/>
      <c r="J415" s="9"/>
      <c r="K415" s="25"/>
      <c r="L415" s="25"/>
      <c r="Q415">
        <f>ROUND((Source!BZ305/100)*ROUND((Source!AF305*Source!AV305)*Source!I305, 2), 2)</f>
        <v>1.41</v>
      </c>
      <c r="R415">
        <f>Source!X305</f>
        <v>1.41</v>
      </c>
      <c r="S415">
        <f>ROUND((Source!CA305/100)*ROUND((Source!AF305*Source!AV305)*Source!I305, 2), 2)</f>
        <v>0.2</v>
      </c>
      <c r="T415">
        <f>Source!Y305</f>
        <v>0.2</v>
      </c>
      <c r="U415">
        <f>ROUND((175/100)*ROUND((Source!AE305*Source!AV305)*Source!I305, 2), 2)</f>
        <v>42.07</v>
      </c>
      <c r="V415">
        <f>ROUND((108/100)*ROUND(Source!CS305*Source!I305, 2), 2)</f>
        <v>25.96</v>
      </c>
    </row>
    <row r="416" spans="1:32">
      <c r="D416" s="26" t="str">
        <f>"Объем: "&amp;Source!I305&amp;"=0,7/"&amp;"100"</f>
        <v>Объем: 0,007=0,7/100</v>
      </c>
    </row>
    <row r="417" spans="1:22" ht="14.25">
      <c r="A417" s="20"/>
      <c r="B417" s="20"/>
      <c r="C417" s="21"/>
      <c r="D417" s="21" t="s">
        <v>577</v>
      </c>
      <c r="E417" s="22"/>
      <c r="F417" s="9"/>
      <c r="G417" s="24">
        <f>Source!AO305</f>
        <v>287.38</v>
      </c>
      <c r="H417" s="23" t="str">
        <f>Source!DG305</f>
        <v/>
      </c>
      <c r="I417" s="9">
        <f>Source!AV305</f>
        <v>1</v>
      </c>
      <c r="J417" s="9">
        <f>IF(Source!BA305&lt;&gt; 0, Source!BA305, 1)</f>
        <v>1</v>
      </c>
      <c r="K417" s="25">
        <f>Source!S305</f>
        <v>2.0099999999999998</v>
      </c>
      <c r="L417" s="25"/>
    </row>
    <row r="418" spans="1:22" ht="14.25">
      <c r="A418" s="20"/>
      <c r="B418" s="20"/>
      <c r="C418" s="21"/>
      <c r="D418" s="21" t="s">
        <v>578</v>
      </c>
      <c r="E418" s="22"/>
      <c r="F418" s="9"/>
      <c r="G418" s="24">
        <f>Source!AM305</f>
        <v>8779.01</v>
      </c>
      <c r="H418" s="23" t="str">
        <f>Source!DE305</f>
        <v/>
      </c>
      <c r="I418" s="9">
        <f>Source!AV305</f>
        <v>1</v>
      </c>
      <c r="J418" s="9">
        <f>IF(Source!BB305&lt;&gt; 0, Source!BB305, 1)</f>
        <v>1</v>
      </c>
      <c r="K418" s="25">
        <f>Source!Q305</f>
        <v>61.45</v>
      </c>
      <c r="L418" s="25"/>
    </row>
    <row r="419" spans="1:22" ht="14.25">
      <c r="A419" s="20"/>
      <c r="B419" s="20"/>
      <c r="C419" s="21"/>
      <c r="D419" s="21" t="s">
        <v>579</v>
      </c>
      <c r="E419" s="22"/>
      <c r="F419" s="9"/>
      <c r="G419" s="24">
        <f>Source!AN305</f>
        <v>3433.88</v>
      </c>
      <c r="H419" s="23" t="str">
        <f>Source!DF305</f>
        <v/>
      </c>
      <c r="I419" s="9">
        <f>Source!AV305</f>
        <v>1</v>
      </c>
      <c r="J419" s="9">
        <f>IF(Source!BS305&lt;&gt; 0, Source!BS305, 1)</f>
        <v>1</v>
      </c>
      <c r="K419" s="27">
        <f>Source!R305</f>
        <v>24.04</v>
      </c>
      <c r="L419" s="25"/>
    </row>
    <row r="420" spans="1:22" ht="14.25">
      <c r="A420" s="20"/>
      <c r="B420" s="20"/>
      <c r="C420" s="21"/>
      <c r="D420" s="21" t="s">
        <v>580</v>
      </c>
      <c r="E420" s="22" t="s">
        <v>581</v>
      </c>
      <c r="F420" s="9">
        <f>Source!AT305</f>
        <v>70</v>
      </c>
      <c r="G420" s="24"/>
      <c r="H420" s="23"/>
      <c r="I420" s="9"/>
      <c r="J420" s="9"/>
      <c r="K420" s="25">
        <f>SUM(R415:R419)</f>
        <v>1.41</v>
      </c>
      <c r="L420" s="25"/>
    </row>
    <row r="421" spans="1:22" ht="14.25">
      <c r="A421" s="20"/>
      <c r="B421" s="20"/>
      <c r="C421" s="21"/>
      <c r="D421" s="21" t="s">
        <v>582</v>
      </c>
      <c r="E421" s="22" t="s">
        <v>581</v>
      </c>
      <c r="F421" s="9">
        <f>Source!AU305</f>
        <v>10</v>
      </c>
      <c r="G421" s="24"/>
      <c r="H421" s="23"/>
      <c r="I421" s="9"/>
      <c r="J421" s="9"/>
      <c r="K421" s="25">
        <f>SUM(T415:T420)</f>
        <v>0.2</v>
      </c>
      <c r="L421" s="25"/>
    </row>
    <row r="422" spans="1:22" ht="14.25">
      <c r="A422" s="20"/>
      <c r="B422" s="20"/>
      <c r="C422" s="21"/>
      <c r="D422" s="21" t="s">
        <v>583</v>
      </c>
      <c r="E422" s="22" t="s">
        <v>581</v>
      </c>
      <c r="F422" s="9">
        <f>108</f>
        <v>108</v>
      </c>
      <c r="G422" s="24"/>
      <c r="H422" s="23"/>
      <c r="I422" s="9"/>
      <c r="J422" s="9"/>
      <c r="K422" s="25">
        <f>SUM(V415:V421)</f>
        <v>25.96</v>
      </c>
      <c r="L422" s="25"/>
    </row>
    <row r="423" spans="1:22" ht="14.25">
      <c r="A423" s="20"/>
      <c r="B423" s="20"/>
      <c r="C423" s="21"/>
      <c r="D423" s="21" t="s">
        <v>584</v>
      </c>
      <c r="E423" s="22" t="s">
        <v>585</v>
      </c>
      <c r="F423" s="9">
        <f>Source!AQ305</f>
        <v>1.59</v>
      </c>
      <c r="G423" s="24"/>
      <c r="H423" s="23" t="str">
        <f>Source!DI305</f>
        <v/>
      </c>
      <c r="I423" s="9">
        <f>Source!AV305</f>
        <v>1</v>
      </c>
      <c r="J423" s="9"/>
      <c r="K423" s="25"/>
      <c r="L423" s="25">
        <f>Source!U305</f>
        <v>1.1130000000000001E-2</v>
      </c>
    </row>
    <row r="424" spans="1:22" ht="15">
      <c r="A424" s="30"/>
      <c r="B424" s="30"/>
      <c r="C424" s="30"/>
      <c r="D424" s="30"/>
      <c r="E424" s="30"/>
      <c r="F424" s="30"/>
      <c r="G424" s="30"/>
      <c r="H424" s="30"/>
      <c r="I424" s="30"/>
      <c r="J424" s="91">
        <f>K417+K418+K420+K421+K422</f>
        <v>91.03</v>
      </c>
      <c r="K424" s="91"/>
      <c r="L424" s="31">
        <f>IF(Source!I305&lt;&gt;0, ROUND(J424/Source!I305, 2), 0)</f>
        <v>13004.29</v>
      </c>
      <c r="P424" s="28">
        <f>J424</f>
        <v>91.03</v>
      </c>
    </row>
    <row r="425" spans="1:22" ht="128.25">
      <c r="A425" s="20">
        <v>57</v>
      </c>
      <c r="B425" s="20" t="str">
        <f>Source!E306</f>
        <v>38</v>
      </c>
      <c r="C425" s="21" t="str">
        <f>Source!F306</f>
        <v>5.4-3503-1-1/1</v>
      </c>
      <c r="D425" s="21" t="str">
        <f>Source!G306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(при слое 20 см покрываемая площадь 0,7м3/0,2м х 0,75)</v>
      </c>
      <c r="E425" s="22" t="str">
        <f>Source!H306</f>
        <v>100 м2</v>
      </c>
      <c r="F425" s="9">
        <f>Source!I306</f>
        <v>2.5999999999999999E-2</v>
      </c>
      <c r="G425" s="24"/>
      <c r="H425" s="23"/>
      <c r="I425" s="9"/>
      <c r="J425" s="9"/>
      <c r="K425" s="25"/>
      <c r="L425" s="25"/>
      <c r="Q425">
        <f>ROUND((Source!BZ306/100)*ROUND((Source!AF306*Source!AV306)*Source!I306, 2), 2)</f>
        <v>0</v>
      </c>
      <c r="R425">
        <f>Source!X306</f>
        <v>0</v>
      </c>
      <c r="S425">
        <f>ROUND((Source!CA306/100)*ROUND((Source!AF306*Source!AV306)*Source!I306, 2), 2)</f>
        <v>0</v>
      </c>
      <c r="T425">
        <f>Source!Y306</f>
        <v>0</v>
      </c>
      <c r="U425">
        <f>ROUND((175/100)*ROUND((Source!AE306*Source!AV306)*Source!I306, 2), 2)</f>
        <v>5.08</v>
      </c>
      <c r="V425">
        <f>ROUND((108/100)*ROUND(Source!CS306*Source!I306, 2), 2)</f>
        <v>3.13</v>
      </c>
    </row>
    <row r="426" spans="1:22">
      <c r="D426" s="26" t="str">
        <f>"Объем: "&amp;Source!I306&amp;"=2,6/"&amp;"100"</f>
        <v>Объем: 0,026=2,6/100</v>
      </c>
    </row>
    <row r="427" spans="1:22" ht="14.25">
      <c r="A427" s="20"/>
      <c r="B427" s="20"/>
      <c r="C427" s="21"/>
      <c r="D427" s="21" t="s">
        <v>578</v>
      </c>
      <c r="E427" s="22"/>
      <c r="F427" s="9"/>
      <c r="G427" s="24">
        <f>Source!AM306</f>
        <v>296.60000000000002</v>
      </c>
      <c r="H427" s="23" t="str">
        <f>Source!DE306</f>
        <v/>
      </c>
      <c r="I427" s="9">
        <f>Source!AV306</f>
        <v>1</v>
      </c>
      <c r="J427" s="9">
        <f>IF(Source!BB306&lt;&gt; 0, Source!BB306, 1)</f>
        <v>1</v>
      </c>
      <c r="K427" s="25">
        <f>Source!Q306</f>
        <v>7.71</v>
      </c>
      <c r="L427" s="25"/>
    </row>
    <row r="428" spans="1:22" ht="14.25">
      <c r="A428" s="20"/>
      <c r="B428" s="20"/>
      <c r="C428" s="21"/>
      <c r="D428" s="21" t="s">
        <v>579</v>
      </c>
      <c r="E428" s="22"/>
      <c r="F428" s="9"/>
      <c r="G428" s="24">
        <f>Source!AN306</f>
        <v>111.43</v>
      </c>
      <c r="H428" s="23" t="str">
        <f>Source!DF306</f>
        <v/>
      </c>
      <c r="I428" s="9">
        <f>Source!AV306</f>
        <v>1</v>
      </c>
      <c r="J428" s="9">
        <f>IF(Source!BS306&lt;&gt; 0, Source!BS306, 1)</f>
        <v>1</v>
      </c>
      <c r="K428" s="27">
        <f>Source!R306</f>
        <v>2.9</v>
      </c>
      <c r="L428" s="25"/>
    </row>
    <row r="429" spans="1:22" ht="14.25">
      <c r="A429" s="20"/>
      <c r="B429" s="20"/>
      <c r="C429" s="21"/>
      <c r="D429" s="21" t="s">
        <v>583</v>
      </c>
      <c r="E429" s="22" t="s">
        <v>581</v>
      </c>
      <c r="F429" s="9">
        <f>108</f>
        <v>108</v>
      </c>
      <c r="G429" s="24"/>
      <c r="H429" s="23"/>
      <c r="I429" s="9"/>
      <c r="J429" s="9"/>
      <c r="K429" s="25">
        <f>SUM(V425:V428)</f>
        <v>3.13</v>
      </c>
      <c r="L429" s="25"/>
    </row>
    <row r="430" spans="1:22" ht="15">
      <c r="A430" s="30"/>
      <c r="B430" s="30"/>
      <c r="C430" s="30"/>
      <c r="D430" s="30"/>
      <c r="E430" s="30"/>
      <c r="F430" s="30"/>
      <c r="G430" s="30"/>
      <c r="H430" s="30"/>
      <c r="I430" s="30"/>
      <c r="J430" s="91">
        <f>K427+K429</f>
        <v>10.84</v>
      </c>
      <c r="K430" s="91"/>
      <c r="L430" s="31">
        <f>IF(Source!I306&lt;&gt;0, ROUND(J430/Source!I306, 2), 0)</f>
        <v>416.92</v>
      </c>
      <c r="P430" s="28">
        <f>J430</f>
        <v>10.84</v>
      </c>
    </row>
    <row r="431" spans="1:22" ht="99.75">
      <c r="A431" s="20">
        <v>58</v>
      </c>
      <c r="B431" s="20" t="str">
        <f>Source!E307</f>
        <v>39</v>
      </c>
      <c r="C431" s="21" t="str">
        <f>Source!F307</f>
        <v>5.4-3503-1-2/1</v>
      </c>
      <c r="D431" s="21" t="str">
        <f>Source!G307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0,7м3/0,2м х 0,25)</v>
      </c>
      <c r="E431" s="22" t="str">
        <f>Source!H307</f>
        <v>100 м2</v>
      </c>
      <c r="F431" s="9">
        <f>Source!I307</f>
        <v>8.9999999999999993E-3</v>
      </c>
      <c r="G431" s="24"/>
      <c r="H431" s="23"/>
      <c r="I431" s="9"/>
      <c r="J431" s="9"/>
      <c r="K431" s="25"/>
      <c r="L431" s="25"/>
      <c r="Q431">
        <f>ROUND((Source!BZ307/100)*ROUND((Source!AF307*Source!AV307)*Source!I307, 2), 2)</f>
        <v>13.36</v>
      </c>
      <c r="R431">
        <f>Source!X307</f>
        <v>13.36</v>
      </c>
      <c r="S431">
        <f>ROUND((Source!CA307/100)*ROUND((Source!AF307*Source!AV307)*Source!I307, 2), 2)</f>
        <v>1.91</v>
      </c>
      <c r="T431">
        <f>Source!Y307</f>
        <v>1.91</v>
      </c>
      <c r="U431">
        <f>ROUND((175/100)*ROUND((Source!AE307*Source!AV307)*Source!I307, 2), 2)</f>
        <v>0</v>
      </c>
      <c r="V431">
        <f>ROUND((108/100)*ROUND(Source!CS307*Source!I307, 2), 2)</f>
        <v>0</v>
      </c>
    </row>
    <row r="432" spans="1:22">
      <c r="D432" s="26" t="str">
        <f>"Объем: "&amp;Source!I307&amp;"=0,9/"&amp;"100"</f>
        <v>Объем: 0,009=0,9/100</v>
      </c>
    </row>
    <row r="433" spans="1:22" ht="14.25">
      <c r="A433" s="20"/>
      <c r="B433" s="20"/>
      <c r="C433" s="21"/>
      <c r="D433" s="21" t="s">
        <v>577</v>
      </c>
      <c r="E433" s="22"/>
      <c r="F433" s="9"/>
      <c r="G433" s="24">
        <f>Source!AO307</f>
        <v>2120.08</v>
      </c>
      <c r="H433" s="23" t="str">
        <f>Source!DG307</f>
        <v/>
      </c>
      <c r="I433" s="9">
        <f>Source!AV307</f>
        <v>1</v>
      </c>
      <c r="J433" s="9">
        <f>IF(Source!BA307&lt;&gt; 0, Source!BA307, 1)</f>
        <v>1</v>
      </c>
      <c r="K433" s="25">
        <f>Source!S307</f>
        <v>19.079999999999998</v>
      </c>
      <c r="L433" s="25"/>
    </row>
    <row r="434" spans="1:22" ht="14.25">
      <c r="A434" s="20"/>
      <c r="B434" s="20"/>
      <c r="C434" s="21"/>
      <c r="D434" s="21" t="s">
        <v>580</v>
      </c>
      <c r="E434" s="22" t="s">
        <v>581</v>
      </c>
      <c r="F434" s="9">
        <f>Source!AT307</f>
        <v>70</v>
      </c>
      <c r="G434" s="24"/>
      <c r="H434" s="23"/>
      <c r="I434" s="9"/>
      <c r="J434" s="9"/>
      <c r="K434" s="25">
        <f>SUM(R431:R433)</f>
        <v>13.36</v>
      </c>
      <c r="L434" s="25"/>
    </row>
    <row r="435" spans="1:22" ht="14.25">
      <c r="A435" s="20"/>
      <c r="B435" s="20"/>
      <c r="C435" s="21"/>
      <c r="D435" s="21" t="s">
        <v>582</v>
      </c>
      <c r="E435" s="22" t="s">
        <v>581</v>
      </c>
      <c r="F435" s="9">
        <f>Source!AU307</f>
        <v>10</v>
      </c>
      <c r="G435" s="24"/>
      <c r="H435" s="23"/>
      <c r="I435" s="9"/>
      <c r="J435" s="9"/>
      <c r="K435" s="25">
        <f>SUM(T431:T434)</f>
        <v>1.91</v>
      </c>
      <c r="L435" s="25"/>
    </row>
    <row r="436" spans="1:22" ht="14.25">
      <c r="A436" s="20"/>
      <c r="B436" s="20"/>
      <c r="C436" s="21"/>
      <c r="D436" s="21" t="s">
        <v>584</v>
      </c>
      <c r="E436" s="22" t="s">
        <v>585</v>
      </c>
      <c r="F436" s="9">
        <f>Source!AQ307</f>
        <v>11.73</v>
      </c>
      <c r="G436" s="24"/>
      <c r="H436" s="23" t="str">
        <f>Source!DI307</f>
        <v/>
      </c>
      <c r="I436" s="9">
        <f>Source!AV307</f>
        <v>1</v>
      </c>
      <c r="J436" s="9"/>
      <c r="K436" s="25"/>
      <c r="L436" s="25">
        <f>Source!U307</f>
        <v>0.10557</v>
      </c>
    </row>
    <row r="437" spans="1:22" ht="15">
      <c r="A437" s="30"/>
      <c r="B437" s="30"/>
      <c r="C437" s="30"/>
      <c r="D437" s="30"/>
      <c r="E437" s="30"/>
      <c r="F437" s="30"/>
      <c r="G437" s="30"/>
      <c r="H437" s="30"/>
      <c r="I437" s="30"/>
      <c r="J437" s="91">
        <f>K433+K434+K435</f>
        <v>34.349999999999994</v>
      </c>
      <c r="K437" s="91"/>
      <c r="L437" s="31">
        <f>IF(Source!I307&lt;&gt;0, ROUND(J437/Source!I307, 2), 0)</f>
        <v>3816.67</v>
      </c>
      <c r="P437" s="28">
        <f>J437</f>
        <v>34.349999999999994</v>
      </c>
    </row>
    <row r="438" spans="1:22" ht="42.75">
      <c r="A438" s="20">
        <v>59</v>
      </c>
      <c r="B438" s="20" t="str">
        <f>Source!E308</f>
        <v>40</v>
      </c>
      <c r="C438" s="21" t="str">
        <f>Source!F308</f>
        <v>2.1-3303-1-1/1</v>
      </c>
      <c r="D438" s="21" t="str">
        <f>Source!G308</f>
        <v>Устройство подстилающих и выравнивающих слоев оснований из песка</v>
      </c>
      <c r="E438" s="22" t="str">
        <f>Source!H308</f>
        <v>100 м3</v>
      </c>
      <c r="F438" s="9">
        <f>Source!I308</f>
        <v>2.5999999999999999E-3</v>
      </c>
      <c r="G438" s="24"/>
      <c r="H438" s="23"/>
      <c r="I438" s="9"/>
      <c r="J438" s="9"/>
      <c r="K438" s="25"/>
      <c r="L438" s="25"/>
      <c r="Q438">
        <f>ROUND((Source!BZ308/100)*ROUND((Source!AF308*Source!AV308)*Source!I308, 2), 2)</f>
        <v>5.64</v>
      </c>
      <c r="R438">
        <f>Source!X308</f>
        <v>5.64</v>
      </c>
      <c r="S438">
        <f>ROUND((Source!CA308/100)*ROUND((Source!AF308*Source!AV308)*Source!I308, 2), 2)</f>
        <v>0.81</v>
      </c>
      <c r="T438">
        <f>Source!Y308</f>
        <v>0.81</v>
      </c>
      <c r="U438">
        <f>ROUND((175/100)*ROUND((Source!AE308*Source!AV308)*Source!I308, 2), 2)</f>
        <v>14.67</v>
      </c>
      <c r="V438">
        <f>ROUND((108/100)*ROUND(Source!CS308*Source!I308, 2), 2)</f>
        <v>9.0500000000000007</v>
      </c>
    </row>
    <row r="439" spans="1:22">
      <c r="D439" s="26" t="str">
        <f>"Объем: "&amp;Source!I308&amp;"=(2,6*"&amp;"0,1)/"&amp;"100"</f>
        <v>Объем: 0,0026=(2,6*0,1)/100</v>
      </c>
    </row>
    <row r="440" spans="1:22" ht="14.25">
      <c r="A440" s="20"/>
      <c r="B440" s="20"/>
      <c r="C440" s="21"/>
      <c r="D440" s="21" t="s">
        <v>577</v>
      </c>
      <c r="E440" s="22"/>
      <c r="F440" s="9"/>
      <c r="G440" s="24">
        <f>Source!AO308</f>
        <v>3099.54</v>
      </c>
      <c r="H440" s="23" t="str">
        <f>Source!DG308</f>
        <v/>
      </c>
      <c r="I440" s="9">
        <f>Source!AV308</f>
        <v>1</v>
      </c>
      <c r="J440" s="9">
        <f>IF(Source!BA308&lt;&gt; 0, Source!BA308, 1)</f>
        <v>1</v>
      </c>
      <c r="K440" s="25">
        <f>Source!S308</f>
        <v>8.06</v>
      </c>
      <c r="L440" s="25"/>
    </row>
    <row r="441" spans="1:22" ht="14.25">
      <c r="A441" s="20"/>
      <c r="B441" s="20"/>
      <c r="C441" s="21"/>
      <c r="D441" s="21" t="s">
        <v>578</v>
      </c>
      <c r="E441" s="22"/>
      <c r="F441" s="9"/>
      <c r="G441" s="24">
        <f>Source!AM308</f>
        <v>7602.23</v>
      </c>
      <c r="H441" s="23" t="str">
        <f>Source!DE308</f>
        <v/>
      </c>
      <c r="I441" s="9">
        <f>Source!AV308</f>
        <v>1</v>
      </c>
      <c r="J441" s="9">
        <f>IF(Source!BB308&lt;&gt; 0, Source!BB308, 1)</f>
        <v>1</v>
      </c>
      <c r="K441" s="25">
        <f>Source!Q308</f>
        <v>19.77</v>
      </c>
      <c r="L441" s="25"/>
    </row>
    <row r="442" spans="1:22" ht="14.25">
      <c r="A442" s="20"/>
      <c r="B442" s="20"/>
      <c r="C442" s="21"/>
      <c r="D442" s="21" t="s">
        <v>579</v>
      </c>
      <c r="E442" s="22"/>
      <c r="F442" s="9"/>
      <c r="G442" s="24">
        <f>Source!AN308</f>
        <v>3222.98</v>
      </c>
      <c r="H442" s="23" t="str">
        <f>Source!DF308</f>
        <v/>
      </c>
      <c r="I442" s="9">
        <f>Source!AV308</f>
        <v>1</v>
      </c>
      <c r="J442" s="9">
        <f>IF(Source!BS308&lt;&gt; 0, Source!BS308, 1)</f>
        <v>1</v>
      </c>
      <c r="K442" s="27">
        <f>Source!R308</f>
        <v>8.3800000000000008</v>
      </c>
      <c r="L442" s="25"/>
    </row>
    <row r="443" spans="1:22" ht="14.25">
      <c r="A443" s="20"/>
      <c r="B443" s="20"/>
      <c r="C443" s="21"/>
      <c r="D443" s="21" t="s">
        <v>586</v>
      </c>
      <c r="E443" s="22"/>
      <c r="F443" s="9"/>
      <c r="G443" s="24">
        <f>Source!AL308</f>
        <v>65162.05</v>
      </c>
      <c r="H443" s="23" t="str">
        <f>Source!DD308</f>
        <v/>
      </c>
      <c r="I443" s="9">
        <f>Source!AW308</f>
        <v>1</v>
      </c>
      <c r="J443" s="9">
        <f>IF(Source!BC308&lt;&gt; 0, Source!BC308, 1)</f>
        <v>1</v>
      </c>
      <c r="K443" s="25">
        <f>Source!P308</f>
        <v>169.42</v>
      </c>
      <c r="L443" s="25"/>
    </row>
    <row r="444" spans="1:22" ht="14.25">
      <c r="A444" s="20"/>
      <c r="B444" s="20"/>
      <c r="C444" s="21"/>
      <c r="D444" s="21" t="s">
        <v>580</v>
      </c>
      <c r="E444" s="22" t="s">
        <v>581</v>
      </c>
      <c r="F444" s="9">
        <f>Source!AT308</f>
        <v>70</v>
      </c>
      <c r="G444" s="24"/>
      <c r="H444" s="23"/>
      <c r="I444" s="9"/>
      <c r="J444" s="9"/>
      <c r="K444" s="25">
        <f>SUM(R438:R443)</f>
        <v>5.64</v>
      </c>
      <c r="L444" s="25"/>
    </row>
    <row r="445" spans="1:22" ht="14.25">
      <c r="A445" s="20"/>
      <c r="B445" s="20"/>
      <c r="C445" s="21"/>
      <c r="D445" s="21" t="s">
        <v>582</v>
      </c>
      <c r="E445" s="22" t="s">
        <v>581</v>
      </c>
      <c r="F445" s="9">
        <f>Source!AU308</f>
        <v>10</v>
      </c>
      <c r="G445" s="24"/>
      <c r="H445" s="23"/>
      <c r="I445" s="9"/>
      <c r="J445" s="9"/>
      <c r="K445" s="25">
        <f>SUM(T438:T444)</f>
        <v>0.81</v>
      </c>
      <c r="L445" s="25"/>
    </row>
    <row r="446" spans="1:22" ht="14.25">
      <c r="A446" s="20"/>
      <c r="B446" s="20"/>
      <c r="C446" s="21"/>
      <c r="D446" s="21" t="s">
        <v>583</v>
      </c>
      <c r="E446" s="22" t="s">
        <v>581</v>
      </c>
      <c r="F446" s="9">
        <f>108</f>
        <v>108</v>
      </c>
      <c r="G446" s="24"/>
      <c r="H446" s="23"/>
      <c r="I446" s="9"/>
      <c r="J446" s="9"/>
      <c r="K446" s="25">
        <f>SUM(V438:V445)</f>
        <v>9.0500000000000007</v>
      </c>
      <c r="L446" s="25"/>
    </row>
    <row r="447" spans="1:22" ht="14.25">
      <c r="A447" s="20"/>
      <c r="B447" s="20"/>
      <c r="C447" s="21"/>
      <c r="D447" s="21" t="s">
        <v>584</v>
      </c>
      <c r="E447" s="22" t="s">
        <v>585</v>
      </c>
      <c r="F447" s="9">
        <f>Source!AQ308</f>
        <v>16.559999999999999</v>
      </c>
      <c r="G447" s="24"/>
      <c r="H447" s="23" t="str">
        <f>Source!DI308</f>
        <v/>
      </c>
      <c r="I447" s="9">
        <f>Source!AV308</f>
        <v>1</v>
      </c>
      <c r="J447" s="9"/>
      <c r="K447" s="25"/>
      <c r="L447" s="25">
        <f>Source!U308</f>
        <v>4.3055999999999997E-2</v>
      </c>
    </row>
    <row r="448" spans="1:22" ht="15">
      <c r="A448" s="30"/>
      <c r="B448" s="30"/>
      <c r="C448" s="30"/>
      <c r="D448" s="30"/>
      <c r="E448" s="30"/>
      <c r="F448" s="30"/>
      <c r="G448" s="30"/>
      <c r="H448" s="30"/>
      <c r="I448" s="30"/>
      <c r="J448" s="91">
        <f>K440+K441+K443+K444+K445+K446</f>
        <v>212.75</v>
      </c>
      <c r="K448" s="91"/>
      <c r="L448" s="31">
        <f>IF(Source!I308&lt;&gt;0, ROUND(J448/Source!I308, 2), 0)</f>
        <v>81826.92</v>
      </c>
      <c r="P448" s="28">
        <f>J448</f>
        <v>212.75</v>
      </c>
    </row>
    <row r="449" spans="1:22" ht="42.75">
      <c r="A449" s="20">
        <v>60</v>
      </c>
      <c r="B449" s="20" t="str">
        <f>Source!E309</f>
        <v>41</v>
      </c>
      <c r="C449" s="21" t="str">
        <f>Source!F309</f>
        <v>2.1-3303-1-2/1</v>
      </c>
      <c r="D449" s="21" t="str">
        <f>Source!G309</f>
        <v>Устройство подстилающих и выравнивающих слоев оснований из щебня</v>
      </c>
      <c r="E449" s="22" t="str">
        <f>Source!H309</f>
        <v>100 м3</v>
      </c>
      <c r="F449" s="9">
        <f>Source!I309</f>
        <v>3.8999999999999998E-3</v>
      </c>
      <c r="G449" s="24"/>
      <c r="H449" s="23"/>
      <c r="I449" s="9"/>
      <c r="J449" s="9"/>
      <c r="K449" s="25"/>
      <c r="L449" s="25"/>
      <c r="Q449">
        <f>ROUND((Source!BZ309/100)*ROUND((Source!AF309*Source!AV309)*Source!I309, 2), 2)</f>
        <v>12.69</v>
      </c>
      <c r="R449">
        <f>Source!X309</f>
        <v>12.69</v>
      </c>
      <c r="S449">
        <f>ROUND((Source!CA309/100)*ROUND((Source!AF309*Source!AV309)*Source!I309, 2), 2)</f>
        <v>1.81</v>
      </c>
      <c r="T449">
        <f>Source!Y309</f>
        <v>1.81</v>
      </c>
      <c r="U449">
        <f>ROUND((175/100)*ROUND((Source!AE309*Source!AV309)*Source!I309, 2), 2)</f>
        <v>144.80000000000001</v>
      </c>
      <c r="V449">
        <f>ROUND((108/100)*ROUND(Source!CS309*Source!I309, 2), 2)</f>
        <v>89.36</v>
      </c>
    </row>
    <row r="450" spans="1:22">
      <c r="D450" s="26" t="str">
        <f>"Объем: "&amp;Source!I309&amp;"=(2,6*"&amp;"0,15)/"&amp;"100"</f>
        <v>Объем: 0,0039=(2,6*0,15)/100</v>
      </c>
    </row>
    <row r="451" spans="1:22" ht="14.25">
      <c r="A451" s="20"/>
      <c r="B451" s="20"/>
      <c r="C451" s="21"/>
      <c r="D451" s="21" t="s">
        <v>577</v>
      </c>
      <c r="E451" s="22"/>
      <c r="F451" s="9"/>
      <c r="G451" s="24">
        <f>Source!AO309</f>
        <v>4649.3</v>
      </c>
      <c r="H451" s="23" t="str">
        <f>Source!DG309</f>
        <v/>
      </c>
      <c r="I451" s="9">
        <f>Source!AV309</f>
        <v>1</v>
      </c>
      <c r="J451" s="9">
        <f>IF(Source!BA309&lt;&gt; 0, Source!BA309, 1)</f>
        <v>1</v>
      </c>
      <c r="K451" s="25">
        <f>Source!S309</f>
        <v>18.13</v>
      </c>
      <c r="L451" s="25"/>
    </row>
    <row r="452" spans="1:22" ht="14.25">
      <c r="A452" s="20"/>
      <c r="B452" s="20"/>
      <c r="C452" s="21"/>
      <c r="D452" s="21" t="s">
        <v>578</v>
      </c>
      <c r="E452" s="22"/>
      <c r="F452" s="9"/>
      <c r="G452" s="24">
        <f>Source!AM309</f>
        <v>53736.02</v>
      </c>
      <c r="H452" s="23" t="str">
        <f>Source!DE309</f>
        <v/>
      </c>
      <c r="I452" s="9">
        <f>Source!AV309</f>
        <v>1</v>
      </c>
      <c r="J452" s="9">
        <f>IF(Source!BB309&lt;&gt; 0, Source!BB309, 1)</f>
        <v>1</v>
      </c>
      <c r="K452" s="25">
        <f>Source!Q309</f>
        <v>209.57</v>
      </c>
      <c r="L452" s="25"/>
    </row>
    <row r="453" spans="1:22" ht="14.25">
      <c r="A453" s="20"/>
      <c r="B453" s="20"/>
      <c r="C453" s="21"/>
      <c r="D453" s="21" t="s">
        <v>579</v>
      </c>
      <c r="E453" s="22"/>
      <c r="F453" s="9"/>
      <c r="G453" s="24">
        <f>Source!AN309</f>
        <v>21215.13</v>
      </c>
      <c r="H453" s="23" t="str">
        <f>Source!DF309</f>
        <v/>
      </c>
      <c r="I453" s="9">
        <f>Source!AV309</f>
        <v>1</v>
      </c>
      <c r="J453" s="9">
        <f>IF(Source!BS309&lt;&gt; 0, Source!BS309, 1)</f>
        <v>1</v>
      </c>
      <c r="K453" s="27">
        <f>Source!R309</f>
        <v>82.74</v>
      </c>
      <c r="L453" s="25"/>
    </row>
    <row r="454" spans="1:22" ht="14.25">
      <c r="A454" s="20"/>
      <c r="B454" s="20"/>
      <c r="C454" s="21"/>
      <c r="D454" s="21" t="s">
        <v>586</v>
      </c>
      <c r="E454" s="22"/>
      <c r="F454" s="9"/>
      <c r="G454" s="24">
        <f>Source!AL309</f>
        <v>222479.25</v>
      </c>
      <c r="H454" s="23" t="str">
        <f>Source!DD309</f>
        <v/>
      </c>
      <c r="I454" s="9">
        <f>Source!AW309</f>
        <v>1</v>
      </c>
      <c r="J454" s="9">
        <f>IF(Source!BC309&lt;&gt; 0, Source!BC309, 1)</f>
        <v>1</v>
      </c>
      <c r="K454" s="25">
        <f>Source!P309</f>
        <v>867.67</v>
      </c>
      <c r="L454" s="25"/>
    </row>
    <row r="455" spans="1:22" ht="14.25">
      <c r="A455" s="20"/>
      <c r="B455" s="20"/>
      <c r="C455" s="21"/>
      <c r="D455" s="21" t="s">
        <v>580</v>
      </c>
      <c r="E455" s="22" t="s">
        <v>581</v>
      </c>
      <c r="F455" s="9">
        <f>Source!AT309</f>
        <v>70</v>
      </c>
      <c r="G455" s="24"/>
      <c r="H455" s="23"/>
      <c r="I455" s="9"/>
      <c r="J455" s="9"/>
      <c r="K455" s="25">
        <f>SUM(R449:R454)</f>
        <v>12.69</v>
      </c>
      <c r="L455" s="25"/>
    </row>
    <row r="456" spans="1:22" ht="14.25">
      <c r="A456" s="20"/>
      <c r="B456" s="20"/>
      <c r="C456" s="21"/>
      <c r="D456" s="21" t="s">
        <v>582</v>
      </c>
      <c r="E456" s="22" t="s">
        <v>581</v>
      </c>
      <c r="F456" s="9">
        <f>Source!AU309</f>
        <v>10</v>
      </c>
      <c r="G456" s="24"/>
      <c r="H456" s="23"/>
      <c r="I456" s="9"/>
      <c r="J456" s="9"/>
      <c r="K456" s="25">
        <f>SUM(T449:T455)</f>
        <v>1.81</v>
      </c>
      <c r="L456" s="25"/>
    </row>
    <row r="457" spans="1:22" ht="14.25">
      <c r="A457" s="20"/>
      <c r="B457" s="20"/>
      <c r="C457" s="21"/>
      <c r="D457" s="21" t="s">
        <v>583</v>
      </c>
      <c r="E457" s="22" t="s">
        <v>581</v>
      </c>
      <c r="F457" s="9">
        <f>108</f>
        <v>108</v>
      </c>
      <c r="G457" s="24"/>
      <c r="H457" s="23"/>
      <c r="I457" s="9"/>
      <c r="J457" s="9"/>
      <c r="K457" s="25">
        <f>SUM(V449:V456)</f>
        <v>89.36</v>
      </c>
      <c r="L457" s="25"/>
    </row>
    <row r="458" spans="1:22" ht="14.25">
      <c r="A458" s="20"/>
      <c r="B458" s="20"/>
      <c r="C458" s="21"/>
      <c r="D458" s="21" t="s">
        <v>584</v>
      </c>
      <c r="E458" s="22" t="s">
        <v>585</v>
      </c>
      <c r="F458" s="9">
        <f>Source!AQ309</f>
        <v>24.84</v>
      </c>
      <c r="G458" s="24"/>
      <c r="H458" s="23" t="str">
        <f>Source!DI309</f>
        <v/>
      </c>
      <c r="I458" s="9">
        <f>Source!AV309</f>
        <v>1</v>
      </c>
      <c r="J458" s="9"/>
      <c r="K458" s="25"/>
      <c r="L458" s="25">
        <f>Source!U309</f>
        <v>9.687599999999999E-2</v>
      </c>
    </row>
    <row r="459" spans="1:22" ht="15">
      <c r="A459" s="30"/>
      <c r="B459" s="30"/>
      <c r="C459" s="30"/>
      <c r="D459" s="30"/>
      <c r="E459" s="30"/>
      <c r="F459" s="30"/>
      <c r="G459" s="30"/>
      <c r="H459" s="30"/>
      <c r="I459" s="30"/>
      <c r="J459" s="91">
        <f>K451+K452+K454+K455+K456+K457</f>
        <v>1199.2299999999998</v>
      </c>
      <c r="K459" s="91"/>
      <c r="L459" s="31">
        <f>IF(Source!I309&lt;&gt;0, ROUND(J459/Source!I309, 2), 0)</f>
        <v>307494.87</v>
      </c>
      <c r="P459" s="28">
        <f>J459</f>
        <v>1199.2299999999998</v>
      </c>
    </row>
    <row r="460" spans="1:22" ht="28.5">
      <c r="A460" s="20">
        <v>61</v>
      </c>
      <c r="B460" s="20" t="str">
        <f>Source!E310</f>
        <v>42</v>
      </c>
      <c r="C460" s="21" t="str">
        <f>Source!F310</f>
        <v>1.2-3103-2-14/1</v>
      </c>
      <c r="D460" s="21" t="str">
        <f>Source!G310</f>
        <v>Устройство фундаментных плит бетонных плоских</v>
      </c>
      <c r="E460" s="22" t="str">
        <f>Source!H310</f>
        <v>100 м3</v>
      </c>
      <c r="F460" s="9">
        <f>Source!I310</f>
        <v>3.8999999999999998E-3</v>
      </c>
      <c r="G460" s="24"/>
      <c r="H460" s="23"/>
      <c r="I460" s="9"/>
      <c r="J460" s="9"/>
      <c r="K460" s="25"/>
      <c r="L460" s="25"/>
      <c r="Q460">
        <f>ROUND((Source!BZ310/100)*ROUND((Source!AF310*Source!AV310)*Source!I310, 2), 2)</f>
        <v>61.57</v>
      </c>
      <c r="R460">
        <f>Source!X310</f>
        <v>61.57</v>
      </c>
      <c r="S460">
        <f>ROUND((Source!CA310/100)*ROUND((Source!AF310*Source!AV310)*Source!I310, 2), 2)</f>
        <v>8.8000000000000007</v>
      </c>
      <c r="T460">
        <f>Source!Y310</f>
        <v>8.8000000000000007</v>
      </c>
      <c r="U460">
        <f>ROUND((175/100)*ROUND((Source!AE310*Source!AV310)*Source!I310, 2), 2)</f>
        <v>0.91</v>
      </c>
      <c r="V460">
        <f>ROUND((108/100)*ROUND(Source!CS310*Source!I310, 2), 2)</f>
        <v>0.56000000000000005</v>
      </c>
    </row>
    <row r="461" spans="1:22">
      <c r="D461" s="26" t="str">
        <f>"Объем: "&amp;Source!I310&amp;"=0,39/"&amp;"100"</f>
        <v>Объем: 0,0039=0,39/100</v>
      </c>
    </row>
    <row r="462" spans="1:22" ht="14.25">
      <c r="A462" s="20"/>
      <c r="B462" s="20"/>
      <c r="C462" s="21"/>
      <c r="D462" s="21" t="s">
        <v>577</v>
      </c>
      <c r="E462" s="22"/>
      <c r="F462" s="9"/>
      <c r="G462" s="24">
        <f>Source!AO310</f>
        <v>22550.95</v>
      </c>
      <c r="H462" s="23" t="str">
        <f>Source!DG310</f>
        <v/>
      </c>
      <c r="I462" s="9">
        <f>Source!AV310</f>
        <v>1</v>
      </c>
      <c r="J462" s="9">
        <f>IF(Source!BA310&lt;&gt; 0, Source!BA310, 1)</f>
        <v>1</v>
      </c>
      <c r="K462" s="25">
        <f>Source!S310</f>
        <v>87.95</v>
      </c>
      <c r="L462" s="25"/>
    </row>
    <row r="463" spans="1:22" ht="14.25">
      <c r="A463" s="20"/>
      <c r="B463" s="20"/>
      <c r="C463" s="21"/>
      <c r="D463" s="21" t="s">
        <v>578</v>
      </c>
      <c r="E463" s="22"/>
      <c r="F463" s="9"/>
      <c r="G463" s="24">
        <f>Source!AM310</f>
        <v>278.67</v>
      </c>
      <c r="H463" s="23" t="str">
        <f>Source!DE310</f>
        <v/>
      </c>
      <c r="I463" s="9">
        <f>Source!AV310</f>
        <v>1</v>
      </c>
      <c r="J463" s="9">
        <f>IF(Source!BB310&lt;&gt; 0, Source!BB310, 1)</f>
        <v>1</v>
      </c>
      <c r="K463" s="25">
        <f>Source!Q310</f>
        <v>1.0900000000000001</v>
      </c>
      <c r="L463" s="25"/>
    </row>
    <row r="464" spans="1:22" ht="14.25">
      <c r="A464" s="20"/>
      <c r="B464" s="20"/>
      <c r="C464" s="21"/>
      <c r="D464" s="21" t="s">
        <v>579</v>
      </c>
      <c r="E464" s="22"/>
      <c r="F464" s="9"/>
      <c r="G464" s="24">
        <f>Source!AN310</f>
        <v>133.27000000000001</v>
      </c>
      <c r="H464" s="23" t="str">
        <f>Source!DF310</f>
        <v/>
      </c>
      <c r="I464" s="9">
        <f>Source!AV310</f>
        <v>1</v>
      </c>
      <c r="J464" s="9">
        <f>IF(Source!BS310&lt;&gt; 0, Source!BS310, 1)</f>
        <v>1</v>
      </c>
      <c r="K464" s="27">
        <f>Source!R310</f>
        <v>0.52</v>
      </c>
      <c r="L464" s="25"/>
    </row>
    <row r="465" spans="1:22" ht="14.25">
      <c r="A465" s="20"/>
      <c r="B465" s="20"/>
      <c r="C465" s="21"/>
      <c r="D465" s="21" t="s">
        <v>586</v>
      </c>
      <c r="E465" s="22"/>
      <c r="F465" s="9"/>
      <c r="G465" s="24">
        <f>Source!AL310</f>
        <v>336136.59</v>
      </c>
      <c r="H465" s="23" t="str">
        <f>Source!DD310</f>
        <v/>
      </c>
      <c r="I465" s="9">
        <f>Source!AW310</f>
        <v>1</v>
      </c>
      <c r="J465" s="9">
        <f>IF(Source!BC310&lt;&gt; 0, Source!BC310, 1)</f>
        <v>1</v>
      </c>
      <c r="K465" s="25">
        <f>Source!P310</f>
        <v>1310.93</v>
      </c>
      <c r="L465" s="25"/>
    </row>
    <row r="466" spans="1:22" ht="14.25">
      <c r="A466" s="20"/>
      <c r="B466" s="20"/>
      <c r="C466" s="21"/>
      <c r="D466" s="21" t="s">
        <v>580</v>
      </c>
      <c r="E466" s="22" t="s">
        <v>581</v>
      </c>
      <c r="F466" s="9">
        <f>Source!AT310</f>
        <v>70</v>
      </c>
      <c r="G466" s="24"/>
      <c r="H466" s="23"/>
      <c r="I466" s="9"/>
      <c r="J466" s="9"/>
      <c r="K466" s="25">
        <f>SUM(R460:R465)</f>
        <v>61.57</v>
      </c>
      <c r="L466" s="25"/>
    </row>
    <row r="467" spans="1:22" ht="14.25">
      <c r="A467" s="20"/>
      <c r="B467" s="20"/>
      <c r="C467" s="21"/>
      <c r="D467" s="21" t="s">
        <v>582</v>
      </c>
      <c r="E467" s="22" t="s">
        <v>581</v>
      </c>
      <c r="F467" s="9">
        <f>Source!AU310</f>
        <v>10</v>
      </c>
      <c r="G467" s="24"/>
      <c r="H467" s="23"/>
      <c r="I467" s="9"/>
      <c r="J467" s="9"/>
      <c r="K467" s="25">
        <f>SUM(T460:T466)</f>
        <v>8.8000000000000007</v>
      </c>
      <c r="L467" s="25"/>
    </row>
    <row r="468" spans="1:22" ht="14.25">
      <c r="A468" s="20"/>
      <c r="B468" s="20"/>
      <c r="C468" s="21"/>
      <c r="D468" s="21" t="s">
        <v>583</v>
      </c>
      <c r="E468" s="22" t="s">
        <v>581</v>
      </c>
      <c r="F468" s="9">
        <f>108</f>
        <v>108</v>
      </c>
      <c r="G468" s="24"/>
      <c r="H468" s="23"/>
      <c r="I468" s="9"/>
      <c r="J468" s="9"/>
      <c r="K468" s="25">
        <f>SUM(V460:V467)</f>
        <v>0.56000000000000005</v>
      </c>
      <c r="L468" s="25"/>
    </row>
    <row r="469" spans="1:22" ht="14.25">
      <c r="A469" s="20"/>
      <c r="B469" s="20"/>
      <c r="C469" s="21"/>
      <c r="D469" s="21" t="s">
        <v>584</v>
      </c>
      <c r="E469" s="22" t="s">
        <v>585</v>
      </c>
      <c r="F469" s="9">
        <f>Source!AQ310</f>
        <v>111.55</v>
      </c>
      <c r="G469" s="24"/>
      <c r="H469" s="23" t="str">
        <f>Source!DI310</f>
        <v/>
      </c>
      <c r="I469" s="9">
        <f>Source!AV310</f>
        <v>1</v>
      </c>
      <c r="J469" s="9"/>
      <c r="K469" s="25"/>
      <c r="L469" s="25">
        <f>Source!U310</f>
        <v>0.43504499999999996</v>
      </c>
    </row>
    <row r="470" spans="1:22" ht="15">
      <c r="A470" s="30"/>
      <c r="B470" s="30"/>
      <c r="C470" s="30"/>
      <c r="D470" s="30"/>
      <c r="E470" s="30"/>
      <c r="F470" s="30"/>
      <c r="G470" s="30"/>
      <c r="H470" s="30"/>
      <c r="I470" s="30"/>
      <c r="J470" s="91">
        <f>K462+K463+K465+K466+K467+K468</f>
        <v>1470.8999999999999</v>
      </c>
      <c r="K470" s="91"/>
      <c r="L470" s="31">
        <f>IF(Source!I310&lt;&gt;0, ROUND(J470/Source!I310, 2), 0)</f>
        <v>377153.85</v>
      </c>
      <c r="P470" s="28">
        <f>J470</f>
        <v>1470.8999999999999</v>
      </c>
    </row>
    <row r="471" spans="1:22" ht="57">
      <c r="A471" s="20">
        <v>62</v>
      </c>
      <c r="B471" s="20" t="str">
        <f>Source!E311</f>
        <v>43</v>
      </c>
      <c r="C471" s="21" t="str">
        <f>Source!F311</f>
        <v>1.2-3103-30-7/1</v>
      </c>
      <c r="D471" s="21" t="str">
        <f>Source!G311</f>
        <v>Гидроизоляция стен, фундаментов боковая обмазочная битумная в 2 слоя по выровненной поверхности бутовой кладки, кирпичу, бетону</v>
      </c>
      <c r="E471" s="22" t="str">
        <f>Source!H311</f>
        <v>100 м2</v>
      </c>
      <c r="F471" s="9">
        <f>Source!I311</f>
        <v>4.4000000000000003E-3</v>
      </c>
      <c r="G471" s="24"/>
      <c r="H471" s="23"/>
      <c r="I471" s="9"/>
      <c r="J471" s="9"/>
      <c r="K471" s="25"/>
      <c r="L471" s="25"/>
      <c r="Q471">
        <f>ROUND((Source!BZ311/100)*ROUND((Source!AF311*Source!AV311)*Source!I311, 2), 2)</f>
        <v>33.409999999999997</v>
      </c>
      <c r="R471">
        <f>Source!X311</f>
        <v>33.409999999999997</v>
      </c>
      <c r="S471">
        <f>ROUND((Source!CA311/100)*ROUND((Source!AF311*Source!AV311)*Source!I311, 2), 2)</f>
        <v>4.7699999999999996</v>
      </c>
      <c r="T471">
        <f>Source!Y311</f>
        <v>4.7699999999999996</v>
      </c>
      <c r="U471">
        <f>ROUND((175/100)*ROUND((Source!AE311*Source!AV311)*Source!I311, 2), 2)</f>
        <v>0</v>
      </c>
      <c r="V471">
        <f>ROUND((108/100)*ROUND(Source!CS311*Source!I311, 2), 2)</f>
        <v>0</v>
      </c>
    </row>
    <row r="472" spans="1:22">
      <c r="D472" s="26" t="str">
        <f>"Объем: "&amp;Source!I311&amp;"=0,44/"&amp;"100"</f>
        <v>Объем: 0,0044=0,44/100</v>
      </c>
    </row>
    <row r="473" spans="1:22" ht="14.25">
      <c r="A473" s="20"/>
      <c r="B473" s="20"/>
      <c r="C473" s="21"/>
      <c r="D473" s="21" t="s">
        <v>577</v>
      </c>
      <c r="E473" s="22"/>
      <c r="F473" s="9"/>
      <c r="G473" s="24">
        <f>Source!AO311</f>
        <v>10848.77</v>
      </c>
      <c r="H473" s="23" t="str">
        <f>Source!DG311</f>
        <v/>
      </c>
      <c r="I473" s="9">
        <f>Source!AV311</f>
        <v>1</v>
      </c>
      <c r="J473" s="9">
        <f>IF(Source!BA311&lt;&gt; 0, Source!BA311, 1)</f>
        <v>1</v>
      </c>
      <c r="K473" s="25">
        <f>Source!S311</f>
        <v>47.73</v>
      </c>
      <c r="L473" s="25"/>
    </row>
    <row r="474" spans="1:22" ht="14.25">
      <c r="A474" s="20"/>
      <c r="B474" s="20"/>
      <c r="C474" s="21"/>
      <c r="D474" s="21" t="s">
        <v>586</v>
      </c>
      <c r="E474" s="22"/>
      <c r="F474" s="9"/>
      <c r="G474" s="24">
        <f>Source!AL311</f>
        <v>36396.67</v>
      </c>
      <c r="H474" s="23" t="str">
        <f>Source!DD311</f>
        <v/>
      </c>
      <c r="I474" s="9">
        <f>Source!AW311</f>
        <v>1</v>
      </c>
      <c r="J474" s="9">
        <f>IF(Source!BC311&lt;&gt; 0, Source!BC311, 1)</f>
        <v>1</v>
      </c>
      <c r="K474" s="25">
        <f>Source!P311</f>
        <v>160.15</v>
      </c>
      <c r="L474" s="25"/>
    </row>
    <row r="475" spans="1:22" ht="14.25">
      <c r="A475" s="20"/>
      <c r="B475" s="20"/>
      <c r="C475" s="21"/>
      <c r="D475" s="21" t="s">
        <v>580</v>
      </c>
      <c r="E475" s="22" t="s">
        <v>581</v>
      </c>
      <c r="F475" s="9">
        <f>Source!AT311</f>
        <v>70</v>
      </c>
      <c r="G475" s="24"/>
      <c r="H475" s="23"/>
      <c r="I475" s="9"/>
      <c r="J475" s="9"/>
      <c r="K475" s="25">
        <f>SUM(R471:R474)</f>
        <v>33.409999999999997</v>
      </c>
      <c r="L475" s="25"/>
    </row>
    <row r="476" spans="1:22" ht="14.25">
      <c r="A476" s="20"/>
      <c r="B476" s="20"/>
      <c r="C476" s="21"/>
      <c r="D476" s="21" t="s">
        <v>582</v>
      </c>
      <c r="E476" s="22" t="s">
        <v>581</v>
      </c>
      <c r="F476" s="9">
        <f>Source!AU311</f>
        <v>10</v>
      </c>
      <c r="G476" s="24"/>
      <c r="H476" s="23"/>
      <c r="I476" s="9"/>
      <c r="J476" s="9"/>
      <c r="K476" s="25">
        <f>SUM(T471:T475)</f>
        <v>4.7699999999999996</v>
      </c>
      <c r="L476" s="25"/>
    </row>
    <row r="477" spans="1:22" ht="14.25">
      <c r="A477" s="20"/>
      <c r="B477" s="20"/>
      <c r="C477" s="21"/>
      <c r="D477" s="21" t="s">
        <v>584</v>
      </c>
      <c r="E477" s="22" t="s">
        <v>585</v>
      </c>
      <c r="F477" s="9">
        <f>Source!AQ311</f>
        <v>44.85</v>
      </c>
      <c r="G477" s="24"/>
      <c r="H477" s="23" t="str">
        <f>Source!DI311</f>
        <v/>
      </c>
      <c r="I477" s="9">
        <f>Source!AV311</f>
        <v>1</v>
      </c>
      <c r="J477" s="9"/>
      <c r="K477" s="25"/>
      <c r="L477" s="25">
        <f>Source!U311</f>
        <v>0.19734000000000002</v>
      </c>
    </row>
    <row r="478" spans="1:22" ht="15">
      <c r="A478" s="30"/>
      <c r="B478" s="30"/>
      <c r="C478" s="30"/>
      <c r="D478" s="30"/>
      <c r="E478" s="30"/>
      <c r="F478" s="30"/>
      <c r="G478" s="30"/>
      <c r="H478" s="30"/>
      <c r="I478" s="30"/>
      <c r="J478" s="91">
        <f>K473+K474+K475+K476</f>
        <v>246.06</v>
      </c>
      <c r="K478" s="91"/>
      <c r="L478" s="31">
        <f>IF(Source!I311&lt;&gt;0, ROUND(J478/Source!I311, 2), 0)</f>
        <v>55922.73</v>
      </c>
      <c r="P478" s="28">
        <f>J478</f>
        <v>246.06</v>
      </c>
    </row>
    <row r="479" spans="1:22" ht="28.5">
      <c r="A479" s="20">
        <v>63</v>
      </c>
      <c r="B479" s="20" t="str">
        <f>Source!E312</f>
        <v>44</v>
      </c>
      <c r="C479" s="21" t="str">
        <f>Source!F312</f>
        <v>1.14-3203-12-1/1</v>
      </c>
      <c r="D479" s="21" t="str">
        <f>Source!G312</f>
        <v>Окраска фасадов с лесов акриловой краской с подготовкой поверхности</v>
      </c>
      <c r="E479" s="22" t="str">
        <f>Source!H312</f>
        <v>100 м2</v>
      </c>
      <c r="F479" s="9">
        <f>Source!I312</f>
        <v>3.5000000000000003E-2</v>
      </c>
      <c r="G479" s="24"/>
      <c r="H479" s="23"/>
      <c r="I479" s="9"/>
      <c r="J479" s="9"/>
      <c r="K479" s="25"/>
      <c r="L479" s="25"/>
      <c r="Q479">
        <f>ROUND((Source!BZ312/100)*ROUND((Source!AF312*Source!AV312)*Source!I312, 2), 2)</f>
        <v>88.27</v>
      </c>
      <c r="R479">
        <f>Source!X312</f>
        <v>88.27</v>
      </c>
      <c r="S479">
        <f>ROUND((Source!CA312/100)*ROUND((Source!AF312*Source!AV312)*Source!I312, 2), 2)</f>
        <v>12.61</v>
      </c>
      <c r="T479">
        <f>Source!Y312</f>
        <v>12.61</v>
      </c>
      <c r="U479">
        <f>ROUND((175/100)*ROUND((Source!AE312*Source!AV312)*Source!I312, 2), 2)</f>
        <v>0</v>
      </c>
      <c r="V479">
        <f>ROUND((108/100)*ROUND(Source!CS312*Source!I312, 2), 2)</f>
        <v>0</v>
      </c>
    </row>
    <row r="480" spans="1:22">
      <c r="D480" s="26" t="str">
        <f>"Объем: "&amp;Source!I312&amp;"=3,5/"&amp;"100"</f>
        <v>Объем: 0,035=3,5/100</v>
      </c>
    </row>
    <row r="481" spans="1:22" ht="14.25">
      <c r="A481" s="20"/>
      <c r="B481" s="20"/>
      <c r="C481" s="21"/>
      <c r="D481" s="21" t="s">
        <v>577</v>
      </c>
      <c r="E481" s="22"/>
      <c r="F481" s="9"/>
      <c r="G481" s="24">
        <f>Source!AO312</f>
        <v>3602.81</v>
      </c>
      <c r="H481" s="23" t="str">
        <f>Source!DG312</f>
        <v/>
      </c>
      <c r="I481" s="9">
        <f>Source!AV312</f>
        <v>1</v>
      </c>
      <c r="J481" s="9">
        <f>IF(Source!BA312&lt;&gt; 0, Source!BA312, 1)</f>
        <v>1</v>
      </c>
      <c r="K481" s="25">
        <f>Source!S312</f>
        <v>126.1</v>
      </c>
      <c r="L481" s="25"/>
    </row>
    <row r="482" spans="1:22" ht="14.25">
      <c r="A482" s="20"/>
      <c r="B482" s="20"/>
      <c r="C482" s="21"/>
      <c r="D482" s="21" t="s">
        <v>586</v>
      </c>
      <c r="E482" s="22"/>
      <c r="F482" s="9"/>
      <c r="G482" s="24">
        <f>Source!AL312</f>
        <v>8319.0400000000009</v>
      </c>
      <c r="H482" s="23" t="str">
        <f>Source!DD312</f>
        <v/>
      </c>
      <c r="I482" s="9">
        <f>Source!AW312</f>
        <v>1</v>
      </c>
      <c r="J482" s="9">
        <f>IF(Source!BC312&lt;&gt; 0, Source!BC312, 1)</f>
        <v>1</v>
      </c>
      <c r="K482" s="25">
        <f>Source!P312</f>
        <v>291.17</v>
      </c>
      <c r="L482" s="25"/>
    </row>
    <row r="483" spans="1:22" ht="14.25">
      <c r="A483" s="20"/>
      <c r="B483" s="20"/>
      <c r="C483" s="21"/>
      <c r="D483" s="21" t="s">
        <v>580</v>
      </c>
      <c r="E483" s="22" t="s">
        <v>581</v>
      </c>
      <c r="F483" s="9">
        <f>Source!AT312</f>
        <v>70</v>
      </c>
      <c r="G483" s="24"/>
      <c r="H483" s="23"/>
      <c r="I483" s="9"/>
      <c r="J483" s="9"/>
      <c r="K483" s="25">
        <f>SUM(R479:R482)</f>
        <v>88.27</v>
      </c>
      <c r="L483" s="25"/>
    </row>
    <row r="484" spans="1:22" ht="14.25">
      <c r="A484" s="20"/>
      <c r="B484" s="20"/>
      <c r="C484" s="21"/>
      <c r="D484" s="21" t="s">
        <v>582</v>
      </c>
      <c r="E484" s="22" t="s">
        <v>581</v>
      </c>
      <c r="F484" s="9">
        <f>Source!AU312</f>
        <v>10</v>
      </c>
      <c r="G484" s="24"/>
      <c r="H484" s="23"/>
      <c r="I484" s="9"/>
      <c r="J484" s="9"/>
      <c r="K484" s="25">
        <f>SUM(T479:T483)</f>
        <v>12.61</v>
      </c>
      <c r="L484" s="25"/>
    </row>
    <row r="485" spans="1:22" ht="14.25">
      <c r="A485" s="20"/>
      <c r="B485" s="20"/>
      <c r="C485" s="21"/>
      <c r="D485" s="21" t="s">
        <v>584</v>
      </c>
      <c r="E485" s="22" t="s">
        <v>585</v>
      </c>
      <c r="F485" s="9">
        <f>Source!AQ312</f>
        <v>15.93</v>
      </c>
      <c r="G485" s="24"/>
      <c r="H485" s="23" t="str">
        <f>Source!DI312</f>
        <v/>
      </c>
      <c r="I485" s="9">
        <f>Source!AV312</f>
        <v>1</v>
      </c>
      <c r="J485" s="9"/>
      <c r="K485" s="25"/>
      <c r="L485" s="25">
        <f>Source!U312</f>
        <v>0.55754999999999999</v>
      </c>
    </row>
    <row r="486" spans="1:22" ht="15">
      <c r="A486" s="30"/>
      <c r="B486" s="30"/>
      <c r="C486" s="30"/>
      <c r="D486" s="30"/>
      <c r="E486" s="30"/>
      <c r="F486" s="30"/>
      <c r="G486" s="30"/>
      <c r="H486" s="30"/>
      <c r="I486" s="30"/>
      <c r="J486" s="91">
        <f>K481+K482+K483+K484</f>
        <v>518.15</v>
      </c>
      <c r="K486" s="91"/>
      <c r="L486" s="31">
        <f>IF(Source!I312&lt;&gt;0, ROUND(J486/Source!I312, 2), 0)</f>
        <v>14804.29</v>
      </c>
      <c r="P486" s="28">
        <f>J486</f>
        <v>518.15</v>
      </c>
    </row>
    <row r="487" spans="1:22" ht="28.5">
      <c r="A487" s="20">
        <v>64</v>
      </c>
      <c r="B487" s="20" t="str">
        <f>Source!E313</f>
        <v>45</v>
      </c>
      <c r="C487" s="21" t="str">
        <f>Source!F313</f>
        <v>1.50-3203-3-7/1</v>
      </c>
      <c r="D487" s="21" t="str">
        <f>Source!G313</f>
        <v>Установка закладных деталей весом до 4 кг</v>
      </c>
      <c r="E487" s="22" t="str">
        <f>Source!H313</f>
        <v>т</v>
      </c>
      <c r="F487" s="9">
        <f>Source!I313</f>
        <v>0.86399999999999999</v>
      </c>
      <c r="G487" s="24"/>
      <c r="H487" s="23"/>
      <c r="I487" s="9"/>
      <c r="J487" s="9"/>
      <c r="K487" s="25"/>
      <c r="L487" s="25"/>
      <c r="Q487">
        <f>ROUND((Source!BZ313/100)*ROUND((Source!AF313*Source!AV313)*Source!I313, 2), 2)</f>
        <v>30879.37</v>
      </c>
      <c r="R487">
        <f>Source!X313</f>
        <v>30879.37</v>
      </c>
      <c r="S487">
        <f>ROUND((Source!CA313/100)*ROUND((Source!AF313*Source!AV313)*Source!I313, 2), 2)</f>
        <v>4411.34</v>
      </c>
      <c r="T487">
        <f>Source!Y313</f>
        <v>4411.34</v>
      </c>
      <c r="U487">
        <f>ROUND((175/100)*ROUND((Source!AE313*Source!AV313)*Source!I313, 2), 2)</f>
        <v>0</v>
      </c>
      <c r="V487">
        <f>ROUND((108/100)*ROUND(Source!CS313*Source!I313, 2), 2)</f>
        <v>0</v>
      </c>
    </row>
    <row r="488" spans="1:22" ht="14.25">
      <c r="A488" s="20"/>
      <c r="B488" s="20"/>
      <c r="C488" s="21"/>
      <c r="D488" s="21" t="s">
        <v>577</v>
      </c>
      <c r="E488" s="22"/>
      <c r="F488" s="9"/>
      <c r="G488" s="24">
        <f>Source!AO313</f>
        <v>51057.17</v>
      </c>
      <c r="H488" s="23" t="str">
        <f>Source!DG313</f>
        <v/>
      </c>
      <c r="I488" s="9">
        <f>Source!AV313</f>
        <v>1</v>
      </c>
      <c r="J488" s="9">
        <f>IF(Source!BA313&lt;&gt; 0, Source!BA313, 1)</f>
        <v>1</v>
      </c>
      <c r="K488" s="25">
        <f>Source!S313</f>
        <v>44113.39</v>
      </c>
      <c r="L488" s="25"/>
    </row>
    <row r="489" spans="1:22" ht="14.25">
      <c r="A489" s="20"/>
      <c r="B489" s="20"/>
      <c r="C489" s="21"/>
      <c r="D489" s="21" t="s">
        <v>586</v>
      </c>
      <c r="E489" s="22"/>
      <c r="F489" s="9"/>
      <c r="G489" s="24">
        <f>Source!AL313</f>
        <v>53233.52</v>
      </c>
      <c r="H489" s="23" t="str">
        <f>Source!DD313</f>
        <v/>
      </c>
      <c r="I489" s="9">
        <f>Source!AW313</f>
        <v>1</v>
      </c>
      <c r="J489" s="9">
        <f>IF(Source!BC313&lt;&gt; 0, Source!BC313, 1)</f>
        <v>1</v>
      </c>
      <c r="K489" s="25">
        <f>Source!P313</f>
        <v>45993.760000000002</v>
      </c>
      <c r="L489" s="25"/>
    </row>
    <row r="490" spans="1:22" ht="14.25">
      <c r="A490" s="20"/>
      <c r="B490" s="20"/>
      <c r="C490" s="21"/>
      <c r="D490" s="21" t="s">
        <v>580</v>
      </c>
      <c r="E490" s="22" t="s">
        <v>581</v>
      </c>
      <c r="F490" s="9">
        <f>Source!AT313</f>
        <v>70</v>
      </c>
      <c r="G490" s="24"/>
      <c r="H490" s="23"/>
      <c r="I490" s="9"/>
      <c r="J490" s="9"/>
      <c r="K490" s="25">
        <f>SUM(R487:R489)</f>
        <v>30879.37</v>
      </c>
      <c r="L490" s="25"/>
    </row>
    <row r="491" spans="1:22" ht="14.25">
      <c r="A491" s="20"/>
      <c r="B491" s="20"/>
      <c r="C491" s="21"/>
      <c r="D491" s="21" t="s">
        <v>582</v>
      </c>
      <c r="E491" s="22" t="s">
        <v>581</v>
      </c>
      <c r="F491" s="9">
        <f>Source!AU313</f>
        <v>10</v>
      </c>
      <c r="G491" s="24"/>
      <c r="H491" s="23"/>
      <c r="I491" s="9"/>
      <c r="J491" s="9"/>
      <c r="K491" s="25">
        <f>SUM(T487:T490)</f>
        <v>4411.34</v>
      </c>
      <c r="L491" s="25"/>
    </row>
    <row r="492" spans="1:22" ht="14.25">
      <c r="A492" s="20"/>
      <c r="B492" s="20"/>
      <c r="C492" s="21"/>
      <c r="D492" s="21" t="s">
        <v>584</v>
      </c>
      <c r="E492" s="22" t="s">
        <v>585</v>
      </c>
      <c r="F492" s="9">
        <f>Source!AQ313</f>
        <v>227.7</v>
      </c>
      <c r="G492" s="24"/>
      <c r="H492" s="23" t="str">
        <f>Source!DI313</f>
        <v/>
      </c>
      <c r="I492" s="9">
        <f>Source!AV313</f>
        <v>1</v>
      </c>
      <c r="J492" s="9"/>
      <c r="K492" s="25"/>
      <c r="L492" s="25">
        <f>Source!U313</f>
        <v>196.7328</v>
      </c>
    </row>
    <row r="493" spans="1:22" ht="15">
      <c r="A493" s="30"/>
      <c r="B493" s="30"/>
      <c r="C493" s="30"/>
      <c r="D493" s="30"/>
      <c r="E493" s="30"/>
      <c r="F493" s="30"/>
      <c r="G493" s="30"/>
      <c r="H493" s="30"/>
      <c r="I493" s="30"/>
      <c r="J493" s="91">
        <f>K488+K489+K490+K491</f>
        <v>125397.85999999999</v>
      </c>
      <c r="K493" s="91"/>
      <c r="L493" s="31">
        <f>IF(Source!I313&lt;&gt;0, ROUND(J493/Source!I313, 2), 0)</f>
        <v>145136.41</v>
      </c>
      <c r="P493" s="28">
        <f>J493</f>
        <v>125397.85999999999</v>
      </c>
    </row>
    <row r="494" spans="1:22" ht="28.5">
      <c r="A494" s="20">
        <v>65</v>
      </c>
      <c r="B494" s="20" t="str">
        <f>Source!E314</f>
        <v>46</v>
      </c>
      <c r="C494" s="21" t="str">
        <f>Source!F314</f>
        <v>1.50-3203-10-4/1</v>
      </c>
      <c r="D494" s="21" t="str">
        <f>Source!G314</f>
        <v>Установка монтажных изделий массой свыше 20 кг</v>
      </c>
      <c r="E494" s="22" t="str">
        <f>Source!H314</f>
        <v>т</v>
      </c>
      <c r="F494" s="9">
        <f>Source!I314</f>
        <v>0.94499999999999995</v>
      </c>
      <c r="G494" s="24"/>
      <c r="H494" s="23"/>
      <c r="I494" s="9"/>
      <c r="J494" s="9"/>
      <c r="K494" s="25"/>
      <c r="L494" s="25"/>
      <c r="Q494">
        <f>ROUND((Source!BZ314/100)*ROUND((Source!AF314*Source!AV314)*Source!I314, 2), 2)</f>
        <v>6234.45</v>
      </c>
      <c r="R494">
        <f>Source!X314</f>
        <v>6234.45</v>
      </c>
      <c r="S494">
        <f>ROUND((Source!CA314/100)*ROUND((Source!AF314*Source!AV314)*Source!I314, 2), 2)</f>
        <v>890.64</v>
      </c>
      <c r="T494">
        <f>Source!Y314</f>
        <v>890.64</v>
      </c>
      <c r="U494">
        <f>ROUND((175/100)*ROUND((Source!AE314*Source!AV314)*Source!I314, 2), 2)</f>
        <v>1.82</v>
      </c>
      <c r="V494">
        <f>ROUND((108/100)*ROUND(Source!CS314*Source!I314, 2), 2)</f>
        <v>1.1200000000000001</v>
      </c>
    </row>
    <row r="495" spans="1:22" ht="14.25">
      <c r="A495" s="20"/>
      <c r="B495" s="20"/>
      <c r="C495" s="21"/>
      <c r="D495" s="21" t="s">
        <v>577</v>
      </c>
      <c r="E495" s="22"/>
      <c r="F495" s="9"/>
      <c r="G495" s="24">
        <f>Source!AO314</f>
        <v>9424.7099999999991</v>
      </c>
      <c r="H495" s="23" t="str">
        <f>Source!DG314</f>
        <v/>
      </c>
      <c r="I495" s="9">
        <f>Source!AV314</f>
        <v>1</v>
      </c>
      <c r="J495" s="9">
        <f>IF(Source!BA314&lt;&gt; 0, Source!BA314, 1)</f>
        <v>1</v>
      </c>
      <c r="K495" s="25">
        <f>Source!S314</f>
        <v>8906.35</v>
      </c>
      <c r="L495" s="25"/>
    </row>
    <row r="496" spans="1:22" ht="14.25">
      <c r="A496" s="20"/>
      <c r="B496" s="20"/>
      <c r="C496" s="21"/>
      <c r="D496" s="21" t="s">
        <v>578</v>
      </c>
      <c r="E496" s="22"/>
      <c r="F496" s="9"/>
      <c r="G496" s="24">
        <f>Source!AM314</f>
        <v>1197.3800000000001</v>
      </c>
      <c r="H496" s="23" t="str">
        <f>Source!DE314</f>
        <v/>
      </c>
      <c r="I496" s="9">
        <f>Source!AV314</f>
        <v>1</v>
      </c>
      <c r="J496" s="9">
        <f>IF(Source!BB314&lt;&gt; 0, Source!BB314, 1)</f>
        <v>1</v>
      </c>
      <c r="K496" s="25">
        <f>Source!Q314</f>
        <v>1131.52</v>
      </c>
      <c r="L496" s="25"/>
    </row>
    <row r="497" spans="1:22" ht="14.25">
      <c r="A497" s="20"/>
      <c r="B497" s="20"/>
      <c r="C497" s="21"/>
      <c r="D497" s="21" t="s">
        <v>579</v>
      </c>
      <c r="E497" s="22"/>
      <c r="F497" s="9"/>
      <c r="G497" s="24">
        <f>Source!AN314</f>
        <v>1.1000000000000001</v>
      </c>
      <c r="H497" s="23" t="str">
        <f>Source!DF314</f>
        <v/>
      </c>
      <c r="I497" s="9">
        <f>Source!AV314</f>
        <v>1</v>
      </c>
      <c r="J497" s="9">
        <f>IF(Source!BS314&lt;&gt; 0, Source!BS314, 1)</f>
        <v>1</v>
      </c>
      <c r="K497" s="27">
        <f>Source!R314</f>
        <v>1.04</v>
      </c>
      <c r="L497" s="25"/>
    </row>
    <row r="498" spans="1:22" ht="14.25">
      <c r="A498" s="20"/>
      <c r="B498" s="20"/>
      <c r="C498" s="21"/>
      <c r="D498" s="21" t="s">
        <v>586</v>
      </c>
      <c r="E498" s="22"/>
      <c r="F498" s="9"/>
      <c r="G498" s="24">
        <f>Source!AL314</f>
        <v>56556.95</v>
      </c>
      <c r="H498" s="23" t="str">
        <f>Source!DD314</f>
        <v/>
      </c>
      <c r="I498" s="9">
        <f>Source!AW314</f>
        <v>1</v>
      </c>
      <c r="J498" s="9">
        <f>IF(Source!BC314&lt;&gt; 0, Source!BC314, 1)</f>
        <v>1</v>
      </c>
      <c r="K498" s="25">
        <f>Source!P314</f>
        <v>53446.32</v>
      </c>
      <c r="L498" s="25"/>
    </row>
    <row r="499" spans="1:22" ht="57">
      <c r="A499" s="20">
        <v>66</v>
      </c>
      <c r="B499" s="20" t="str">
        <f>Source!E315</f>
        <v>46,1</v>
      </c>
      <c r="C499" s="21" t="str">
        <f>Source!F315</f>
        <v>21.1-10-111</v>
      </c>
      <c r="D499" s="21" t="str">
        <f>Source!G315</f>
        <v>Профили стальные электросварные прямоугольного сечения трубчатые, размер 40х60 мм, толщина стенки 3,0 мм</v>
      </c>
      <c r="E499" s="22" t="str">
        <f>Source!H315</f>
        <v>т</v>
      </c>
      <c r="F499" s="9">
        <f>Source!I315</f>
        <v>0.61147099999999999</v>
      </c>
      <c r="G499" s="24">
        <f>Source!AK315</f>
        <v>32819.879999999997</v>
      </c>
      <c r="H499" s="32" t="s">
        <v>3</v>
      </c>
      <c r="I499" s="9">
        <f>Source!AW315</f>
        <v>1</v>
      </c>
      <c r="J499" s="9">
        <f>IF(Source!BC315&lt;&gt; 0, Source!BC315, 1)</f>
        <v>1</v>
      </c>
      <c r="K499" s="25">
        <f>Source!O315</f>
        <v>20068.400000000001</v>
      </c>
      <c r="L499" s="25"/>
      <c r="Q499">
        <f>ROUND((Source!BZ315/100)*ROUND((Source!AF315*Source!AV315)*Source!I315, 2), 2)</f>
        <v>0</v>
      </c>
      <c r="R499">
        <f>Source!X315</f>
        <v>0</v>
      </c>
      <c r="S499">
        <f>ROUND((Source!CA315/100)*ROUND((Source!AF315*Source!AV315)*Source!I315, 2), 2)</f>
        <v>0</v>
      </c>
      <c r="T499">
        <f>Source!Y315</f>
        <v>0</v>
      </c>
      <c r="U499">
        <f>ROUND((175/100)*ROUND((Source!AE315*Source!AV315)*Source!I315, 2), 2)</f>
        <v>0</v>
      </c>
      <c r="V499">
        <f>ROUND((108/100)*ROUND(Source!CS315*Source!I315, 2), 2)</f>
        <v>0</v>
      </c>
    </row>
    <row r="500" spans="1:22" ht="28.5">
      <c r="A500" s="20">
        <v>67</v>
      </c>
      <c r="B500" s="20" t="str">
        <f>Source!E316</f>
        <v>46,2</v>
      </c>
      <c r="C500" s="21" t="str">
        <f>Source!F316</f>
        <v>21.1-10-172</v>
      </c>
      <c r="D500" s="21" t="str">
        <f>Source!G316</f>
        <v>Сталь полосовая, марка Ст1сп - Ст6сп, спокойная</v>
      </c>
      <c r="E500" s="22" t="str">
        <f>Source!H316</f>
        <v>т</v>
      </c>
      <c r="F500" s="9">
        <f>Source!I316</f>
        <v>0.33352900000000002</v>
      </c>
      <c r="G500" s="24">
        <f>Source!AK316</f>
        <v>38268.54</v>
      </c>
      <c r="H500" s="32" t="s">
        <v>3</v>
      </c>
      <c r="I500" s="9">
        <f>Source!AW316</f>
        <v>1</v>
      </c>
      <c r="J500" s="9">
        <f>IF(Source!BC316&lt;&gt; 0, Source!BC316, 1)</f>
        <v>1</v>
      </c>
      <c r="K500" s="25">
        <f>Source!O316</f>
        <v>12763.67</v>
      </c>
      <c r="L500" s="25"/>
      <c r="Q500">
        <f>ROUND((Source!BZ316/100)*ROUND((Source!AF316*Source!AV316)*Source!I316, 2), 2)</f>
        <v>0</v>
      </c>
      <c r="R500">
        <f>Source!X316</f>
        <v>0</v>
      </c>
      <c r="S500">
        <f>ROUND((Source!CA316/100)*ROUND((Source!AF316*Source!AV316)*Source!I316, 2), 2)</f>
        <v>0</v>
      </c>
      <c r="T500">
        <f>Source!Y316</f>
        <v>0</v>
      </c>
      <c r="U500">
        <f>ROUND((175/100)*ROUND((Source!AE316*Source!AV316)*Source!I316, 2), 2)</f>
        <v>0</v>
      </c>
      <c r="V500">
        <f>ROUND((108/100)*ROUND(Source!CS316*Source!I316, 2), 2)</f>
        <v>0</v>
      </c>
    </row>
    <row r="501" spans="1:22" ht="14.25">
      <c r="A501" s="20"/>
      <c r="B501" s="20"/>
      <c r="C501" s="21"/>
      <c r="D501" s="21" t="s">
        <v>580</v>
      </c>
      <c r="E501" s="22" t="s">
        <v>581</v>
      </c>
      <c r="F501" s="9">
        <f>Source!AT314</f>
        <v>70</v>
      </c>
      <c r="G501" s="24"/>
      <c r="H501" s="23"/>
      <c r="I501" s="9"/>
      <c r="J501" s="9"/>
      <c r="K501" s="25">
        <f>SUM(R494:R500)</f>
        <v>6234.45</v>
      </c>
      <c r="L501" s="25"/>
    </row>
    <row r="502" spans="1:22" ht="14.25">
      <c r="A502" s="20"/>
      <c r="B502" s="20"/>
      <c r="C502" s="21"/>
      <c r="D502" s="21" t="s">
        <v>582</v>
      </c>
      <c r="E502" s="22" t="s">
        <v>581</v>
      </c>
      <c r="F502" s="9">
        <f>Source!AU314</f>
        <v>10</v>
      </c>
      <c r="G502" s="24"/>
      <c r="H502" s="23"/>
      <c r="I502" s="9"/>
      <c r="J502" s="9"/>
      <c r="K502" s="25">
        <f>SUM(T494:T501)</f>
        <v>890.64</v>
      </c>
      <c r="L502" s="25"/>
    </row>
    <row r="503" spans="1:22" ht="14.25">
      <c r="A503" s="20"/>
      <c r="B503" s="20"/>
      <c r="C503" s="21"/>
      <c r="D503" s="21" t="s">
        <v>583</v>
      </c>
      <c r="E503" s="22" t="s">
        <v>581</v>
      </c>
      <c r="F503" s="9">
        <f>108</f>
        <v>108</v>
      </c>
      <c r="G503" s="24"/>
      <c r="H503" s="23"/>
      <c r="I503" s="9"/>
      <c r="J503" s="9"/>
      <c r="K503" s="25">
        <f>SUM(V494:V502)</f>
        <v>1.1200000000000001</v>
      </c>
      <c r="L503" s="25"/>
    </row>
    <row r="504" spans="1:22" ht="14.25">
      <c r="A504" s="20"/>
      <c r="B504" s="20"/>
      <c r="C504" s="21"/>
      <c r="D504" s="21" t="s">
        <v>584</v>
      </c>
      <c r="E504" s="22" t="s">
        <v>585</v>
      </c>
      <c r="F504" s="9">
        <f>Source!AQ314</f>
        <v>36.11</v>
      </c>
      <c r="G504" s="24"/>
      <c r="H504" s="23" t="str">
        <f>Source!DI314</f>
        <v/>
      </c>
      <c r="I504" s="9">
        <f>Source!AV314</f>
        <v>1</v>
      </c>
      <c r="J504" s="9"/>
      <c r="K504" s="25"/>
      <c r="L504" s="25">
        <f>Source!U314</f>
        <v>34.123950000000001</v>
      </c>
    </row>
    <row r="505" spans="1:22" ht="15">
      <c r="A505" s="30"/>
      <c r="B505" s="30"/>
      <c r="C505" s="30"/>
      <c r="D505" s="30"/>
      <c r="E505" s="30"/>
      <c r="F505" s="30"/>
      <c r="G505" s="30"/>
      <c r="H505" s="30"/>
      <c r="I505" s="30"/>
      <c r="J505" s="91">
        <f>K495+K496+K498+K501+K502+K503+SUM(K499:K500)</f>
        <v>103442.47</v>
      </c>
      <c r="K505" s="91"/>
      <c r="L505" s="31">
        <f>IF(Source!I314&lt;&gt;0, ROUND(J505/Source!I314, 2), 0)</f>
        <v>109462.93</v>
      </c>
      <c r="P505" s="28">
        <f>J505</f>
        <v>103442.47</v>
      </c>
    </row>
    <row r="506" spans="1:22" ht="71.25">
      <c r="A506" s="20">
        <v>68</v>
      </c>
      <c r="B506" s="20" t="str">
        <f>Source!E317</f>
        <v>47</v>
      </c>
      <c r="C506" s="21" t="str">
        <f>Source!F317</f>
        <v>1.11-3303-6-1/1</v>
      </c>
      <c r="D506" s="21" t="str">
        <f>Source!G317</f>
        <v>Облицовка ворот стальным профилированным листом /  оцинкованный толщиной 0,55 мм с полимерным покрытием / Облицовка фоновой панелью</v>
      </c>
      <c r="E506" s="22" t="str">
        <f>Source!H317</f>
        <v>100 м2</v>
      </c>
      <c r="F506" s="9">
        <f>Source!I317</f>
        <v>0.32400000000000001</v>
      </c>
      <c r="G506" s="24"/>
      <c r="H506" s="23"/>
      <c r="I506" s="9"/>
      <c r="J506" s="9"/>
      <c r="K506" s="25"/>
      <c r="L506" s="25"/>
      <c r="Q506">
        <f>ROUND((Source!BZ317/100)*ROUND((Source!AF317*Source!AV317)*Source!I317, 2), 2)</f>
        <v>1679.56</v>
      </c>
      <c r="R506">
        <f>Source!X317</f>
        <v>1679.56</v>
      </c>
      <c r="S506">
        <f>ROUND((Source!CA317/100)*ROUND((Source!AF317*Source!AV317)*Source!I317, 2), 2)</f>
        <v>239.94</v>
      </c>
      <c r="T506">
        <f>Source!Y317</f>
        <v>239.94</v>
      </c>
      <c r="U506">
        <f>ROUND((175/100)*ROUND((Source!AE317*Source!AV317)*Source!I317, 2), 2)</f>
        <v>2.92</v>
      </c>
      <c r="V506">
        <f>ROUND((108/100)*ROUND(Source!CS317*Source!I317, 2), 2)</f>
        <v>1.8</v>
      </c>
    </row>
    <row r="507" spans="1:22">
      <c r="D507" s="26" t="str">
        <f>"Объем: "&amp;Source!I317&amp;"=32,4/"&amp;"100"</f>
        <v>Объем: 0,324=32,4/100</v>
      </c>
    </row>
    <row r="508" spans="1:22" ht="14.25">
      <c r="A508" s="20"/>
      <c r="B508" s="20"/>
      <c r="C508" s="21"/>
      <c r="D508" s="21" t="s">
        <v>577</v>
      </c>
      <c r="E508" s="22"/>
      <c r="F508" s="9"/>
      <c r="G508" s="24">
        <f>Source!AO317</f>
        <v>7405.45</v>
      </c>
      <c r="H508" s="23" t="str">
        <f>Source!DG317</f>
        <v/>
      </c>
      <c r="I508" s="9">
        <f>Source!AV317</f>
        <v>1</v>
      </c>
      <c r="J508" s="9">
        <f>IF(Source!BA317&lt;&gt; 0, Source!BA317, 1)</f>
        <v>1</v>
      </c>
      <c r="K508" s="25">
        <f>Source!S317</f>
        <v>2399.37</v>
      </c>
      <c r="L508" s="25"/>
    </row>
    <row r="509" spans="1:22" ht="14.25">
      <c r="A509" s="20"/>
      <c r="B509" s="20"/>
      <c r="C509" s="21"/>
      <c r="D509" s="21" t="s">
        <v>578</v>
      </c>
      <c r="E509" s="22"/>
      <c r="F509" s="9"/>
      <c r="G509" s="24">
        <f>Source!AM317</f>
        <v>39.130000000000003</v>
      </c>
      <c r="H509" s="23" t="str">
        <f>Source!DE317</f>
        <v/>
      </c>
      <c r="I509" s="9">
        <f>Source!AV317</f>
        <v>1</v>
      </c>
      <c r="J509" s="9">
        <f>IF(Source!BB317&lt;&gt; 0, Source!BB317, 1)</f>
        <v>1</v>
      </c>
      <c r="K509" s="25">
        <f>Source!Q317</f>
        <v>12.68</v>
      </c>
      <c r="L509" s="25"/>
    </row>
    <row r="510" spans="1:22" ht="14.25">
      <c r="A510" s="20"/>
      <c r="B510" s="20"/>
      <c r="C510" s="21"/>
      <c r="D510" s="21" t="s">
        <v>579</v>
      </c>
      <c r="E510" s="22"/>
      <c r="F510" s="9"/>
      <c r="G510" s="24">
        <f>Source!AN317</f>
        <v>5.15</v>
      </c>
      <c r="H510" s="23" t="str">
        <f>Source!DF317</f>
        <v/>
      </c>
      <c r="I510" s="9">
        <f>Source!AV317</f>
        <v>1</v>
      </c>
      <c r="J510" s="9">
        <f>IF(Source!BS317&lt;&gt; 0, Source!BS317, 1)</f>
        <v>1</v>
      </c>
      <c r="K510" s="27">
        <f>Source!R317</f>
        <v>1.67</v>
      </c>
      <c r="L510" s="25"/>
    </row>
    <row r="511" spans="1:22" ht="14.25">
      <c r="A511" s="20"/>
      <c r="B511" s="20"/>
      <c r="C511" s="21"/>
      <c r="D511" s="21" t="s">
        <v>586</v>
      </c>
      <c r="E511" s="22"/>
      <c r="F511" s="9"/>
      <c r="G511" s="24">
        <f>Source!AL317</f>
        <v>31386.55</v>
      </c>
      <c r="H511" s="23" t="str">
        <f>Source!DD317</f>
        <v/>
      </c>
      <c r="I511" s="9">
        <f>Source!AW317</f>
        <v>1</v>
      </c>
      <c r="J511" s="9">
        <f>IF(Source!BC317&lt;&gt; 0, Source!BC317, 1)</f>
        <v>1</v>
      </c>
      <c r="K511" s="25">
        <f>Source!P317</f>
        <v>10169.24</v>
      </c>
      <c r="L511" s="25"/>
    </row>
    <row r="512" spans="1:22" ht="57">
      <c r="A512" s="20">
        <v>69</v>
      </c>
      <c r="B512" s="20" t="str">
        <f>Source!E318</f>
        <v>47,1</v>
      </c>
      <c r="C512" s="21" t="str">
        <f>Source!F318</f>
        <v>21.1-10-232</v>
      </c>
      <c r="D512" s="21" t="str">
        <f>Source!G318</f>
        <v>Листы профилированные стальные оцинкованные, толщина 0,55 мм, размер 1250х2000 мм, с полимерным покрытием (металлопласт)</v>
      </c>
      <c r="E512" s="22" t="str">
        <f>Source!H318</f>
        <v>м2</v>
      </c>
      <c r="F512" s="9">
        <f>Source!I318</f>
        <v>-33.048000000000002</v>
      </c>
      <c r="G512" s="24">
        <f>Source!AK318</f>
        <v>306.58</v>
      </c>
      <c r="H512" s="32" t="s">
        <v>3</v>
      </c>
      <c r="I512" s="9">
        <f>Source!AW318</f>
        <v>1</v>
      </c>
      <c r="J512" s="9">
        <f>IF(Source!BC318&lt;&gt; 0, Source!BC318, 1)</f>
        <v>1</v>
      </c>
      <c r="K512" s="25">
        <f>Source!O318</f>
        <v>-10131.86</v>
      </c>
      <c r="L512" s="25"/>
      <c r="Q512">
        <f>ROUND((Source!BZ318/100)*ROUND((Source!AF318*Source!AV318)*Source!I318, 2), 2)</f>
        <v>0</v>
      </c>
      <c r="R512">
        <f>Source!X318</f>
        <v>0</v>
      </c>
      <c r="S512">
        <f>ROUND((Source!CA318/100)*ROUND((Source!AF318*Source!AV318)*Source!I318, 2), 2)</f>
        <v>0</v>
      </c>
      <c r="T512">
        <f>Source!Y318</f>
        <v>0</v>
      </c>
      <c r="U512">
        <f>ROUND((175/100)*ROUND((Source!AE318*Source!AV318)*Source!I318, 2), 2)</f>
        <v>0</v>
      </c>
      <c r="V512">
        <f>ROUND((108/100)*ROUND(Source!CS318*Source!I318, 2), 2)</f>
        <v>0</v>
      </c>
    </row>
    <row r="513" spans="1:22" ht="28.5">
      <c r="A513" s="20">
        <v>70</v>
      </c>
      <c r="B513" s="20" t="str">
        <f>Source!E319</f>
        <v>47,2</v>
      </c>
      <c r="C513" s="21" t="str">
        <f>Source!F319</f>
        <v>21.1-10-163</v>
      </c>
      <c r="D513" s="21" t="str">
        <f>Source!G319</f>
        <v>Сталь листовая горячекатаная нержавеющая, толщина до 4 мм</v>
      </c>
      <c r="E513" s="22" t="str">
        <f>Source!H319</f>
        <v>т</v>
      </c>
      <c r="F513" s="9">
        <f>Source!I319</f>
        <v>0.74329400000000001</v>
      </c>
      <c r="G513" s="24">
        <f>Source!AK319</f>
        <v>164918.53</v>
      </c>
      <c r="H513" s="32" t="s">
        <v>3</v>
      </c>
      <c r="I513" s="9">
        <f>Source!AW319</f>
        <v>1</v>
      </c>
      <c r="J513" s="9">
        <f>IF(Source!BC319&lt;&gt; 0, Source!BC319, 1)</f>
        <v>1</v>
      </c>
      <c r="K513" s="25">
        <f>Source!O319</f>
        <v>122582.95</v>
      </c>
      <c r="L513" s="25"/>
      <c r="Q513">
        <f>ROUND((Source!BZ319/100)*ROUND((Source!AF319*Source!AV319)*Source!I319, 2), 2)</f>
        <v>0</v>
      </c>
      <c r="R513">
        <f>Source!X319</f>
        <v>0</v>
      </c>
      <c r="S513">
        <f>ROUND((Source!CA319/100)*ROUND((Source!AF319*Source!AV319)*Source!I319, 2), 2)</f>
        <v>0</v>
      </c>
      <c r="T513">
        <f>Source!Y319</f>
        <v>0</v>
      </c>
      <c r="U513">
        <f>ROUND((175/100)*ROUND((Source!AE319*Source!AV319)*Source!I319, 2), 2)</f>
        <v>0</v>
      </c>
      <c r="V513">
        <f>ROUND((108/100)*ROUND(Source!CS319*Source!I319, 2), 2)</f>
        <v>0</v>
      </c>
    </row>
    <row r="514" spans="1:22" ht="14.25">
      <c r="A514" s="20"/>
      <c r="B514" s="20"/>
      <c r="C514" s="21"/>
      <c r="D514" s="21" t="s">
        <v>580</v>
      </c>
      <c r="E514" s="22" t="s">
        <v>581</v>
      </c>
      <c r="F514" s="9">
        <f>Source!AT317</f>
        <v>70</v>
      </c>
      <c r="G514" s="24"/>
      <c r="H514" s="23"/>
      <c r="I514" s="9"/>
      <c r="J514" s="9"/>
      <c r="K514" s="25">
        <f>SUM(R506:R513)</f>
        <v>1679.56</v>
      </c>
      <c r="L514" s="25"/>
    </row>
    <row r="515" spans="1:22" ht="14.25">
      <c r="A515" s="20"/>
      <c r="B515" s="20"/>
      <c r="C515" s="21"/>
      <c r="D515" s="21" t="s">
        <v>582</v>
      </c>
      <c r="E515" s="22" t="s">
        <v>581</v>
      </c>
      <c r="F515" s="9">
        <f>Source!AU317</f>
        <v>10</v>
      </c>
      <c r="G515" s="24"/>
      <c r="H515" s="23"/>
      <c r="I515" s="9"/>
      <c r="J515" s="9"/>
      <c r="K515" s="25">
        <f>SUM(T506:T514)</f>
        <v>239.94</v>
      </c>
      <c r="L515" s="25"/>
    </row>
    <row r="516" spans="1:22" ht="14.25">
      <c r="A516" s="20"/>
      <c r="B516" s="20"/>
      <c r="C516" s="21"/>
      <c r="D516" s="21" t="s">
        <v>583</v>
      </c>
      <c r="E516" s="22" t="s">
        <v>581</v>
      </c>
      <c r="F516" s="9">
        <f>108</f>
        <v>108</v>
      </c>
      <c r="G516" s="24"/>
      <c r="H516" s="23"/>
      <c r="I516" s="9"/>
      <c r="J516" s="9"/>
      <c r="K516" s="25">
        <f>SUM(V506:V515)</f>
        <v>1.8</v>
      </c>
      <c r="L516" s="25"/>
    </row>
    <row r="517" spans="1:22" ht="14.25">
      <c r="A517" s="20"/>
      <c r="B517" s="20"/>
      <c r="C517" s="21"/>
      <c r="D517" s="21" t="s">
        <v>584</v>
      </c>
      <c r="E517" s="22" t="s">
        <v>585</v>
      </c>
      <c r="F517" s="9">
        <f>Source!AQ317</f>
        <v>34.380000000000003</v>
      </c>
      <c r="G517" s="24"/>
      <c r="H517" s="23" t="str">
        <f>Source!DI317</f>
        <v/>
      </c>
      <c r="I517" s="9">
        <f>Source!AV317</f>
        <v>1</v>
      </c>
      <c r="J517" s="9"/>
      <c r="K517" s="25"/>
      <c r="L517" s="25">
        <f>Source!U317</f>
        <v>11.139120000000002</v>
      </c>
    </row>
    <row r="518" spans="1:22" ht="15">
      <c r="A518" s="30"/>
      <c r="B518" s="30"/>
      <c r="C518" s="30"/>
      <c r="D518" s="30"/>
      <c r="E518" s="30"/>
      <c r="F518" s="30"/>
      <c r="G518" s="30"/>
      <c r="H518" s="30"/>
      <c r="I518" s="30"/>
      <c r="J518" s="91">
        <f>K508+K509+K511+K514+K515+K516+SUM(K512:K513)</f>
        <v>126953.68</v>
      </c>
      <c r="K518" s="91"/>
      <c r="L518" s="31">
        <f>IF(Source!I317&lt;&gt;0, ROUND(J518/Source!I317, 2), 0)</f>
        <v>391832.35</v>
      </c>
      <c r="P518" s="28">
        <f>J518</f>
        <v>126953.68</v>
      </c>
    </row>
    <row r="519" spans="1:22" ht="71.25">
      <c r="A519" s="20">
        <v>71</v>
      </c>
      <c r="B519" s="20" t="str">
        <f>Source!E320</f>
        <v>48</v>
      </c>
      <c r="C519" s="21" t="str">
        <f>Source!F320</f>
        <v>1.11-3303-6-1/1</v>
      </c>
      <c r="D519" s="21" t="str">
        <f>Source!G320</f>
        <v>Облицовка ворот стальным профилированным листом /  оцинкованный толщиной 0,55 мм с полимерным покрытием / Облицовка фоновой панелью</v>
      </c>
      <c r="E519" s="22" t="str">
        <f>Source!H320</f>
        <v>100 м2</v>
      </c>
      <c r="F519" s="9">
        <f>Source!I320</f>
        <v>0.128</v>
      </c>
      <c r="G519" s="24"/>
      <c r="H519" s="23"/>
      <c r="I519" s="9"/>
      <c r="J519" s="9"/>
      <c r="K519" s="25"/>
      <c r="L519" s="25"/>
      <c r="Q519">
        <f>ROUND((Source!BZ320/100)*ROUND((Source!AF320*Source!AV320)*Source!I320, 2), 2)</f>
        <v>663.53</v>
      </c>
      <c r="R519">
        <f>Source!X320</f>
        <v>663.53</v>
      </c>
      <c r="S519">
        <f>ROUND((Source!CA320/100)*ROUND((Source!AF320*Source!AV320)*Source!I320, 2), 2)</f>
        <v>94.79</v>
      </c>
      <c r="T519">
        <f>Source!Y320</f>
        <v>94.79</v>
      </c>
      <c r="U519">
        <f>ROUND((175/100)*ROUND((Source!AE320*Source!AV320)*Source!I320, 2), 2)</f>
        <v>1.1599999999999999</v>
      </c>
      <c r="V519">
        <f>ROUND((108/100)*ROUND(Source!CS320*Source!I320, 2), 2)</f>
        <v>0.71</v>
      </c>
    </row>
    <row r="520" spans="1:22">
      <c r="D520" s="26" t="str">
        <f>"Объем: "&amp;Source!I320&amp;"=12,8/"&amp;"100"</f>
        <v>Объем: 0,128=12,8/100</v>
      </c>
    </row>
    <row r="521" spans="1:22" ht="14.25">
      <c r="A521" s="20"/>
      <c r="B521" s="20"/>
      <c r="C521" s="21"/>
      <c r="D521" s="21" t="s">
        <v>577</v>
      </c>
      <c r="E521" s="22"/>
      <c r="F521" s="9"/>
      <c r="G521" s="24">
        <f>Source!AO320</f>
        <v>7405.45</v>
      </c>
      <c r="H521" s="23" t="str">
        <f>Source!DG320</f>
        <v/>
      </c>
      <c r="I521" s="9">
        <f>Source!AV320</f>
        <v>1</v>
      </c>
      <c r="J521" s="9">
        <f>IF(Source!BA320&lt;&gt; 0, Source!BA320, 1)</f>
        <v>1</v>
      </c>
      <c r="K521" s="25">
        <f>Source!S320</f>
        <v>947.9</v>
      </c>
      <c r="L521" s="25"/>
    </row>
    <row r="522" spans="1:22" ht="14.25">
      <c r="A522" s="20"/>
      <c r="B522" s="20"/>
      <c r="C522" s="21"/>
      <c r="D522" s="21" t="s">
        <v>578</v>
      </c>
      <c r="E522" s="22"/>
      <c r="F522" s="9"/>
      <c r="G522" s="24">
        <f>Source!AM320</f>
        <v>39.130000000000003</v>
      </c>
      <c r="H522" s="23" t="str">
        <f>Source!DE320</f>
        <v/>
      </c>
      <c r="I522" s="9">
        <f>Source!AV320</f>
        <v>1</v>
      </c>
      <c r="J522" s="9">
        <f>IF(Source!BB320&lt;&gt; 0, Source!BB320, 1)</f>
        <v>1</v>
      </c>
      <c r="K522" s="25">
        <f>Source!Q320</f>
        <v>5.01</v>
      </c>
      <c r="L522" s="25"/>
    </row>
    <row r="523" spans="1:22" ht="14.25">
      <c r="A523" s="20"/>
      <c r="B523" s="20"/>
      <c r="C523" s="21"/>
      <c r="D523" s="21" t="s">
        <v>579</v>
      </c>
      <c r="E523" s="22"/>
      <c r="F523" s="9"/>
      <c r="G523" s="24">
        <f>Source!AN320</f>
        <v>5.15</v>
      </c>
      <c r="H523" s="23" t="str">
        <f>Source!DF320</f>
        <v/>
      </c>
      <c r="I523" s="9">
        <f>Source!AV320</f>
        <v>1</v>
      </c>
      <c r="J523" s="9">
        <f>IF(Source!BS320&lt;&gt; 0, Source!BS320, 1)</f>
        <v>1</v>
      </c>
      <c r="K523" s="27">
        <f>Source!R320</f>
        <v>0.66</v>
      </c>
      <c r="L523" s="25"/>
    </row>
    <row r="524" spans="1:22" ht="14.25">
      <c r="A524" s="20"/>
      <c r="B524" s="20"/>
      <c r="C524" s="21"/>
      <c r="D524" s="21" t="s">
        <v>586</v>
      </c>
      <c r="E524" s="22"/>
      <c r="F524" s="9"/>
      <c r="G524" s="24">
        <f>Source!AL320</f>
        <v>31386.55</v>
      </c>
      <c r="H524" s="23" t="str">
        <f>Source!DD320</f>
        <v/>
      </c>
      <c r="I524" s="9">
        <f>Source!AW320</f>
        <v>1</v>
      </c>
      <c r="J524" s="9">
        <f>IF(Source!BC320&lt;&gt; 0, Source!BC320, 1)</f>
        <v>1</v>
      </c>
      <c r="K524" s="25">
        <f>Source!P320</f>
        <v>4017.48</v>
      </c>
      <c r="L524" s="25"/>
    </row>
    <row r="525" spans="1:22" ht="57">
      <c r="A525" s="20">
        <v>72</v>
      </c>
      <c r="B525" s="20" t="str">
        <f>Source!E321</f>
        <v>48,1</v>
      </c>
      <c r="C525" s="21" t="str">
        <f>Source!F321</f>
        <v>21.1-10-232</v>
      </c>
      <c r="D525" s="21" t="str">
        <f>Source!G321</f>
        <v>Листы профилированные стальные оцинкованные, толщина 0,55 мм, размер 1250х2000 мм, с полимерным покрытием (металлопласт)</v>
      </c>
      <c r="E525" s="22" t="str">
        <f>Source!H321</f>
        <v>м2</v>
      </c>
      <c r="F525" s="9">
        <f>Source!I321</f>
        <v>-13.055999999999999</v>
      </c>
      <c r="G525" s="24">
        <f>Source!AK321</f>
        <v>306.58</v>
      </c>
      <c r="H525" s="32" t="s">
        <v>3</v>
      </c>
      <c r="I525" s="9">
        <f>Source!AW321</f>
        <v>1</v>
      </c>
      <c r="J525" s="9">
        <f>IF(Source!BC321&lt;&gt; 0, Source!BC321, 1)</f>
        <v>1</v>
      </c>
      <c r="K525" s="25">
        <f>Source!O321</f>
        <v>-4002.71</v>
      </c>
      <c r="L525" s="25"/>
      <c r="Q525">
        <f>ROUND((Source!BZ321/100)*ROUND((Source!AF321*Source!AV321)*Source!I321, 2), 2)</f>
        <v>0</v>
      </c>
      <c r="R525">
        <f>Source!X321</f>
        <v>0</v>
      </c>
      <c r="S525">
        <f>ROUND((Source!CA321/100)*ROUND((Source!AF321*Source!AV321)*Source!I321, 2), 2)</f>
        <v>0</v>
      </c>
      <c r="T525">
        <f>Source!Y321</f>
        <v>0</v>
      </c>
      <c r="U525">
        <f>ROUND((175/100)*ROUND((Source!AE321*Source!AV321)*Source!I321, 2), 2)</f>
        <v>0</v>
      </c>
      <c r="V525">
        <f>ROUND((108/100)*ROUND(Source!CS321*Source!I321, 2), 2)</f>
        <v>0</v>
      </c>
    </row>
    <row r="526" spans="1:22" ht="28.5">
      <c r="A526" s="20">
        <v>73</v>
      </c>
      <c r="B526" s="20" t="str">
        <f>Source!E322</f>
        <v>48,2</v>
      </c>
      <c r="C526" s="21" t="str">
        <f>Source!F322</f>
        <v>21.1-10-164</v>
      </c>
      <c r="D526" s="21" t="str">
        <f>Source!G322</f>
        <v>Сталь листовая горячекатаная нержавеющая, толщина более 4 мм</v>
      </c>
      <c r="E526" s="22" t="str">
        <f>Source!H322</f>
        <v>т</v>
      </c>
      <c r="F526" s="9">
        <f>Source!I322</f>
        <v>0.77015299999999998</v>
      </c>
      <c r="G526" s="24">
        <f>Source!AK322</f>
        <v>166618.54999999999</v>
      </c>
      <c r="H526" s="32" t="s">
        <v>3</v>
      </c>
      <c r="I526" s="9">
        <f>Source!AW322</f>
        <v>1</v>
      </c>
      <c r="J526" s="9">
        <f>IF(Source!BC322&lt;&gt; 0, Source!BC322, 1)</f>
        <v>1</v>
      </c>
      <c r="K526" s="25">
        <f>Source!O322</f>
        <v>128321.78</v>
      </c>
      <c r="L526" s="25"/>
      <c r="Q526">
        <f>ROUND((Source!BZ322/100)*ROUND((Source!AF322*Source!AV322)*Source!I322, 2), 2)</f>
        <v>0</v>
      </c>
      <c r="R526">
        <f>Source!X322</f>
        <v>0</v>
      </c>
      <c r="S526">
        <f>ROUND((Source!CA322/100)*ROUND((Source!AF322*Source!AV322)*Source!I322, 2), 2)</f>
        <v>0</v>
      </c>
      <c r="T526">
        <f>Source!Y322</f>
        <v>0</v>
      </c>
      <c r="U526">
        <f>ROUND((175/100)*ROUND((Source!AE322*Source!AV322)*Source!I322, 2), 2)</f>
        <v>0</v>
      </c>
      <c r="V526">
        <f>ROUND((108/100)*ROUND(Source!CS322*Source!I322, 2), 2)</f>
        <v>0</v>
      </c>
    </row>
    <row r="527" spans="1:22" ht="14.25">
      <c r="A527" s="20"/>
      <c r="B527" s="20"/>
      <c r="C527" s="21"/>
      <c r="D527" s="21" t="s">
        <v>580</v>
      </c>
      <c r="E527" s="22" t="s">
        <v>581</v>
      </c>
      <c r="F527" s="9">
        <f>Source!AT320</f>
        <v>70</v>
      </c>
      <c r="G527" s="24"/>
      <c r="H527" s="23"/>
      <c r="I527" s="9"/>
      <c r="J527" s="9"/>
      <c r="K527" s="25">
        <f>SUM(R519:R526)</f>
        <v>663.53</v>
      </c>
      <c r="L527" s="25"/>
    </row>
    <row r="528" spans="1:22" ht="14.25">
      <c r="A528" s="20"/>
      <c r="B528" s="20"/>
      <c r="C528" s="21"/>
      <c r="D528" s="21" t="s">
        <v>582</v>
      </c>
      <c r="E528" s="22" t="s">
        <v>581</v>
      </c>
      <c r="F528" s="9">
        <f>Source!AU320</f>
        <v>10</v>
      </c>
      <c r="G528" s="24"/>
      <c r="H528" s="23"/>
      <c r="I528" s="9"/>
      <c r="J528" s="9"/>
      <c r="K528" s="25">
        <f>SUM(T519:T527)</f>
        <v>94.79</v>
      </c>
      <c r="L528" s="25"/>
    </row>
    <row r="529" spans="1:22" ht="14.25">
      <c r="A529" s="20"/>
      <c r="B529" s="20"/>
      <c r="C529" s="21"/>
      <c r="D529" s="21" t="s">
        <v>583</v>
      </c>
      <c r="E529" s="22" t="s">
        <v>581</v>
      </c>
      <c r="F529" s="9">
        <f>108</f>
        <v>108</v>
      </c>
      <c r="G529" s="24"/>
      <c r="H529" s="23"/>
      <c r="I529" s="9"/>
      <c r="J529" s="9"/>
      <c r="K529" s="25">
        <f>SUM(V519:V528)</f>
        <v>0.71</v>
      </c>
      <c r="L529" s="25"/>
    </row>
    <row r="530" spans="1:22" ht="14.25">
      <c r="A530" s="20"/>
      <c r="B530" s="20"/>
      <c r="C530" s="21"/>
      <c r="D530" s="21" t="s">
        <v>584</v>
      </c>
      <c r="E530" s="22" t="s">
        <v>585</v>
      </c>
      <c r="F530" s="9">
        <f>Source!AQ320</f>
        <v>34.380000000000003</v>
      </c>
      <c r="G530" s="24"/>
      <c r="H530" s="23" t="str">
        <f>Source!DI320</f>
        <v/>
      </c>
      <c r="I530" s="9">
        <f>Source!AV320</f>
        <v>1</v>
      </c>
      <c r="J530" s="9"/>
      <c r="K530" s="25"/>
      <c r="L530" s="25">
        <f>Source!U320</f>
        <v>4.4006400000000001</v>
      </c>
    </row>
    <row r="531" spans="1:22" ht="15">
      <c r="A531" s="30"/>
      <c r="B531" s="30"/>
      <c r="C531" s="30"/>
      <c r="D531" s="30"/>
      <c r="E531" s="30"/>
      <c r="F531" s="30"/>
      <c r="G531" s="30"/>
      <c r="H531" s="30"/>
      <c r="I531" s="30"/>
      <c r="J531" s="91">
        <f>K521+K522+K524+K527+K528+K529+SUM(K525:K526)</f>
        <v>130048.48999999999</v>
      </c>
      <c r="K531" s="91"/>
      <c r="L531" s="31">
        <f>IF(Source!I320&lt;&gt;0, ROUND(J531/Source!I320, 2), 0)</f>
        <v>1016003.83</v>
      </c>
      <c r="P531" s="28">
        <f>J531</f>
        <v>130048.48999999999</v>
      </c>
    </row>
    <row r="532" spans="1:22" ht="28.5">
      <c r="A532" s="20">
        <v>74</v>
      </c>
      <c r="B532" s="20" t="str">
        <f>Source!E323</f>
        <v>49</v>
      </c>
      <c r="C532" s="21" t="str">
        <f>Source!F323</f>
        <v>1.13-3204-1-1/1</v>
      </c>
      <c r="D532" s="21" t="str">
        <f>Source!G323</f>
        <v>Расчистка поверхностей щетками</v>
      </c>
      <c r="E532" s="22" t="str">
        <f>Source!H323</f>
        <v>м2</v>
      </c>
      <c r="F532" s="9">
        <f>Source!I323</f>
        <v>236.4</v>
      </c>
      <c r="G532" s="24"/>
      <c r="H532" s="23"/>
      <c r="I532" s="9"/>
      <c r="J532" s="9"/>
      <c r="K532" s="25"/>
      <c r="L532" s="25"/>
      <c r="Q532">
        <f>ROUND((Source!BZ323/100)*ROUND((Source!AF323*Source!AV323)*Source!I323, 2), 2)</f>
        <v>17944.650000000001</v>
      </c>
      <c r="R532">
        <f>Source!X323</f>
        <v>17944.650000000001</v>
      </c>
      <c r="S532">
        <f>ROUND((Source!CA323/100)*ROUND((Source!AF323*Source!AV323)*Source!I323, 2), 2)</f>
        <v>2563.52</v>
      </c>
      <c r="T532">
        <f>Source!Y323</f>
        <v>2563.52</v>
      </c>
      <c r="U532">
        <f>ROUND((175/100)*ROUND((Source!AE323*Source!AV323)*Source!I323, 2), 2)</f>
        <v>0</v>
      </c>
      <c r="V532">
        <f>ROUND((108/100)*ROUND(Source!CS323*Source!I323, 2), 2)</f>
        <v>0</v>
      </c>
    </row>
    <row r="533" spans="1:22" ht="14.25">
      <c r="A533" s="20"/>
      <c r="B533" s="20"/>
      <c r="C533" s="21"/>
      <c r="D533" s="21" t="s">
        <v>577</v>
      </c>
      <c r="E533" s="22"/>
      <c r="F533" s="9"/>
      <c r="G533" s="24">
        <f>Source!AO323</f>
        <v>108.44</v>
      </c>
      <c r="H533" s="23" t="str">
        <f>Source!DG323</f>
        <v/>
      </c>
      <c r="I533" s="9">
        <f>Source!AV323</f>
        <v>1</v>
      </c>
      <c r="J533" s="9">
        <f>IF(Source!BA323&lt;&gt; 0, Source!BA323, 1)</f>
        <v>1</v>
      </c>
      <c r="K533" s="25">
        <f>Source!S323</f>
        <v>25635.22</v>
      </c>
      <c r="L533" s="25"/>
    </row>
    <row r="534" spans="1:22" ht="14.25">
      <c r="A534" s="20"/>
      <c r="B534" s="20"/>
      <c r="C534" s="21"/>
      <c r="D534" s="21" t="s">
        <v>580</v>
      </c>
      <c r="E534" s="22" t="s">
        <v>581</v>
      </c>
      <c r="F534" s="9">
        <f>Source!AT323</f>
        <v>70</v>
      </c>
      <c r="G534" s="24"/>
      <c r="H534" s="23"/>
      <c r="I534" s="9"/>
      <c r="J534" s="9"/>
      <c r="K534" s="25">
        <f>SUM(R532:R533)</f>
        <v>17944.650000000001</v>
      </c>
      <c r="L534" s="25"/>
    </row>
    <row r="535" spans="1:22" ht="14.25">
      <c r="A535" s="20"/>
      <c r="B535" s="20"/>
      <c r="C535" s="21"/>
      <c r="D535" s="21" t="s">
        <v>582</v>
      </c>
      <c r="E535" s="22" t="s">
        <v>581</v>
      </c>
      <c r="F535" s="9">
        <f>Source!AU323</f>
        <v>10</v>
      </c>
      <c r="G535" s="24"/>
      <c r="H535" s="23"/>
      <c r="I535" s="9"/>
      <c r="J535" s="9"/>
      <c r="K535" s="25">
        <f>SUM(T532:T534)</f>
        <v>2563.52</v>
      </c>
      <c r="L535" s="25"/>
    </row>
    <row r="536" spans="1:22" ht="14.25">
      <c r="A536" s="20"/>
      <c r="B536" s="20"/>
      <c r="C536" s="21"/>
      <c r="D536" s="21" t="s">
        <v>584</v>
      </c>
      <c r="E536" s="22" t="s">
        <v>585</v>
      </c>
      <c r="F536" s="9">
        <f>Source!AQ323</f>
        <v>0.6</v>
      </c>
      <c r="G536" s="24"/>
      <c r="H536" s="23" t="str">
        <f>Source!DI323</f>
        <v/>
      </c>
      <c r="I536" s="9">
        <f>Source!AV323</f>
        <v>1</v>
      </c>
      <c r="J536" s="9"/>
      <c r="K536" s="25"/>
      <c r="L536" s="25">
        <f>Source!U323</f>
        <v>141.84</v>
      </c>
    </row>
    <row r="537" spans="1:22" ht="15">
      <c r="A537" s="30"/>
      <c r="B537" s="30"/>
      <c r="C537" s="30"/>
      <c r="D537" s="30"/>
      <c r="E537" s="30"/>
      <c r="F537" s="30"/>
      <c r="G537" s="30"/>
      <c r="H537" s="30"/>
      <c r="I537" s="30"/>
      <c r="J537" s="91">
        <f>K533+K534+K535</f>
        <v>46143.39</v>
      </c>
      <c r="K537" s="91"/>
      <c r="L537" s="31">
        <f>IF(Source!I323&lt;&gt;0, ROUND(J537/Source!I323, 2), 0)</f>
        <v>195.19</v>
      </c>
      <c r="P537" s="28">
        <f>J537</f>
        <v>46143.39</v>
      </c>
    </row>
    <row r="538" spans="1:22" ht="42.75">
      <c r="A538" s="20">
        <v>75</v>
      </c>
      <c r="B538" s="20" t="str">
        <f>Source!E324</f>
        <v>50</v>
      </c>
      <c r="C538" s="21" t="str">
        <f>Source!F324</f>
        <v>1.24-3105-3-1/1</v>
      </c>
      <c r="D538" s="21" t="str">
        <f>Source!G324</f>
        <v>Обезжиривание металлической поверхности оборудования и труб диаметром до 500 мм уайт-спиритом</v>
      </c>
      <c r="E538" s="22" t="str">
        <f>Source!H324</f>
        <v>100 м2</v>
      </c>
      <c r="F538" s="9">
        <f>Source!I324</f>
        <v>2.3639999999999999</v>
      </c>
      <c r="G538" s="24"/>
      <c r="H538" s="23"/>
      <c r="I538" s="9"/>
      <c r="J538" s="9"/>
      <c r="K538" s="25"/>
      <c r="L538" s="25"/>
      <c r="Q538">
        <f>ROUND((Source!BZ324/100)*ROUND((Source!AF324*Source!AV324)*Source!I324, 2), 2)</f>
        <v>3645.1</v>
      </c>
      <c r="R538">
        <f>Source!X324</f>
        <v>3645.1</v>
      </c>
      <c r="S538">
        <f>ROUND((Source!CA324/100)*ROUND((Source!AF324*Source!AV324)*Source!I324, 2), 2)</f>
        <v>520.73</v>
      </c>
      <c r="T538">
        <f>Source!Y324</f>
        <v>520.73</v>
      </c>
      <c r="U538">
        <f>ROUND((175/100)*ROUND((Source!AE324*Source!AV324)*Source!I324, 2), 2)</f>
        <v>0</v>
      </c>
      <c r="V538">
        <f>ROUND((108/100)*ROUND(Source!CS324*Source!I324, 2), 2)</f>
        <v>0</v>
      </c>
    </row>
    <row r="539" spans="1:22">
      <c r="D539" s="26" t="str">
        <f>"Объем: "&amp;Source!I324&amp;"=236,4/"&amp;"100"</f>
        <v>Объем: 2,364=236,4/100</v>
      </c>
    </row>
    <row r="540" spans="1:22" ht="14.25">
      <c r="A540" s="20"/>
      <c r="B540" s="20"/>
      <c r="C540" s="21"/>
      <c r="D540" s="21" t="s">
        <v>577</v>
      </c>
      <c r="E540" s="22"/>
      <c r="F540" s="9"/>
      <c r="G540" s="24">
        <f>Source!AO324</f>
        <v>2202.7399999999998</v>
      </c>
      <c r="H540" s="23" t="str">
        <f>Source!DG324</f>
        <v/>
      </c>
      <c r="I540" s="9">
        <f>Source!AV324</f>
        <v>1</v>
      </c>
      <c r="J540" s="9">
        <f>IF(Source!BA324&lt;&gt; 0, Source!BA324, 1)</f>
        <v>1</v>
      </c>
      <c r="K540" s="25">
        <f>Source!S324</f>
        <v>5207.28</v>
      </c>
      <c r="L540" s="25"/>
    </row>
    <row r="541" spans="1:22" ht="14.25">
      <c r="A541" s="20"/>
      <c r="B541" s="20"/>
      <c r="C541" s="21"/>
      <c r="D541" s="21" t="s">
        <v>586</v>
      </c>
      <c r="E541" s="22"/>
      <c r="F541" s="9"/>
      <c r="G541" s="24">
        <f>Source!AL324</f>
        <v>2022.26</v>
      </c>
      <c r="H541" s="23" t="str">
        <f>Source!DD324</f>
        <v/>
      </c>
      <c r="I541" s="9">
        <f>Source!AW324</f>
        <v>1</v>
      </c>
      <c r="J541" s="9">
        <f>IF(Source!BC324&lt;&gt; 0, Source!BC324, 1)</f>
        <v>1</v>
      </c>
      <c r="K541" s="25">
        <f>Source!P324</f>
        <v>4780.62</v>
      </c>
      <c r="L541" s="25"/>
    </row>
    <row r="542" spans="1:22" ht="14.25">
      <c r="A542" s="20"/>
      <c r="B542" s="20"/>
      <c r="C542" s="21"/>
      <c r="D542" s="21" t="s">
        <v>580</v>
      </c>
      <c r="E542" s="22" t="s">
        <v>581</v>
      </c>
      <c r="F542" s="9">
        <f>Source!AT324</f>
        <v>70</v>
      </c>
      <c r="G542" s="24"/>
      <c r="H542" s="23"/>
      <c r="I542" s="9"/>
      <c r="J542" s="9"/>
      <c r="K542" s="25">
        <f>SUM(R538:R541)</f>
        <v>3645.1</v>
      </c>
      <c r="L542" s="25"/>
    </row>
    <row r="543" spans="1:22" ht="14.25">
      <c r="A543" s="20"/>
      <c r="B543" s="20"/>
      <c r="C543" s="21"/>
      <c r="D543" s="21" t="s">
        <v>582</v>
      </c>
      <c r="E543" s="22" t="s">
        <v>581</v>
      </c>
      <c r="F543" s="9">
        <f>Source!AU324</f>
        <v>10</v>
      </c>
      <c r="G543" s="24"/>
      <c r="H543" s="23"/>
      <c r="I543" s="9"/>
      <c r="J543" s="9"/>
      <c r="K543" s="25">
        <f>SUM(T538:T542)</f>
        <v>520.73</v>
      </c>
      <c r="L543" s="25"/>
    </row>
    <row r="544" spans="1:22" ht="14.25">
      <c r="A544" s="20"/>
      <c r="B544" s="20"/>
      <c r="C544" s="21"/>
      <c r="D544" s="21" t="s">
        <v>584</v>
      </c>
      <c r="E544" s="22" t="s">
        <v>585</v>
      </c>
      <c r="F544" s="9">
        <f>Source!AQ324</f>
        <v>10.44</v>
      </c>
      <c r="G544" s="24"/>
      <c r="H544" s="23" t="str">
        <f>Source!DI324</f>
        <v/>
      </c>
      <c r="I544" s="9">
        <f>Source!AV324</f>
        <v>1</v>
      </c>
      <c r="J544" s="9"/>
      <c r="K544" s="25"/>
      <c r="L544" s="25">
        <f>Source!U324</f>
        <v>24.680159999999997</v>
      </c>
    </row>
    <row r="545" spans="1:22" ht="15">
      <c r="A545" s="30"/>
      <c r="B545" s="30"/>
      <c r="C545" s="30"/>
      <c r="D545" s="30"/>
      <c r="E545" s="30"/>
      <c r="F545" s="30"/>
      <c r="G545" s="30"/>
      <c r="H545" s="30"/>
      <c r="I545" s="30"/>
      <c r="J545" s="91">
        <f>K540+K541+K542+K543</f>
        <v>14153.73</v>
      </c>
      <c r="K545" s="91"/>
      <c r="L545" s="31">
        <f>IF(Source!I324&lt;&gt;0, ROUND(J545/Source!I324, 2), 0)</f>
        <v>5987.2</v>
      </c>
      <c r="P545" s="28">
        <f>J545</f>
        <v>14153.73</v>
      </c>
    </row>
    <row r="546" spans="1:22" ht="57">
      <c r="A546" s="20">
        <v>76</v>
      </c>
      <c r="B546" s="20" t="str">
        <f>Source!E325</f>
        <v>51</v>
      </c>
      <c r="C546" s="21" t="str">
        <f>Source!F325</f>
        <v>1.13-5302-11-5/1</v>
      </c>
      <c r="D546" s="21" t="str">
        <f>Source!G325</f>
        <v>Огрунтовка новых или ранее расчищенных металлических поверхностей алкидными грунтовками, за один раз</v>
      </c>
      <c r="E546" s="22" t="str">
        <f>Source!H325</f>
        <v>10 м2</v>
      </c>
      <c r="F546" s="9">
        <f>Source!I325</f>
        <v>23.64</v>
      </c>
      <c r="G546" s="24"/>
      <c r="H546" s="23"/>
      <c r="I546" s="9"/>
      <c r="J546" s="9"/>
      <c r="K546" s="25"/>
      <c r="L546" s="25"/>
      <c r="Q546">
        <f>ROUND((Source!BZ325/100)*ROUND((Source!AF325*Source!AV325)*Source!I325, 2), 2)</f>
        <v>60550.78</v>
      </c>
      <c r="R546">
        <f>Source!X325</f>
        <v>60550.78</v>
      </c>
      <c r="S546">
        <f>ROUND((Source!CA325/100)*ROUND((Source!AF325*Source!AV325)*Source!I325, 2), 2)</f>
        <v>8650.11</v>
      </c>
      <c r="T546">
        <f>Source!Y325</f>
        <v>8650.11</v>
      </c>
      <c r="U546">
        <f>ROUND((175/100)*ROUND((Source!AE325*Source!AV325)*Source!I325, 2), 2)</f>
        <v>0</v>
      </c>
      <c r="V546">
        <f>ROUND((108/100)*ROUND(Source!CS325*Source!I325, 2), 2)</f>
        <v>0</v>
      </c>
    </row>
    <row r="547" spans="1:22">
      <c r="D547" s="26" t="str">
        <f>"Объем: "&amp;Source!I325&amp;"=236,4/"&amp;"10"</f>
        <v>Объем: 23,64=236,4/10</v>
      </c>
    </row>
    <row r="548" spans="1:22" ht="14.25">
      <c r="A548" s="20"/>
      <c r="B548" s="20"/>
      <c r="C548" s="21"/>
      <c r="D548" s="21" t="s">
        <v>577</v>
      </c>
      <c r="E548" s="22"/>
      <c r="F548" s="9"/>
      <c r="G548" s="24">
        <f>Source!AO325</f>
        <v>3659.1</v>
      </c>
      <c r="H548" s="23" t="str">
        <f>Source!DG325</f>
        <v/>
      </c>
      <c r="I548" s="9">
        <f>Source!AV325</f>
        <v>1</v>
      </c>
      <c r="J548" s="9">
        <f>IF(Source!BA325&lt;&gt; 0, Source!BA325, 1)</f>
        <v>1</v>
      </c>
      <c r="K548" s="25">
        <f>Source!S325</f>
        <v>86501.119999999995</v>
      </c>
      <c r="L548" s="25"/>
    </row>
    <row r="549" spans="1:22" ht="14.25">
      <c r="A549" s="20"/>
      <c r="B549" s="20"/>
      <c r="C549" s="21"/>
      <c r="D549" s="21" t="s">
        <v>586</v>
      </c>
      <c r="E549" s="22"/>
      <c r="F549" s="9"/>
      <c r="G549" s="24">
        <f>Source!AL325</f>
        <v>2961.96</v>
      </c>
      <c r="H549" s="23" t="str">
        <f>Source!DD325</f>
        <v/>
      </c>
      <c r="I549" s="9">
        <f>Source!AW325</f>
        <v>1</v>
      </c>
      <c r="J549" s="9">
        <f>IF(Source!BC325&lt;&gt; 0, Source!BC325, 1)</f>
        <v>1</v>
      </c>
      <c r="K549" s="25">
        <f>Source!P325</f>
        <v>70020.73</v>
      </c>
      <c r="L549" s="25"/>
    </row>
    <row r="550" spans="1:22" ht="14.25">
      <c r="A550" s="20"/>
      <c r="B550" s="20"/>
      <c r="C550" s="21"/>
      <c r="D550" s="21" t="s">
        <v>580</v>
      </c>
      <c r="E550" s="22" t="s">
        <v>581</v>
      </c>
      <c r="F550" s="9">
        <f>Source!AT325</f>
        <v>70</v>
      </c>
      <c r="G550" s="24"/>
      <c r="H550" s="23"/>
      <c r="I550" s="9"/>
      <c r="J550" s="9"/>
      <c r="K550" s="25">
        <f>SUM(R546:R549)</f>
        <v>60550.78</v>
      </c>
      <c r="L550" s="25"/>
    </row>
    <row r="551" spans="1:22" ht="14.25">
      <c r="A551" s="20"/>
      <c r="B551" s="20"/>
      <c r="C551" s="21"/>
      <c r="D551" s="21" t="s">
        <v>582</v>
      </c>
      <c r="E551" s="22" t="s">
        <v>581</v>
      </c>
      <c r="F551" s="9">
        <f>Source!AU325</f>
        <v>10</v>
      </c>
      <c r="G551" s="24"/>
      <c r="H551" s="23"/>
      <c r="I551" s="9"/>
      <c r="J551" s="9"/>
      <c r="K551" s="25">
        <f>SUM(T546:T550)</f>
        <v>8650.11</v>
      </c>
      <c r="L551" s="25"/>
    </row>
    <row r="552" spans="1:22" ht="14.25">
      <c r="A552" s="20"/>
      <c r="B552" s="20"/>
      <c r="C552" s="21"/>
      <c r="D552" s="21" t="s">
        <v>584</v>
      </c>
      <c r="E552" s="22" t="s">
        <v>585</v>
      </c>
      <c r="F552" s="9">
        <f>Source!AQ325</f>
        <v>17.07</v>
      </c>
      <c r="G552" s="24"/>
      <c r="H552" s="23" t="str">
        <f>Source!DI325</f>
        <v/>
      </c>
      <c r="I552" s="9">
        <f>Source!AV325</f>
        <v>1</v>
      </c>
      <c r="J552" s="9"/>
      <c r="K552" s="25"/>
      <c r="L552" s="25">
        <f>Source!U325</f>
        <v>403.53480000000002</v>
      </c>
    </row>
    <row r="553" spans="1:22" ht="15">
      <c r="A553" s="30"/>
      <c r="B553" s="30"/>
      <c r="C553" s="30"/>
      <c r="D553" s="30"/>
      <c r="E553" s="30"/>
      <c r="F553" s="30"/>
      <c r="G553" s="30"/>
      <c r="H553" s="30"/>
      <c r="I553" s="30"/>
      <c r="J553" s="91">
        <f>K548+K549+K550+K551</f>
        <v>225722.74</v>
      </c>
      <c r="K553" s="91"/>
      <c r="L553" s="31">
        <f>IF(Source!I325&lt;&gt;0, ROUND(J553/Source!I325, 2), 0)</f>
        <v>9548.34</v>
      </c>
      <c r="P553" s="28">
        <f>J553</f>
        <v>225722.74</v>
      </c>
    </row>
    <row r="554" spans="1:22" ht="42.75">
      <c r="A554" s="20">
        <v>77</v>
      </c>
      <c r="B554" s="20" t="str">
        <f>Source!E326</f>
        <v>52</v>
      </c>
      <c r="C554" s="21" t="str">
        <f>Source!F326</f>
        <v>1.13-3203-23-10/1</v>
      </c>
      <c r="D554" s="21" t="str">
        <f>Source!G326</f>
        <v>Окраска по металлу за один раз металлическим порошком решеток / за два раза</v>
      </c>
      <c r="E554" s="22" t="str">
        <f>Source!H326</f>
        <v>100 м2</v>
      </c>
      <c r="F554" s="9">
        <f>Source!I326</f>
        <v>2.3639999999999999</v>
      </c>
      <c r="G554" s="24"/>
      <c r="H554" s="23"/>
      <c r="I554" s="9"/>
      <c r="J554" s="9"/>
      <c r="K554" s="25"/>
      <c r="L554" s="25"/>
      <c r="Q554">
        <f>ROUND((Source!BZ326/100)*ROUND((Source!AF326*Source!AV326)*Source!I326, 2), 2)</f>
        <v>45508.79</v>
      </c>
      <c r="R554">
        <f>Source!X326</f>
        <v>45508.79</v>
      </c>
      <c r="S554">
        <f>ROUND((Source!CA326/100)*ROUND((Source!AF326*Source!AV326)*Source!I326, 2), 2)</f>
        <v>6501.26</v>
      </c>
      <c r="T554">
        <f>Source!Y326</f>
        <v>6501.26</v>
      </c>
      <c r="U554">
        <f>ROUND((175/100)*ROUND((Source!AE326*Source!AV326)*Source!I326, 2), 2)</f>
        <v>0</v>
      </c>
      <c r="V554">
        <f>ROUND((108/100)*ROUND(Source!CS326*Source!I326, 2), 2)</f>
        <v>0</v>
      </c>
    </row>
    <row r="555" spans="1:22">
      <c r="D555" s="26" t="str">
        <f>"Объем: "&amp;Source!I326&amp;"=236,4/"&amp;"100"</f>
        <v>Объем: 2,364=236,4/100</v>
      </c>
    </row>
    <row r="556" spans="1:22" ht="14.25">
      <c r="A556" s="20"/>
      <c r="B556" s="20"/>
      <c r="C556" s="21"/>
      <c r="D556" s="21" t="s">
        <v>577</v>
      </c>
      <c r="E556" s="22"/>
      <c r="F556" s="9"/>
      <c r="G556" s="24">
        <f>Source!AO326</f>
        <v>13750.54</v>
      </c>
      <c r="H556" s="23" t="str">
        <f>Source!DG326</f>
        <v>*2</v>
      </c>
      <c r="I556" s="9">
        <f>Source!AV326</f>
        <v>1</v>
      </c>
      <c r="J556" s="9">
        <f>IF(Source!BA326&lt;&gt; 0, Source!BA326, 1)</f>
        <v>1</v>
      </c>
      <c r="K556" s="25">
        <f>Source!S326</f>
        <v>65012.55</v>
      </c>
      <c r="L556" s="25"/>
    </row>
    <row r="557" spans="1:22" ht="14.25">
      <c r="A557" s="20"/>
      <c r="B557" s="20"/>
      <c r="C557" s="21"/>
      <c r="D557" s="21" t="s">
        <v>586</v>
      </c>
      <c r="E557" s="22"/>
      <c r="F557" s="9"/>
      <c r="G557" s="24">
        <f>Source!AL326</f>
        <v>3483.4</v>
      </c>
      <c r="H557" s="23" t="str">
        <f>Source!DD326</f>
        <v>*2</v>
      </c>
      <c r="I557" s="9">
        <f>Source!AW326</f>
        <v>1</v>
      </c>
      <c r="J557" s="9">
        <f>IF(Source!BC326&lt;&gt; 0, Source!BC326, 1)</f>
        <v>1</v>
      </c>
      <c r="K557" s="25">
        <f>Source!P326</f>
        <v>16469.52</v>
      </c>
      <c r="L557" s="25"/>
    </row>
    <row r="558" spans="1:22" ht="14.25">
      <c r="A558" s="20"/>
      <c r="B558" s="20"/>
      <c r="C558" s="21"/>
      <c r="D558" s="21" t="s">
        <v>580</v>
      </c>
      <c r="E558" s="22" t="s">
        <v>581</v>
      </c>
      <c r="F558" s="9">
        <f>Source!AT326</f>
        <v>70</v>
      </c>
      <c r="G558" s="24"/>
      <c r="H558" s="23"/>
      <c r="I558" s="9"/>
      <c r="J558" s="9"/>
      <c r="K558" s="25">
        <f>SUM(R554:R557)</f>
        <v>45508.79</v>
      </c>
      <c r="L558" s="25"/>
    </row>
    <row r="559" spans="1:22" ht="14.25">
      <c r="A559" s="20"/>
      <c r="B559" s="20"/>
      <c r="C559" s="21"/>
      <c r="D559" s="21" t="s">
        <v>582</v>
      </c>
      <c r="E559" s="22" t="s">
        <v>581</v>
      </c>
      <c r="F559" s="9">
        <f>Source!AU326</f>
        <v>10</v>
      </c>
      <c r="G559" s="24"/>
      <c r="H559" s="23"/>
      <c r="I559" s="9"/>
      <c r="J559" s="9"/>
      <c r="K559" s="25">
        <f>SUM(T554:T558)</f>
        <v>6501.26</v>
      </c>
      <c r="L559" s="25"/>
    </row>
    <row r="560" spans="1:22" ht="14.25">
      <c r="A560" s="20"/>
      <c r="B560" s="20"/>
      <c r="C560" s="21"/>
      <c r="D560" s="21" t="s">
        <v>584</v>
      </c>
      <c r="E560" s="22" t="s">
        <v>585</v>
      </c>
      <c r="F560" s="9">
        <f>Source!AQ326</f>
        <v>59</v>
      </c>
      <c r="G560" s="24"/>
      <c r="H560" s="23" t="str">
        <f>Source!DI326</f>
        <v>*2</v>
      </c>
      <c r="I560" s="9">
        <f>Source!AV326</f>
        <v>1</v>
      </c>
      <c r="J560" s="9"/>
      <c r="K560" s="25"/>
      <c r="L560" s="25">
        <f>Source!U326</f>
        <v>278.952</v>
      </c>
    </row>
    <row r="561" spans="1:22" ht="15">
      <c r="A561" s="30"/>
      <c r="B561" s="30"/>
      <c r="C561" s="30"/>
      <c r="D561" s="30"/>
      <c r="E561" s="30"/>
      <c r="F561" s="30"/>
      <c r="G561" s="30"/>
      <c r="H561" s="30"/>
      <c r="I561" s="30"/>
      <c r="J561" s="91">
        <f>K556+K557+K558+K559</f>
        <v>133492.12000000002</v>
      </c>
      <c r="K561" s="91"/>
      <c r="L561" s="31">
        <f>IF(Source!I326&lt;&gt;0, ROUND(J561/Source!I326, 2), 0)</f>
        <v>56468.75</v>
      </c>
      <c r="P561" s="28">
        <f>J561</f>
        <v>133492.12000000002</v>
      </c>
    </row>
    <row r="562" spans="1:22" ht="28.5">
      <c r="A562" s="20">
        <v>78</v>
      </c>
      <c r="B562" s="20" t="str">
        <f>Source!E327</f>
        <v>53</v>
      </c>
      <c r="C562" s="21" t="str">
        <f>Source!F327</f>
        <v>2.1-3203-24-3/1</v>
      </c>
      <c r="D562" s="21" t="str">
        <f>Source!G327</f>
        <v>Нанесение текстовой информации и символики. прим.</v>
      </c>
      <c r="E562" s="22" t="str">
        <f>Source!H327</f>
        <v>м2</v>
      </c>
      <c r="F562" s="9">
        <f>Source!I327</f>
        <v>23.89</v>
      </c>
      <c r="G562" s="24"/>
      <c r="H562" s="23"/>
      <c r="I562" s="9"/>
      <c r="J562" s="9"/>
      <c r="K562" s="25"/>
      <c r="L562" s="25"/>
      <c r="Q562">
        <f>ROUND((Source!BZ327/100)*ROUND((Source!AF327*Source!AV327)*Source!I327, 2), 2)</f>
        <v>16444.150000000001</v>
      </c>
      <c r="R562">
        <f>Source!X327</f>
        <v>16444.150000000001</v>
      </c>
      <c r="S562">
        <f>ROUND((Source!CA327/100)*ROUND((Source!AF327*Source!AV327)*Source!I327, 2), 2)</f>
        <v>2055.52</v>
      </c>
      <c r="T562">
        <f>Source!Y327</f>
        <v>2055.52</v>
      </c>
      <c r="U562">
        <f>ROUND((175/100)*ROUND((Source!AE327*Source!AV327)*Source!I327, 2), 2)</f>
        <v>25999.66</v>
      </c>
      <c r="V562">
        <f>ROUND((108/100)*ROUND(Source!CS327*Source!I327, 2), 2)</f>
        <v>16045.51</v>
      </c>
    </row>
    <row r="563" spans="1:22" ht="14.25">
      <c r="A563" s="20"/>
      <c r="B563" s="20"/>
      <c r="C563" s="21"/>
      <c r="D563" s="21" t="s">
        <v>577</v>
      </c>
      <c r="E563" s="22"/>
      <c r="F563" s="9"/>
      <c r="G563" s="24">
        <f>Source!AO327</f>
        <v>860.41</v>
      </c>
      <c r="H563" s="23" t="str">
        <f>Source!DG327</f>
        <v/>
      </c>
      <c r="I563" s="9">
        <f>Source!AV327</f>
        <v>1</v>
      </c>
      <c r="J563" s="9">
        <f>IF(Source!BA327&lt;&gt; 0, Source!BA327, 1)</f>
        <v>1</v>
      </c>
      <c r="K563" s="25">
        <f>Source!S327</f>
        <v>20555.189999999999</v>
      </c>
      <c r="L563" s="25"/>
    </row>
    <row r="564" spans="1:22" ht="14.25">
      <c r="A564" s="20"/>
      <c r="B564" s="20"/>
      <c r="C564" s="21"/>
      <c r="D564" s="21" t="s">
        <v>578</v>
      </c>
      <c r="E564" s="22"/>
      <c r="F564" s="9"/>
      <c r="G564" s="24">
        <f>Source!AM327</f>
        <v>1288.52</v>
      </c>
      <c r="H564" s="23" t="str">
        <f>Source!DE327</f>
        <v/>
      </c>
      <c r="I564" s="9">
        <f>Source!AV327</f>
        <v>1</v>
      </c>
      <c r="J564" s="9">
        <f>IF(Source!BB327&lt;&gt; 0, Source!BB327, 1)</f>
        <v>1</v>
      </c>
      <c r="K564" s="25">
        <f>Source!Q327</f>
        <v>30782.74</v>
      </c>
      <c r="L564" s="25"/>
    </row>
    <row r="565" spans="1:22" ht="14.25">
      <c r="A565" s="20"/>
      <c r="B565" s="20"/>
      <c r="C565" s="21"/>
      <c r="D565" s="21" t="s">
        <v>579</v>
      </c>
      <c r="E565" s="22"/>
      <c r="F565" s="9"/>
      <c r="G565" s="24">
        <f>Source!AN327</f>
        <v>621.89</v>
      </c>
      <c r="H565" s="23" t="str">
        <f>Source!DF327</f>
        <v/>
      </c>
      <c r="I565" s="9">
        <f>Source!AV327</f>
        <v>1</v>
      </c>
      <c r="J565" s="9">
        <f>IF(Source!BS327&lt;&gt; 0, Source!BS327, 1)</f>
        <v>1</v>
      </c>
      <c r="K565" s="27">
        <f>Source!R327</f>
        <v>14856.95</v>
      </c>
      <c r="L565" s="25"/>
    </row>
    <row r="566" spans="1:22" ht="14.25">
      <c r="A566" s="20"/>
      <c r="B566" s="20"/>
      <c r="C566" s="21"/>
      <c r="D566" s="21" t="s">
        <v>586</v>
      </c>
      <c r="E566" s="22"/>
      <c r="F566" s="9"/>
      <c r="G566" s="24">
        <f>Source!AL327</f>
        <v>62.99</v>
      </c>
      <c r="H566" s="23" t="str">
        <f>Source!DD327</f>
        <v/>
      </c>
      <c r="I566" s="9">
        <f>Source!AW327</f>
        <v>1</v>
      </c>
      <c r="J566" s="9">
        <f>IF(Source!BC327&lt;&gt; 0, Source!BC327, 1)</f>
        <v>1</v>
      </c>
      <c r="K566" s="25">
        <f>Source!P327</f>
        <v>1504.83</v>
      </c>
      <c r="L566" s="25"/>
    </row>
    <row r="567" spans="1:22" ht="14.25">
      <c r="A567" s="20"/>
      <c r="B567" s="20"/>
      <c r="C567" s="21"/>
      <c r="D567" s="21" t="s">
        <v>580</v>
      </c>
      <c r="E567" s="22" t="s">
        <v>581</v>
      </c>
      <c r="F567" s="9">
        <f>Source!AT327</f>
        <v>80</v>
      </c>
      <c r="G567" s="24"/>
      <c r="H567" s="23"/>
      <c r="I567" s="9"/>
      <c r="J567" s="9"/>
      <c r="K567" s="25">
        <f>SUM(R562:R566)</f>
        <v>16444.150000000001</v>
      </c>
      <c r="L567" s="25"/>
    </row>
    <row r="568" spans="1:22" ht="14.25">
      <c r="A568" s="20"/>
      <c r="B568" s="20"/>
      <c r="C568" s="21"/>
      <c r="D568" s="21" t="s">
        <v>582</v>
      </c>
      <c r="E568" s="22" t="s">
        <v>581</v>
      </c>
      <c r="F568" s="9">
        <f>Source!AU327</f>
        <v>10</v>
      </c>
      <c r="G568" s="24"/>
      <c r="H568" s="23"/>
      <c r="I568" s="9"/>
      <c r="J568" s="9"/>
      <c r="K568" s="25">
        <f>SUM(T562:T567)</f>
        <v>2055.52</v>
      </c>
      <c r="L568" s="25"/>
    </row>
    <row r="569" spans="1:22" ht="14.25">
      <c r="A569" s="20"/>
      <c r="B569" s="20"/>
      <c r="C569" s="21"/>
      <c r="D569" s="21" t="s">
        <v>583</v>
      </c>
      <c r="E569" s="22" t="s">
        <v>581</v>
      </c>
      <c r="F569" s="9">
        <f>108</f>
        <v>108</v>
      </c>
      <c r="G569" s="24"/>
      <c r="H569" s="23"/>
      <c r="I569" s="9"/>
      <c r="J569" s="9"/>
      <c r="K569" s="25">
        <f>SUM(V562:V568)</f>
        <v>16045.51</v>
      </c>
      <c r="L569" s="25"/>
    </row>
    <row r="570" spans="1:22" ht="14.25">
      <c r="A570" s="20"/>
      <c r="B570" s="20"/>
      <c r="C570" s="21"/>
      <c r="D570" s="21" t="s">
        <v>584</v>
      </c>
      <c r="E570" s="22" t="s">
        <v>585</v>
      </c>
      <c r="F570" s="9">
        <f>Source!AQ327</f>
        <v>3.94</v>
      </c>
      <c r="G570" s="24"/>
      <c r="H570" s="23" t="str">
        <f>Source!DI327</f>
        <v/>
      </c>
      <c r="I570" s="9">
        <f>Source!AV327</f>
        <v>1</v>
      </c>
      <c r="J570" s="9"/>
      <c r="K570" s="25"/>
      <c r="L570" s="25">
        <f>Source!U327</f>
        <v>94.126599999999996</v>
      </c>
    </row>
    <row r="571" spans="1:22" ht="15">
      <c r="A571" s="30"/>
      <c r="B571" s="30"/>
      <c r="C571" s="30"/>
      <c r="D571" s="30"/>
      <c r="E571" s="30"/>
      <c r="F571" s="30"/>
      <c r="G571" s="30"/>
      <c r="H571" s="30"/>
      <c r="I571" s="30"/>
      <c r="J571" s="91">
        <f>K563+K564+K566+K567+K568+K569</f>
        <v>87387.94</v>
      </c>
      <c r="K571" s="91"/>
      <c r="L571" s="31">
        <f>IF(Source!I327&lt;&gt;0, ROUND(J571/Source!I327, 2), 0)</f>
        <v>3657.93</v>
      </c>
      <c r="P571" s="28">
        <f>J571</f>
        <v>87387.94</v>
      </c>
    </row>
    <row r="573" spans="1:22" ht="15">
      <c r="A573" s="95" t="str">
        <f>CONCATENATE("Итого по разделу: ",IF(Source!G329&lt;&gt;"Новый раздел", Source!G329, ""))</f>
        <v>Итого по разделу: Стелла " Чертаново Центральное"</v>
      </c>
      <c r="B573" s="95"/>
      <c r="C573" s="95"/>
      <c r="D573" s="95"/>
      <c r="E573" s="95"/>
      <c r="F573" s="95"/>
      <c r="G573" s="95"/>
      <c r="H573" s="95"/>
      <c r="I573" s="95"/>
      <c r="J573" s="93">
        <f>SUM(P407:P572)</f>
        <v>996586.1399999999</v>
      </c>
      <c r="K573" s="94"/>
      <c r="L573" s="33"/>
    </row>
    <row r="575" spans="1:22" ht="14.25">
      <c r="D575" s="88" t="str">
        <f>Source!H357</f>
        <v>Итого</v>
      </c>
      <c r="E575" s="88"/>
      <c r="F575" s="88"/>
      <c r="G575" s="88"/>
      <c r="H575" s="88"/>
      <c r="I575" s="88"/>
      <c r="J575" s="92">
        <f>IF(Source!F357=0, "", Source!F357)</f>
        <v>996586.14</v>
      </c>
      <c r="K575" s="92"/>
    </row>
    <row r="576" spans="1:22" ht="14.25">
      <c r="D576" s="88" t="str">
        <f>Source!H358</f>
        <v>НДС 20%</v>
      </c>
      <c r="E576" s="88"/>
      <c r="F576" s="88"/>
      <c r="G576" s="88"/>
      <c r="H576" s="88"/>
      <c r="I576" s="88"/>
      <c r="J576" s="92">
        <f>IF(Source!F358=0, "", Source!F358)</f>
        <v>199317.23</v>
      </c>
      <c r="K576" s="92"/>
    </row>
    <row r="577" spans="1:32" ht="14.25">
      <c r="D577" s="88" t="str">
        <f>Source!H359</f>
        <v>Всего с НДС</v>
      </c>
      <c r="E577" s="88"/>
      <c r="F577" s="88"/>
      <c r="G577" s="88"/>
      <c r="H577" s="88"/>
      <c r="I577" s="88"/>
      <c r="J577" s="92">
        <f>IF(Source!F359=0, "", Source!F359)</f>
        <v>1195903.3700000001</v>
      </c>
      <c r="K577" s="92"/>
    </row>
    <row r="579" spans="1:32" ht="45">
      <c r="A579" s="95" t="str">
        <f>CONCATENATE("Итого по локальной смете: ",IF(Source!G361&lt;&gt;"Новая локальная смета", Source!G361, ""))</f>
        <v>Итого по локальной смете: 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  <c r="B579" s="95"/>
      <c r="C579" s="95"/>
      <c r="D579" s="95"/>
      <c r="E579" s="95"/>
      <c r="F579" s="95"/>
      <c r="G579" s="95"/>
      <c r="H579" s="95"/>
      <c r="I579" s="95"/>
      <c r="J579" s="93">
        <f>SUM(P38:P578)</f>
        <v>1991088.3300000003</v>
      </c>
      <c r="K579" s="94"/>
      <c r="L579" s="33"/>
      <c r="AF579" s="34" t="str">
        <f>CONCATENATE("Итого по локальной смете: ",IF(Source!G361&lt;&gt;"Новая локальная смета", Source!G361, ""))</f>
        <v>Итого по локальной смете: 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</row>
    <row r="582" spans="1:32" ht="15">
      <c r="A582" s="95" t="str">
        <f>CONCATENATE("Итого по смете: ",IF(Source!G390&lt;&gt;"Новый объект", Source!G390, ""))</f>
        <v>Итого по смете: Цветник № 10 Кр Маяка 1-1_2_лот</v>
      </c>
      <c r="B582" s="95"/>
      <c r="C582" s="95"/>
      <c r="D582" s="95"/>
      <c r="E582" s="95"/>
      <c r="F582" s="95"/>
      <c r="G582" s="95"/>
      <c r="H582" s="95"/>
      <c r="I582" s="95"/>
      <c r="J582" s="93">
        <f>SUM(P1:P581)</f>
        <v>1991088.3300000003</v>
      </c>
      <c r="K582" s="94"/>
      <c r="L582" s="33"/>
    </row>
    <row r="583" spans="1:32" ht="14.25">
      <c r="D583" s="88" t="str">
        <f>Source!H418</f>
        <v>Итого</v>
      </c>
      <c r="E583" s="88"/>
      <c r="F583" s="88"/>
      <c r="G583" s="88"/>
      <c r="H583" s="88"/>
      <c r="I583" s="88"/>
      <c r="J583" s="92">
        <f>IF(Source!F418=0, "", Source!F418)</f>
        <v>1991088.33</v>
      </c>
      <c r="K583" s="92"/>
    </row>
    <row r="584" spans="1:32" ht="14.25">
      <c r="D584" s="88" t="str">
        <f>Source!H419</f>
        <v>НДС 20%</v>
      </c>
      <c r="E584" s="88"/>
      <c r="F584" s="88"/>
      <c r="G584" s="88"/>
      <c r="H584" s="88"/>
      <c r="I584" s="88"/>
      <c r="J584" s="92">
        <f>IF(Source!F419=0, "", Source!F419)</f>
        <v>398217.67</v>
      </c>
      <c r="K584" s="92"/>
    </row>
    <row r="585" spans="1:32" ht="14.25">
      <c r="D585" s="88" t="str">
        <f>Source!H420</f>
        <v>Всего с НДС</v>
      </c>
      <c r="E585" s="88"/>
      <c r="F585" s="88"/>
      <c r="G585" s="88"/>
      <c r="H585" s="88"/>
      <c r="I585" s="88"/>
      <c r="J585" s="92">
        <f>IF(Source!F420=0, "", Source!F420)</f>
        <v>2389306</v>
      </c>
      <c r="K585" s="92"/>
    </row>
    <row r="586" spans="1:32" ht="14.25">
      <c r="D586" s="88" t="str">
        <f>Source!H421</f>
        <v>Итого с коэффициентом оптимизации</v>
      </c>
      <c r="E586" s="88"/>
      <c r="F586" s="88"/>
      <c r="G586" s="88"/>
      <c r="H586" s="88"/>
      <c r="I586" s="88"/>
      <c r="J586" s="92">
        <f>IF(Source!F421=0, "", Source!F421)</f>
        <v>2228216.9500000002</v>
      </c>
      <c r="K586" s="92"/>
    </row>
    <row r="589" spans="1:32" ht="14.25">
      <c r="A589" s="10"/>
      <c r="B589" s="96" t="s">
        <v>623</v>
      </c>
      <c r="C589" s="96"/>
      <c r="D589" s="35" t="str">
        <f>IF(Source!AM12&lt;&gt;"", Source!AM12," ")</f>
        <v xml:space="preserve"> </v>
      </c>
      <c r="E589" s="35"/>
      <c r="F589" s="35"/>
      <c r="G589" s="35"/>
      <c r="H589" s="35"/>
      <c r="I589" s="10" t="str">
        <f>IF(Source!AL12&lt;&gt;"", Source!AL12," ")</f>
        <v xml:space="preserve"> </v>
      </c>
      <c r="J589" s="10"/>
      <c r="K589" s="10"/>
    </row>
    <row r="590" spans="1:32" ht="14.25">
      <c r="A590" s="10"/>
      <c r="B590" s="10"/>
      <c r="C590" s="10"/>
      <c r="D590" s="102" t="s">
        <v>589</v>
      </c>
      <c r="E590" s="102"/>
      <c r="F590" s="102"/>
      <c r="G590" s="102"/>
      <c r="H590" s="102"/>
      <c r="I590" s="10"/>
      <c r="J590" s="10"/>
      <c r="K590" s="10"/>
    </row>
    <row r="591" spans="1:32" ht="14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1:32" ht="14.25">
      <c r="A592" s="10"/>
      <c r="B592" s="96" t="s">
        <v>624</v>
      </c>
      <c r="C592" s="96"/>
      <c r="D592" s="35" t="str">
        <f>IF(Source!AI12&lt;&gt;"", Source!AI12," ")</f>
        <v xml:space="preserve"> </v>
      </c>
      <c r="E592" s="35"/>
      <c r="F592" s="35"/>
      <c r="G592" s="35"/>
      <c r="H592" s="35"/>
      <c r="I592" s="10" t="str">
        <f>IF(Source!AH12&lt;&gt;"", Source!AH12," ")</f>
        <v xml:space="preserve"> </v>
      </c>
      <c r="J592" s="10"/>
      <c r="K592" s="10"/>
    </row>
    <row r="593" spans="1:11" ht="14.25">
      <c r="A593" s="10"/>
      <c r="B593" s="10"/>
      <c r="C593" s="10"/>
      <c r="D593" s="102" t="s">
        <v>589</v>
      </c>
      <c r="E593" s="102"/>
      <c r="F593" s="102"/>
      <c r="G593" s="102"/>
      <c r="H593" s="102"/>
      <c r="I593" s="10"/>
      <c r="J593" s="10"/>
      <c r="K593" s="10"/>
    </row>
  </sheetData>
  <mergeCells count="177">
    <mergeCell ref="B592:C592"/>
    <mergeCell ref="D593:H593"/>
    <mergeCell ref="D585:I585"/>
    <mergeCell ref="J585:K585"/>
    <mergeCell ref="D586:I586"/>
    <mergeCell ref="J586:K586"/>
    <mergeCell ref="B589:C589"/>
    <mergeCell ref="D590:H590"/>
    <mergeCell ref="J582:K582"/>
    <mergeCell ref="A582:I582"/>
    <mergeCell ref="D583:I583"/>
    <mergeCell ref="J583:K583"/>
    <mergeCell ref="D584:I584"/>
    <mergeCell ref="J584:K584"/>
    <mergeCell ref="D576:I576"/>
    <mergeCell ref="J576:K576"/>
    <mergeCell ref="D577:I577"/>
    <mergeCell ref="J577:K577"/>
    <mergeCell ref="J579:K579"/>
    <mergeCell ref="A579:I579"/>
    <mergeCell ref="J553:K553"/>
    <mergeCell ref="J561:K561"/>
    <mergeCell ref="J571:K571"/>
    <mergeCell ref="J573:K573"/>
    <mergeCell ref="A573:I573"/>
    <mergeCell ref="D575:I575"/>
    <mergeCell ref="J575:K575"/>
    <mergeCell ref="J493:K493"/>
    <mergeCell ref="J505:K505"/>
    <mergeCell ref="J518:K518"/>
    <mergeCell ref="J531:K531"/>
    <mergeCell ref="J537:K537"/>
    <mergeCell ref="J545:K545"/>
    <mergeCell ref="J437:K437"/>
    <mergeCell ref="J448:K448"/>
    <mergeCell ref="J459:K459"/>
    <mergeCell ref="J470:K470"/>
    <mergeCell ref="J478:K478"/>
    <mergeCell ref="J486:K486"/>
    <mergeCell ref="D405:I405"/>
    <mergeCell ref="J405:K405"/>
    <mergeCell ref="A407:L407"/>
    <mergeCell ref="J414:K414"/>
    <mergeCell ref="J424:K424"/>
    <mergeCell ref="J430:K430"/>
    <mergeCell ref="J399:K399"/>
    <mergeCell ref="J401:K401"/>
    <mergeCell ref="A401:I401"/>
    <mergeCell ref="D403:I403"/>
    <mergeCell ref="J403:K403"/>
    <mergeCell ref="D404:I404"/>
    <mergeCell ref="J404:K404"/>
    <mergeCell ref="D362:I362"/>
    <mergeCell ref="J362:K362"/>
    <mergeCell ref="A364:L364"/>
    <mergeCell ref="J375:K375"/>
    <mergeCell ref="J383:K383"/>
    <mergeCell ref="J391:K391"/>
    <mergeCell ref="J358:K358"/>
    <mergeCell ref="A358:I358"/>
    <mergeCell ref="D360:I360"/>
    <mergeCell ref="J360:K360"/>
    <mergeCell ref="D361:I361"/>
    <mergeCell ref="J361:K361"/>
    <mergeCell ref="D327:I327"/>
    <mergeCell ref="J327:K327"/>
    <mergeCell ref="A329:L329"/>
    <mergeCell ref="J337:K337"/>
    <mergeCell ref="J345:K345"/>
    <mergeCell ref="J356:K356"/>
    <mergeCell ref="J321:K321"/>
    <mergeCell ref="J323:K323"/>
    <mergeCell ref="A323:I323"/>
    <mergeCell ref="D325:I325"/>
    <mergeCell ref="J325:K325"/>
    <mergeCell ref="D326:I326"/>
    <mergeCell ref="J326:K326"/>
    <mergeCell ref="J260:K260"/>
    <mergeCell ref="J273:K273"/>
    <mergeCell ref="J281:K281"/>
    <mergeCell ref="J292:K292"/>
    <mergeCell ref="J298:K298"/>
    <mergeCell ref="J305:K305"/>
    <mergeCell ref="D226:I226"/>
    <mergeCell ref="J226:K226"/>
    <mergeCell ref="A228:L228"/>
    <mergeCell ref="J239:K239"/>
    <mergeCell ref="J247:K247"/>
    <mergeCell ref="J253:K253"/>
    <mergeCell ref="J222:K222"/>
    <mergeCell ref="A222:I222"/>
    <mergeCell ref="D224:I224"/>
    <mergeCell ref="J224:K224"/>
    <mergeCell ref="D225:I225"/>
    <mergeCell ref="J225:K225"/>
    <mergeCell ref="A176:L176"/>
    <mergeCell ref="J187:K187"/>
    <mergeCell ref="J195:K195"/>
    <mergeCell ref="J201:K201"/>
    <mergeCell ref="J208:K208"/>
    <mergeCell ref="J220:K220"/>
    <mergeCell ref="D172:I172"/>
    <mergeCell ref="J172:K172"/>
    <mergeCell ref="D173:I173"/>
    <mergeCell ref="J173:K173"/>
    <mergeCell ref="D174:I174"/>
    <mergeCell ref="J174:K174"/>
    <mergeCell ref="J137:K137"/>
    <mergeCell ref="J143:K143"/>
    <mergeCell ref="J150:K150"/>
    <mergeCell ref="J168:K168"/>
    <mergeCell ref="J170:K170"/>
    <mergeCell ref="A170:I170"/>
    <mergeCell ref="D115:I115"/>
    <mergeCell ref="J115:K115"/>
    <mergeCell ref="D116:I116"/>
    <mergeCell ref="J116:K116"/>
    <mergeCell ref="A118:L118"/>
    <mergeCell ref="J129:K129"/>
    <mergeCell ref="J101:K101"/>
    <mergeCell ref="J110:K110"/>
    <mergeCell ref="J112:K112"/>
    <mergeCell ref="A112:I112"/>
    <mergeCell ref="D114:I114"/>
    <mergeCell ref="J114:K114"/>
    <mergeCell ref="J50:K50"/>
    <mergeCell ref="J60:K60"/>
    <mergeCell ref="J67:K67"/>
    <mergeCell ref="J74:K74"/>
    <mergeCell ref="J82:K82"/>
    <mergeCell ref="J90:K90"/>
    <mergeCell ref="J33:J35"/>
    <mergeCell ref="K33:K35"/>
    <mergeCell ref="A34:A35"/>
    <mergeCell ref="B34:B35"/>
    <mergeCell ref="A38:L38"/>
    <mergeCell ref="A40:L40"/>
    <mergeCell ref="H31:I31"/>
    <mergeCell ref="A33:B33"/>
    <mergeCell ref="C33:C35"/>
    <mergeCell ref="D33:D35"/>
    <mergeCell ref="E33:E35"/>
    <mergeCell ref="F33:F35"/>
    <mergeCell ref="G33:G35"/>
    <mergeCell ref="H33:H35"/>
    <mergeCell ref="I33:I35"/>
    <mergeCell ref="J22:L22"/>
    <mergeCell ref="G24:G25"/>
    <mergeCell ref="H24:H25"/>
    <mergeCell ref="I24:J24"/>
    <mergeCell ref="A28:L28"/>
    <mergeCell ref="A29:L29"/>
    <mergeCell ref="C18:H18"/>
    <mergeCell ref="G19:I19"/>
    <mergeCell ref="J19:L19"/>
    <mergeCell ref="G20:H20"/>
    <mergeCell ref="J20:L20"/>
    <mergeCell ref="J21:L21"/>
    <mergeCell ref="C16:H16"/>
    <mergeCell ref="J16:L17"/>
    <mergeCell ref="C17:H17"/>
    <mergeCell ref="C9:H9"/>
    <mergeCell ref="C10:H10"/>
    <mergeCell ref="J10:L11"/>
    <mergeCell ref="C11:H11"/>
    <mergeCell ref="C12:H12"/>
    <mergeCell ref="J12:L13"/>
    <mergeCell ref="C13:H13"/>
    <mergeCell ref="I2:L2"/>
    <mergeCell ref="I3:L3"/>
    <mergeCell ref="I4:L4"/>
    <mergeCell ref="J6:L6"/>
    <mergeCell ref="J7:L7"/>
    <mergeCell ref="J8:L9"/>
    <mergeCell ref="C14:H14"/>
    <mergeCell ref="J14:L15"/>
    <mergeCell ref="C15:H15"/>
  </mergeCells>
  <pageMargins left="0.4" right="0.2" top="0.2" bottom="0.4" header="0.2" footer="0.2"/>
  <pageSetup paperSize="9" scale="60" fitToHeight="0" orientation="portrait" horizontalDpi="0" verticalDpi="0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05"/>
  <sheetViews>
    <sheetView zoomScaleNormal="100" workbookViewId="0">
      <selection activeCell="J64" sqref="J64"/>
    </sheetView>
  </sheetViews>
  <sheetFormatPr defaultRowHeight="12.75"/>
  <cols>
    <col min="1" max="1" width="6.7109375" style="57" customWidth="1"/>
    <col min="2" max="2" width="75.7109375" style="57" customWidth="1"/>
    <col min="3" max="4" width="15.7109375" style="67" customWidth="1"/>
    <col min="5" max="5" width="15.7109375" style="57" customWidth="1"/>
    <col min="6" max="30" width="9.140625" style="57"/>
    <col min="31" max="31" width="129.7109375" style="57" customWidth="1"/>
    <col min="32" max="16384" width="9.140625" style="57"/>
  </cols>
  <sheetData>
    <row r="1" spans="1:4">
      <c r="A1" s="57" t="str">
        <f>Source!B1</f>
        <v>Smeta.RU  (495) 974-1589</v>
      </c>
    </row>
    <row r="3" spans="1:4">
      <c r="D3" s="68" t="s">
        <v>552</v>
      </c>
    </row>
    <row r="4" spans="1:4">
      <c r="C4" s="68"/>
      <c r="D4" s="68"/>
    </row>
    <row r="5" spans="1:4">
      <c r="C5" s="118" t="s">
        <v>625</v>
      </c>
      <c r="D5" s="118"/>
    </row>
    <row r="6" spans="1:4">
      <c r="C6" s="69"/>
      <c r="D6" s="69"/>
    </row>
    <row r="7" spans="1:4">
      <c r="C7" s="118" t="s">
        <v>625</v>
      </c>
      <c r="D7" s="118"/>
    </row>
    <row r="8" spans="1:4">
      <c r="C8" s="69"/>
      <c r="D8" s="69"/>
    </row>
    <row r="9" spans="1:4">
      <c r="C9" s="68" t="s">
        <v>626</v>
      </c>
    </row>
    <row r="11" spans="1:4">
      <c r="A11" s="119" t="str">
        <f>CONCATENATE("Дефектный акт ", IF(Source!AN15&lt;&gt;"", Source!AN15," "))</f>
        <v xml:space="preserve">Дефектный акт  </v>
      </c>
      <c r="B11" s="119"/>
      <c r="C11" s="119"/>
      <c r="D11" s="119"/>
    </row>
    <row r="12" spans="1:4" ht="47.25" customHeight="1">
      <c r="A12" s="119" t="str">
        <f>Source!G20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  <c r="B12" s="119"/>
      <c r="C12" s="119"/>
      <c r="D12" s="119"/>
    </row>
    <row r="14" spans="1:4">
      <c r="B14" s="58" t="s">
        <v>627</v>
      </c>
    </row>
    <row r="15" spans="1:4">
      <c r="B15" s="58" t="s">
        <v>628</v>
      </c>
    </row>
    <row r="16" spans="1:4">
      <c r="B16" s="58" t="s">
        <v>629</v>
      </c>
    </row>
    <row r="17" spans="1:5" ht="25.5">
      <c r="A17" s="59" t="s">
        <v>630</v>
      </c>
      <c r="B17" s="59" t="s">
        <v>565</v>
      </c>
      <c r="C17" s="59" t="s">
        <v>566</v>
      </c>
      <c r="D17" s="59" t="s">
        <v>631</v>
      </c>
      <c r="E17" s="39" t="s">
        <v>632</v>
      </c>
    </row>
    <row r="18" spans="1:5">
      <c r="A18" s="60">
        <v>1</v>
      </c>
      <c r="B18" s="60">
        <v>2</v>
      </c>
      <c r="C18" s="60">
        <v>3</v>
      </c>
      <c r="D18" s="60">
        <v>4</v>
      </c>
      <c r="E18" s="61">
        <v>5</v>
      </c>
    </row>
    <row r="19" spans="1:5">
      <c r="A19" s="62" t="str">
        <f>Source!E28</f>
        <v>1</v>
      </c>
      <c r="B19" s="63" t="str">
        <f>Source!G28</f>
        <v>Устройство корыта под цветники глубиной 40 см механизированным способом</v>
      </c>
      <c r="C19" s="70" t="str">
        <f>Source!H28</f>
        <v>100 м2</v>
      </c>
      <c r="D19" s="60">
        <f>Source!I28</f>
        <v>0.5625</v>
      </c>
      <c r="E19" s="62"/>
    </row>
    <row r="20" spans="1:5" ht="25.5">
      <c r="A20" s="62" t="str">
        <f>Source!E29</f>
        <v>2</v>
      </c>
      <c r="B20" s="63" t="str">
        <f>Source!G29</f>
        <v>Добавлять или исключать на каждые 10 см изменения глубины корыта под цветники механизированным способом к поз. 4-3203-7-1</v>
      </c>
      <c r="C20" s="70" t="str">
        <f>Source!H29</f>
        <v>100 м2</v>
      </c>
      <c r="D20" s="60">
        <f>Source!I29</f>
        <v>-0.5625</v>
      </c>
      <c r="E20" s="62"/>
    </row>
    <row r="21" spans="1:5">
      <c r="A21" s="62" t="str">
        <f>Source!E30</f>
        <v>3</v>
      </c>
      <c r="B21" s="63" t="str">
        <f>Source!G30</f>
        <v>Устройство корыта под цветники глубиной 40 см вручную</v>
      </c>
      <c r="C21" s="70" t="str">
        <f>Source!H30</f>
        <v>100 м2</v>
      </c>
      <c r="D21" s="60">
        <f>Source!I30</f>
        <v>0.1875</v>
      </c>
      <c r="E21" s="62"/>
    </row>
    <row r="22" spans="1:5" ht="25.5">
      <c r="A22" s="62" t="str">
        <f>Source!E31</f>
        <v>4</v>
      </c>
      <c r="B22" s="63" t="str">
        <f>Source!G31</f>
        <v>Добавлять или исключать на каждые 10 см изменения глубины корыта под цветники вручную к поз. 4-3203-7-2</v>
      </c>
      <c r="C22" s="70" t="str">
        <f>Source!H31</f>
        <v>100 м2</v>
      </c>
      <c r="D22" s="60">
        <f>Source!I31</f>
        <v>-0.1875</v>
      </c>
      <c r="E22" s="62"/>
    </row>
    <row r="23" spans="1:5">
      <c r="A23" s="62" t="str">
        <f>Source!E32</f>
        <v>5</v>
      </c>
      <c r="B23" s="63" t="str">
        <f>Source!G32</f>
        <v>Подготовка почвы под цветники толщиной слоя насыпки 20 см</v>
      </c>
      <c r="C23" s="70" t="str">
        <f>Source!H32</f>
        <v>100 м2</v>
      </c>
      <c r="D23" s="60">
        <f>Source!I32</f>
        <v>0.75</v>
      </c>
      <c r="E23" s="62"/>
    </row>
    <row r="24" spans="1:5" ht="25.5">
      <c r="A24" s="62" t="str">
        <f>Source!E33</f>
        <v>6</v>
      </c>
      <c r="B24" s="63" t="str">
        <f>Source!G33</f>
        <v>Добавлять или исключать на каждые 5 см изменения толщины слоя почвы под цветники к поз. 4-3203-6-1</v>
      </c>
      <c r="C24" s="70" t="str">
        <f>Source!H33</f>
        <v>100 м2</v>
      </c>
      <c r="D24" s="60">
        <f>Source!I33</f>
        <v>0.75</v>
      </c>
      <c r="E24" s="62"/>
    </row>
    <row r="25" spans="1:5">
      <c r="A25" s="62" t="str">
        <f>Source!E34</f>
        <v>7</v>
      </c>
      <c r="B25" s="63" t="str">
        <f>Source!G34</f>
        <v>Посадка многолетних цветников при густоте посадки 1,6 тыс.шт. цветов</v>
      </c>
      <c r="C25" s="70" t="str">
        <f>Source!H34</f>
        <v>100 м2</v>
      </c>
      <c r="D25" s="60">
        <f>Source!I34</f>
        <v>0.75</v>
      </c>
      <c r="E25" s="62"/>
    </row>
    <row r="26" spans="1:5">
      <c r="A26" s="62" t="str">
        <f>Source!E35</f>
        <v>7,1</v>
      </c>
      <c r="B26" s="63" t="str">
        <f>Source!G35</f>
        <v>Посадочный материал цветочных культур</v>
      </c>
      <c r="C26" s="70" t="str">
        <f>Source!H35</f>
        <v>шт.</v>
      </c>
      <c r="D26" s="60">
        <f>Source!I35</f>
        <v>1260</v>
      </c>
      <c r="E26" s="62"/>
    </row>
    <row r="27" spans="1:5">
      <c r="A27" s="62" t="str">
        <f>Source!E36</f>
        <v>7,2</v>
      </c>
      <c r="B27" s="63" t="str">
        <f>Source!G36</f>
        <v>Посадочный материал многолетних культур: котовник фассена, С3</v>
      </c>
      <c r="C27" s="70" t="str">
        <f>Source!H36</f>
        <v>шт.</v>
      </c>
      <c r="D27" s="60">
        <f>Source!I36</f>
        <v>315</v>
      </c>
      <c r="E27" s="62"/>
    </row>
    <row r="28" spans="1:5">
      <c r="A28" s="62" t="str">
        <f>Source!E37</f>
        <v>7,3</v>
      </c>
      <c r="B28" s="63" t="str">
        <f>Source!G37</f>
        <v>Посадочный материал многолетних культур: гейхера в ассортименте</v>
      </c>
      <c r="C28" s="70" t="str">
        <f>Source!H37</f>
        <v>шт.</v>
      </c>
      <c r="D28" s="60">
        <f>Source!I37</f>
        <v>480</v>
      </c>
      <c r="E28" s="62"/>
    </row>
    <row r="29" spans="1:5" ht="25.5">
      <c r="A29" s="62" t="str">
        <f>Source!E38</f>
        <v>8</v>
      </c>
      <c r="B29" s="63" t="str">
        <f>Source!G38</f>
        <v>Добавлять или исключать на каждые 1000 шт. высаживаемых цветов к поз. 4-3203-8-1</v>
      </c>
      <c r="C29" s="70" t="str">
        <f>Source!H38</f>
        <v>100 м2</v>
      </c>
      <c r="D29" s="60">
        <f>Source!I38</f>
        <v>-0.75</v>
      </c>
      <c r="E29" s="62"/>
    </row>
    <row r="30" spans="1:5">
      <c r="A30" s="62" t="str">
        <f>Source!E39</f>
        <v>8,1</v>
      </c>
      <c r="B30" s="63" t="str">
        <f>Source!G39</f>
        <v>Посадочный материал цветочных культур</v>
      </c>
      <c r="C30" s="70" t="str">
        <f>Source!H39</f>
        <v>шт.</v>
      </c>
      <c r="D30" s="60">
        <f>Source!I39</f>
        <v>-465</v>
      </c>
      <c r="E30" s="62"/>
    </row>
    <row r="31" spans="1:5" hidden="1">
      <c r="A31" s="117" t="str">
        <f>CONCATENATE("Раздел: ", Source!G73)</f>
        <v>Раздел: Посадка кустарников - 229шт.</v>
      </c>
      <c r="B31" s="117"/>
      <c r="C31" s="117"/>
      <c r="D31" s="117"/>
      <c r="E31" s="117"/>
    </row>
    <row r="32" spans="1:5" ht="38.25">
      <c r="A32" s="62" t="str">
        <f>Source!E77</f>
        <v>9</v>
      </c>
      <c r="B32" s="63" t="str">
        <f>Source!G77</f>
        <v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100%</v>
      </c>
      <c r="C32" s="70" t="str">
        <f>Source!H77</f>
        <v>10 ям</v>
      </c>
      <c r="D32" s="60">
        <f>Source!I77</f>
        <v>9.16</v>
      </c>
      <c r="E32" s="62"/>
    </row>
    <row r="33" spans="1:5" ht="25.5">
      <c r="A33" s="62" t="str">
        <f>Source!E78</f>
        <v>10</v>
      </c>
      <c r="B33" s="63" t="str">
        <f>Source!G78</f>
        <v>Подготовка стандартных посадочных мест вручную, с круглым комом земли размером 0,3х0,3 м с добавлением растительной земли до 100%</v>
      </c>
      <c r="C33" s="70" t="str">
        <f>Source!H78</f>
        <v>10 ям</v>
      </c>
      <c r="D33" s="60">
        <f>Source!I78</f>
        <v>13.74</v>
      </c>
      <c r="E33" s="62"/>
    </row>
    <row r="34" spans="1:5" ht="63.75">
      <c r="A34" s="62" t="str">
        <f>Source!E79</f>
        <v>11</v>
      </c>
      <c r="B34" s="63" t="str">
        <f>Source!G79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табл.1 - 0,28м3 * 229кустов =64,12м3 - при слое 20 см покрываемая площадь 64,12м3/0,2м х 0,75)</v>
      </c>
      <c r="C34" s="70" t="str">
        <f>Source!H79</f>
        <v>100 м2</v>
      </c>
      <c r="D34" s="60">
        <f>Source!I79</f>
        <v>2.4045000000000001</v>
      </c>
      <c r="E34" s="62"/>
    </row>
    <row r="35" spans="1:5" ht="38.25">
      <c r="A35" s="62" t="str">
        <f>Source!E80</f>
        <v>12</v>
      </c>
      <c r="B35" s="63" t="str">
        <f>Source!G80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64,12м3/0,2м х 0,25)</v>
      </c>
      <c r="C35" s="70" t="str">
        <f>Source!H80</f>
        <v>100 м2</v>
      </c>
      <c r="D35" s="60">
        <f>Source!I80</f>
        <v>0.80149999999999999</v>
      </c>
      <c r="E35" s="62"/>
    </row>
    <row r="36" spans="1:5" ht="25.5">
      <c r="A36" s="62" t="str">
        <f>Source!E81</f>
        <v>13</v>
      </c>
      <c r="B36" s="63" t="str">
        <f>Source!G81</f>
        <v>Посадка деревьев и кустарников с комом земли, диаметром 0,3 м и высотой 0,3 м (без стоимости деревьев и кустарников)</v>
      </c>
      <c r="C36" s="70" t="str">
        <f>Source!H81</f>
        <v>10 шт.</v>
      </c>
      <c r="D36" s="60">
        <f>Source!I81</f>
        <v>22.9</v>
      </c>
      <c r="E36" s="62"/>
    </row>
    <row r="37" spans="1:5" ht="25.5">
      <c r="A37" s="62" t="str">
        <f>Source!E82</f>
        <v>13,1</v>
      </c>
      <c r="B37" s="63" t="str">
        <f>Source!G82</f>
        <v>Кустарники декоративные с закрытой корневой системой: гортензия древовидная, С10 ( ком земли 0,3м * 0,3м)</v>
      </c>
      <c r="C37" s="70" t="str">
        <f>Source!H82</f>
        <v>шт.</v>
      </c>
      <c r="D37" s="60">
        <f>Source!I82</f>
        <v>20</v>
      </c>
      <c r="E37" s="62"/>
    </row>
    <row r="38" spans="1:5" ht="25.5">
      <c r="A38" s="62" t="str">
        <f>Source!E83</f>
        <v>13,2</v>
      </c>
      <c r="B38" s="63" t="str">
        <f>Source!G83</f>
        <v>Кустарники декоративные с комом земли: Бересклет крылатый, высота 0,3 м, диаметр 0,3 м</v>
      </c>
      <c r="C38" s="70" t="str">
        <f>Source!H83</f>
        <v>шт.</v>
      </c>
      <c r="D38" s="60">
        <f>Source!I83</f>
        <v>2</v>
      </c>
      <c r="E38" s="62"/>
    </row>
    <row r="39" spans="1:5" ht="25.5">
      <c r="A39" s="62" t="str">
        <f>Source!E84</f>
        <v>13,3</v>
      </c>
      <c r="B39" s="63" t="str">
        <f>Source!G84</f>
        <v>Кустарники декоративные с комом земли: Пузыреплодник, высота 0,3 м, диаметр 0,3 м</v>
      </c>
      <c r="C39" s="70" t="str">
        <f>Source!H84</f>
        <v>шт.</v>
      </c>
      <c r="D39" s="60">
        <f>Source!I84</f>
        <v>180</v>
      </c>
      <c r="E39" s="62"/>
    </row>
    <row r="40" spans="1:5">
      <c r="A40" s="62" t="str">
        <f>Source!E85</f>
        <v>13,4</v>
      </c>
      <c r="B40" s="63" t="str">
        <f>Source!G85</f>
        <v>Кустарники декоративные с комом земли: Барбарис, высота 0,3 м, диаметр 0,3 м</v>
      </c>
      <c r="C40" s="70" t="str">
        <f>Source!H85</f>
        <v>шт.</v>
      </c>
      <c r="D40" s="60">
        <f>Source!I85</f>
        <v>22</v>
      </c>
      <c r="E40" s="62"/>
    </row>
    <row r="41" spans="1:5" ht="25.5">
      <c r="A41" s="62" t="str">
        <f>Source!E86</f>
        <v>13,5</v>
      </c>
      <c r="B41" s="63" t="str">
        <f>Source!G86</f>
        <v>Кустарники декоративные с комом земли: Можжевельник Олд Голд, высота 0,3 м, диаметр 0,3 м</v>
      </c>
      <c r="C41" s="70" t="str">
        <f>Source!H86</f>
        <v>шт.</v>
      </c>
      <c r="D41" s="60">
        <f>Source!I86</f>
        <v>2</v>
      </c>
      <c r="E41" s="62"/>
    </row>
    <row r="42" spans="1:5" ht="25.5">
      <c r="A42" s="62" t="str">
        <f>Source!E87</f>
        <v>13,6</v>
      </c>
      <c r="B42" s="63" t="str">
        <f>Source!G87</f>
        <v>Кустарники декоративные с комом земли: Можжевельник Блю Эрроу, высота 0,3 м, диаметр 0,3 м</v>
      </c>
      <c r="C42" s="70" t="str">
        <f>Source!H87</f>
        <v>шт.</v>
      </c>
      <c r="D42" s="60">
        <f>Source!I87</f>
        <v>2</v>
      </c>
      <c r="E42" s="62"/>
    </row>
    <row r="43" spans="1:5" ht="25.5">
      <c r="A43" s="62" t="str">
        <f>Source!E88</f>
        <v>13,7</v>
      </c>
      <c r="B43" s="63" t="str">
        <f>Source!G88</f>
        <v>Кустарники декоративные с комом земли: Можжевельник Грей Овал, высота 0,3 м, диаметр 0,3 м</v>
      </c>
      <c r="C43" s="70" t="str">
        <f>Source!H88</f>
        <v>шт.</v>
      </c>
      <c r="D43" s="60">
        <f>Source!I88</f>
        <v>1</v>
      </c>
      <c r="E43" s="62"/>
    </row>
    <row r="44" spans="1:5" hidden="1">
      <c r="A44" s="117" t="str">
        <f>CONCATENATE("Раздел: ", Source!G122)</f>
        <v>Раздел: Посадка деревьев лиственных - 4шт.</v>
      </c>
      <c r="B44" s="117"/>
      <c r="C44" s="117"/>
      <c r="D44" s="117"/>
      <c r="E44" s="117"/>
    </row>
    <row r="45" spans="1:5" ht="38.25">
      <c r="A45" s="62" t="str">
        <f>Source!E126</f>
        <v>14</v>
      </c>
      <c r="B45" s="63" t="str">
        <f>Source!G126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C45" s="70" t="str">
        <f>Source!H126</f>
        <v>10 ям</v>
      </c>
      <c r="D45" s="60">
        <f>Source!I126</f>
        <v>0.24</v>
      </c>
      <c r="E45" s="62"/>
    </row>
    <row r="46" spans="1:5" ht="25.5">
      <c r="A46" s="62" t="str">
        <f>Source!E127</f>
        <v>15</v>
      </c>
      <c r="B46" s="63" t="str">
        <f>Source!G127</f>
        <v>Подготовка стандартных посадочных мест вручную, с круглым комом земли размером 0,8х0,6 м с добавлением растительной земли до 100%</v>
      </c>
      <c r="C46" s="70" t="str">
        <f>Source!H127</f>
        <v>10 ям</v>
      </c>
      <c r="D46" s="60">
        <f>Source!I127</f>
        <v>0.16</v>
      </c>
      <c r="E46" s="62"/>
    </row>
    <row r="47" spans="1:5" ht="63.75">
      <c r="A47" s="62" t="str">
        <f>Source!E128</f>
        <v>16</v>
      </c>
      <c r="B47" s="63" t="str">
        <f>Source!G128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4дерева =4,52м3 - при слое 20 см покрываемая площадь 4,52м3/0,2м х 0,75)</v>
      </c>
      <c r="C47" s="70" t="str">
        <f>Source!H128</f>
        <v>100 м2</v>
      </c>
      <c r="D47" s="60">
        <f>Source!I128</f>
        <v>0.16950000000000001</v>
      </c>
      <c r="E47" s="62"/>
    </row>
    <row r="48" spans="1:5" ht="38.25">
      <c r="A48" s="62" t="str">
        <f>Source!E129</f>
        <v>17</v>
      </c>
      <c r="B48" s="63" t="str">
        <f>Source!G129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4,52м3/0,2м х 0,25)</v>
      </c>
      <c r="C48" s="70" t="str">
        <f>Source!H129</f>
        <v>100 м2</v>
      </c>
      <c r="D48" s="60">
        <f>Source!I129</f>
        <v>5.6500000000000002E-2</v>
      </c>
      <c r="E48" s="62"/>
    </row>
    <row r="49" spans="1:5" ht="25.5">
      <c r="A49" s="62" t="str">
        <f>Source!E130</f>
        <v>18</v>
      </c>
      <c r="B49" s="63" t="str">
        <f>Source!G130</f>
        <v>Посадка деревьев и кустарников с комом земли, диаметром 0,8 м и высотой 0,6 м (без стоимости деревьев и кустарников)</v>
      </c>
      <c r="C49" s="70" t="str">
        <f>Source!H130</f>
        <v>10 шт.</v>
      </c>
      <c r="D49" s="60">
        <f>Source!I130</f>
        <v>0.4</v>
      </c>
      <c r="E49" s="62"/>
    </row>
    <row r="50" spans="1:5" ht="25.5">
      <c r="A50" s="62" t="str">
        <f>Source!E131</f>
        <v>18,1</v>
      </c>
      <c r="B50" s="63" t="str">
        <f>Source!G131</f>
        <v>Деревья декоративные лиственных пород с комом земли, порода: Яблоня декоративная (шар), высота - 1,2 -1,4м, размер кома: диаметр-0,8 м, высота-0,6 м</v>
      </c>
      <c r="C50" s="70" t="str">
        <f>Source!H131</f>
        <v>шт.</v>
      </c>
      <c r="D50" s="60">
        <f>Source!I131</f>
        <v>4</v>
      </c>
      <c r="E50" s="62"/>
    </row>
    <row r="51" spans="1:5" hidden="1">
      <c r="A51" s="117" t="str">
        <f>CONCATENATE("Раздел: ", Source!G165)</f>
        <v>Раздел: Посадка деревьев хвойных - 21шт.</v>
      </c>
      <c r="B51" s="117"/>
      <c r="C51" s="117"/>
      <c r="D51" s="117"/>
      <c r="E51" s="117"/>
    </row>
    <row r="52" spans="1:5" ht="38.25">
      <c r="A52" s="62" t="str">
        <f>Source!E169</f>
        <v>19</v>
      </c>
      <c r="B52" s="63" t="str">
        <f>Source!G169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C52" s="70" t="str">
        <f>Source!H169</f>
        <v>10 ям</v>
      </c>
      <c r="D52" s="60">
        <f>Source!I169</f>
        <v>0.24</v>
      </c>
      <c r="E52" s="62"/>
    </row>
    <row r="53" spans="1:5" ht="25.5">
      <c r="A53" s="62" t="str">
        <f>Source!E170</f>
        <v>20</v>
      </c>
      <c r="B53" s="63" t="str">
        <f>Source!G170</f>
        <v>Подготовка стандартных посадочных мест вручную, с круглым комом земли размером 0,8х0,6 м с добавлением растительной земли до 100%</v>
      </c>
      <c r="C53" s="70" t="str">
        <f>Source!H170</f>
        <v>10 ям</v>
      </c>
      <c r="D53" s="60">
        <f>Source!I170</f>
        <v>0.16</v>
      </c>
      <c r="E53" s="62"/>
    </row>
    <row r="54" spans="1:5" ht="63.75">
      <c r="A54" s="62" t="str">
        <f>Source!E171</f>
        <v>21</v>
      </c>
      <c r="B54" s="63" t="str">
        <f>Source!G171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4дерева =4,52м3 - при слое 20 см покрываемая площадь 4,52м3/0,2м х 0,75)</v>
      </c>
      <c r="C54" s="70" t="str">
        <f>Source!H171</f>
        <v>100 м2</v>
      </c>
      <c r="D54" s="60">
        <f>Source!I171</f>
        <v>0.16950000000000001</v>
      </c>
      <c r="E54" s="62"/>
    </row>
    <row r="55" spans="1:5" ht="38.25">
      <c r="A55" s="62" t="str">
        <f>Source!E172</f>
        <v>22</v>
      </c>
      <c r="B55" s="63" t="str">
        <f>Source!G172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4,52м3/0,2м х 0,25)</v>
      </c>
      <c r="C55" s="70" t="str">
        <f>Source!H172</f>
        <v>100 м2</v>
      </c>
      <c r="D55" s="60">
        <f>Source!I172</f>
        <v>5.6500000000000002E-2</v>
      </c>
      <c r="E55" s="62"/>
    </row>
    <row r="56" spans="1:5" ht="25.5">
      <c r="A56" s="62" t="str">
        <f>Source!E173</f>
        <v>23</v>
      </c>
      <c r="B56" s="63" t="str">
        <f>Source!G173</f>
        <v>Посадка деревьев и кустарников с комом земли, диаметром 0,8 м и высотой 0,6 м (без стоимости деревьев и кустарников)</v>
      </c>
      <c r="C56" s="70" t="str">
        <f>Source!H173</f>
        <v>10 шт.</v>
      </c>
      <c r="D56" s="60">
        <f>Source!I173</f>
        <v>0.4</v>
      </c>
      <c r="E56" s="62"/>
    </row>
    <row r="57" spans="1:5" ht="25.5">
      <c r="A57" s="62" t="str">
        <f>Source!E174</f>
        <v>23,1</v>
      </c>
      <c r="B57" s="63" t="str">
        <f>Source!G174</f>
        <v>Деревья хвойные садовых форм с комом земли, порода: Ель Глаука Глобоза высота - 1,8-2,2 м, размер кома 1,3х1,3х0,6 м</v>
      </c>
      <c r="C57" s="70" t="str">
        <f>Source!H174</f>
        <v>шт.</v>
      </c>
      <c r="D57" s="60">
        <f>Source!I174</f>
        <v>2</v>
      </c>
      <c r="E57" s="62"/>
    </row>
    <row r="58" spans="1:5" ht="25.5">
      <c r="A58" s="62" t="str">
        <f>Source!E175</f>
        <v>23,2</v>
      </c>
      <c r="B58" s="63" t="str">
        <f>Source!G175</f>
        <v>Деревья хвойные садовых форм с комом земли, порода:  Сосна Нигра, высота - 1,8-2,2 м, размер кома 1,3х1,3х0,6 м</v>
      </c>
      <c r="C58" s="70" t="str">
        <f>Source!H175</f>
        <v>шт.</v>
      </c>
      <c r="D58" s="60">
        <f>Source!I175</f>
        <v>2</v>
      </c>
      <c r="E58" s="62"/>
    </row>
    <row r="59" spans="1:5" ht="25.5">
      <c r="A59" s="62" t="str">
        <f>Source!E176</f>
        <v>24</v>
      </c>
      <c r="B59" s="63" t="str">
        <f>Source!G176</f>
        <v>Подготовка стандартных посадочных мест вручную, с круглым комом земли размером 0,5х0,4 м с добавлением растительной земли до 100%</v>
      </c>
      <c r="C59" s="70" t="str">
        <f>Source!H176</f>
        <v>10 ям</v>
      </c>
      <c r="D59" s="60">
        <f>Source!I176</f>
        <v>0.68</v>
      </c>
      <c r="E59" s="62"/>
    </row>
    <row r="60" spans="1:5" ht="38.25">
      <c r="A60" s="62" t="str">
        <f>Source!E177</f>
        <v>25</v>
      </c>
      <c r="B60" s="63" t="str">
        <f>Source!G177</f>
        <v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100%</v>
      </c>
      <c r="C60" s="70" t="str">
        <f>Source!H177</f>
        <v>10 ям</v>
      </c>
      <c r="D60" s="60">
        <f>Source!I177</f>
        <v>1.02</v>
      </c>
      <c r="E60" s="62"/>
    </row>
    <row r="61" spans="1:5" ht="63.75">
      <c r="A61" s="62" t="str">
        <f>Source!E178</f>
        <v>26</v>
      </c>
      <c r="B61" s="63" t="str">
        <f>Source!G178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табл.1 - 0,51м3 * 17кустов =8,67м3 - при слое 20 см покрываемая площадь 8,67м3/0,2м х 0,75)</v>
      </c>
      <c r="C61" s="70" t="str">
        <f>Source!H178</f>
        <v>100 м2</v>
      </c>
      <c r="D61" s="60">
        <f>Source!I178</f>
        <v>0.3251</v>
      </c>
      <c r="E61" s="62"/>
    </row>
    <row r="62" spans="1:5" ht="38.25">
      <c r="A62" s="62" t="str">
        <f>Source!E179</f>
        <v>27</v>
      </c>
      <c r="B62" s="63" t="str">
        <f>Source!G179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8,67м3/0,2м х 0,25)</v>
      </c>
      <c r="C62" s="70" t="str">
        <f>Source!H179</f>
        <v>100 м2</v>
      </c>
      <c r="D62" s="60">
        <f>Source!I179</f>
        <v>0.10829999999999999</v>
      </c>
      <c r="E62" s="62"/>
    </row>
    <row r="63" spans="1:5" ht="25.5">
      <c r="A63" s="62" t="str">
        <f>Source!E180</f>
        <v>28</v>
      </c>
      <c r="B63" s="63" t="str">
        <f>Source!G180</f>
        <v>Посадка деревьев и кустарников с комом земли, диаметром 0,5 м и высотой 0,4 м (без стоимости деревьев и кустарников)</v>
      </c>
      <c r="C63" s="70" t="str">
        <f>Source!H180</f>
        <v>10 шт.</v>
      </c>
      <c r="D63" s="60">
        <f>Source!I180</f>
        <v>1.7</v>
      </c>
      <c r="E63" s="62"/>
    </row>
    <row r="64" spans="1:5" ht="25.5">
      <c r="A64" s="62" t="str">
        <f>Source!E181</f>
        <v>28,1</v>
      </c>
      <c r="B64" s="63" t="str">
        <f>Source!G181</f>
        <v>Деревья хвойные садовых форм с комом земли, порода:  Туя Брабант, высота - 1,2-1,4 м, размер кома 0,5м*0,4м</v>
      </c>
      <c r="C64" s="70" t="str">
        <f>Source!H181</f>
        <v>шт.</v>
      </c>
      <c r="D64" s="60">
        <f>Source!I181</f>
        <v>1</v>
      </c>
      <c r="E64" s="62"/>
    </row>
    <row r="65" spans="1:5" ht="25.5">
      <c r="A65" s="62" t="str">
        <f>Source!E182</f>
        <v>28,2</v>
      </c>
      <c r="B65" s="63" t="str">
        <f>Source!G182</f>
        <v>Деревья хвойные садовых форм с комом земли, порода:  Туя Смарагд (шар) , высота - 0,6-0,8м, размер кома 0,5м*0,4м</v>
      </c>
      <c r="C65" s="70" t="str">
        <f>Source!H182</f>
        <v>шт.</v>
      </c>
      <c r="D65" s="60">
        <f>Source!I182</f>
        <v>6</v>
      </c>
      <c r="E65" s="62"/>
    </row>
    <row r="66" spans="1:5" ht="25.5">
      <c r="A66" s="62" t="str">
        <f>Source!E183</f>
        <v>28,3</v>
      </c>
      <c r="B66" s="63" t="str">
        <f>Source!G183</f>
        <v>Деревья хвойные садовых форм с комом земли, порода:  Туя Вудварди, высота - 1,2-1,4 м, размер кома 0,5м*0,4м</v>
      </c>
      <c r="C66" s="70" t="str">
        <f>Source!H183</f>
        <v>шт.</v>
      </c>
      <c r="D66" s="60">
        <f>Source!I183</f>
        <v>3</v>
      </c>
      <c r="E66" s="62"/>
    </row>
    <row r="67" spans="1:5" ht="25.5">
      <c r="A67" s="62" t="str">
        <f>Source!E184</f>
        <v>28,4</v>
      </c>
      <c r="B67" s="63" t="str">
        <f>Source!G184</f>
        <v>Деревья хвойные садовых форм с комом земли, порода:  Туя Глобоза (шар), высота - 1,2 м, размер кома 0,5м*0,4м</v>
      </c>
      <c r="C67" s="70" t="str">
        <f>Source!H184</f>
        <v>шт.</v>
      </c>
      <c r="D67" s="60">
        <f>Source!I184</f>
        <v>3</v>
      </c>
      <c r="E67" s="62"/>
    </row>
    <row r="68" spans="1:5" ht="25.5">
      <c r="A68" s="62" t="str">
        <f>Source!E185</f>
        <v>28,5</v>
      </c>
      <c r="B68" s="63" t="str">
        <f>Source!G185</f>
        <v>Деревья хвойные садовых форм с комом земли, порода:  Туя Глаука Глобоза, высота - 1,2-1,4 м, размер кома 0,5м*0,4м</v>
      </c>
      <c r="C68" s="70" t="str">
        <f>Source!H185</f>
        <v>шт.</v>
      </c>
      <c r="D68" s="60">
        <f>Source!I185</f>
        <v>4</v>
      </c>
      <c r="E68" s="62"/>
    </row>
    <row r="69" spans="1:5" hidden="1">
      <c r="A69" s="117" t="str">
        <f>CONCATENATE("Раздел: ", Source!G219)</f>
        <v>Раздел: Декоративное украшение территори озеленения</v>
      </c>
      <c r="B69" s="117"/>
      <c r="C69" s="117"/>
      <c r="D69" s="117"/>
      <c r="E69" s="117"/>
    </row>
    <row r="70" spans="1:5" ht="25.5">
      <c r="A70" s="62" t="str">
        <f>Source!E223</f>
        <v>29</v>
      </c>
      <c r="B70" s="63" t="str">
        <f>Source!G223</f>
        <v>Укрытие цветников и газонов мульчирующими материалами вручную, толщина слоя 2 см</v>
      </c>
      <c r="C70" s="70" t="str">
        <f>Source!H223</f>
        <v>100 м2</v>
      </c>
      <c r="D70" s="60">
        <f>Source!I223</f>
        <v>0.35</v>
      </c>
      <c r="E70" s="62"/>
    </row>
    <row r="71" spans="1:5" ht="25.5">
      <c r="A71" s="62" t="str">
        <f>Source!E224</f>
        <v>30</v>
      </c>
      <c r="B71" s="63" t="str">
        <f>Source!G224</f>
        <v>Укрытие цветников и газонов мульчирующими материалами вручную, добавлять на каждый 1 см толщины слоя сверх 2 см</v>
      </c>
      <c r="C71" s="70" t="str">
        <f>Source!H224</f>
        <v>100 м2</v>
      </c>
      <c r="D71" s="60">
        <f>Source!I224</f>
        <v>0.35</v>
      </c>
      <c r="E71" s="62"/>
    </row>
    <row r="72" spans="1:5">
      <c r="A72" s="62" t="str">
        <f>Source!E225</f>
        <v>31</v>
      </c>
      <c r="B72" s="63" t="str">
        <f>Source!G225</f>
        <v>Устройство бордюра из мелкоштучных камней, установленных на ребро, для клумб</v>
      </c>
      <c r="C72" s="70" t="str">
        <f>Source!H225</f>
        <v>100 м</v>
      </c>
      <c r="D72" s="60">
        <f>Source!I225</f>
        <v>0.5</v>
      </c>
      <c r="E72" s="62"/>
    </row>
    <row r="73" spans="1:5" hidden="1">
      <c r="A73" s="117" t="str">
        <f>CONCATENATE("Раздел: ", Source!G259)</f>
        <v>Раздел: Ремонт газона (посевной) - 550м2 ( вокруг цветника с кустами и деревьями)</v>
      </c>
      <c r="B73" s="117"/>
      <c r="C73" s="117"/>
      <c r="D73" s="117"/>
      <c r="E73" s="117"/>
    </row>
    <row r="74" spans="1:5" ht="25.5">
      <c r="A74" s="62" t="str">
        <f>Source!E263</f>
        <v>32</v>
      </c>
      <c r="B74" s="63" t="str">
        <f>Source!G263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C74" s="70" t="str">
        <f>Source!H263</f>
        <v>100 м2</v>
      </c>
      <c r="D74" s="60">
        <f>Source!I263</f>
        <v>4.125</v>
      </c>
      <c r="E74" s="62"/>
    </row>
    <row r="75" spans="1:5" ht="25.5">
      <c r="A75" s="62" t="str">
        <f>Source!E264</f>
        <v>33</v>
      </c>
      <c r="B75" s="63" t="str">
        <f>Source!G264</f>
        <v>Подготовка почвы для устройства партерного и обыкновенного газонов с внесением растительной земли слоем 15 см вручную</v>
      </c>
      <c r="C75" s="70" t="str">
        <f>Source!H264</f>
        <v>100 м2</v>
      </c>
      <c r="D75" s="60">
        <f>Source!I264</f>
        <v>1.375</v>
      </c>
      <c r="E75" s="62"/>
    </row>
    <row r="76" spans="1:5" ht="25.5">
      <c r="A76" s="62" t="str">
        <f>Source!E265</f>
        <v>34</v>
      </c>
      <c r="B76" s="63" t="str">
        <f>Source!G265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C76" s="70" t="str">
        <f>Source!H265</f>
        <v>100 м2</v>
      </c>
      <c r="D76" s="60">
        <f>Source!I265</f>
        <v>-5.5</v>
      </c>
      <c r="E76" s="62"/>
    </row>
    <row r="77" spans="1:5">
      <c r="A77" s="62" t="str">
        <f>Source!E266</f>
        <v>35</v>
      </c>
      <c r="B77" s="63" t="str">
        <f>Source!G266</f>
        <v>Посев газонов партерных, мавританских, и обыкновенных вручную</v>
      </c>
      <c r="C77" s="70" t="str">
        <f>Source!H266</f>
        <v>100 м2</v>
      </c>
      <c r="D77" s="60">
        <f>Source!I266</f>
        <v>5.5</v>
      </c>
      <c r="E77" s="62"/>
    </row>
    <row r="78" spans="1:5" hidden="1">
      <c r="A78" s="117" t="str">
        <f>CONCATENATE("Раздел: ", Source!G300)</f>
        <v>Раздел: Стелла " Чертаново Центральное"</v>
      </c>
      <c r="B78" s="117"/>
      <c r="C78" s="117"/>
      <c r="D78" s="117"/>
      <c r="E78" s="117"/>
    </row>
    <row r="79" spans="1:5" ht="38.25">
      <c r="A79" s="62" t="str">
        <f>Source!E304</f>
        <v>36</v>
      </c>
      <c r="B79" s="63" t="str">
        <f>Source!G304</f>
        <v>Разработка грунта вручную в траншеях глубиной до 2 м без креплений с откосами, группа грунтов 1-3  ( 2,6м2*0,3м*0,1 (10%) ) с последующей планировкой прилегающей территории</v>
      </c>
      <c r="C79" s="70" t="str">
        <f>Source!H304</f>
        <v>100 м3</v>
      </c>
      <c r="D79" s="60">
        <f>Source!I304</f>
        <v>8.0000000000000004E-4</v>
      </c>
      <c r="E79" s="62"/>
    </row>
    <row r="80" spans="1:5" ht="25.5">
      <c r="A80" s="62" t="str">
        <f>Source!E305</f>
        <v>37</v>
      </c>
      <c r="B80" s="63" t="str">
        <f>Source!G305</f>
        <v>Разработка грунта с погрузкой на автомобили-самосвалы экскаваторами с ковшом вместимостью 0,5 м3, группа грунтов 1-3 ( 2,6м2*0,3м*0,9(90%))</v>
      </c>
      <c r="C80" s="70" t="str">
        <f>Source!H305</f>
        <v>100 м3</v>
      </c>
      <c r="D80" s="60">
        <f>Source!I305</f>
        <v>7.0000000000000001E-3</v>
      </c>
      <c r="E80" s="62"/>
    </row>
    <row r="81" spans="1:5" ht="51">
      <c r="A81" s="62" t="str">
        <f>Source!E306</f>
        <v>38</v>
      </c>
      <c r="B81" s="63" t="str">
        <f>Source!G306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(при слое 20 см покрываемая площадь 0,7м3/0,2м х 0,75)</v>
      </c>
      <c r="C81" s="70" t="str">
        <f>Source!H306</f>
        <v>100 м2</v>
      </c>
      <c r="D81" s="60">
        <f>Source!I306</f>
        <v>2.5999999999999999E-2</v>
      </c>
      <c r="E81" s="62"/>
    </row>
    <row r="82" spans="1:5" ht="38.25">
      <c r="A82" s="62" t="str">
        <f>Source!E307</f>
        <v>39</v>
      </c>
      <c r="B82" s="63" t="str">
        <f>Source!G307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0,7м3/0,2м х 0,25)</v>
      </c>
      <c r="C82" s="70" t="str">
        <f>Source!H307</f>
        <v>100 м2</v>
      </c>
      <c r="D82" s="60">
        <f>Source!I307</f>
        <v>8.9999999999999993E-3</v>
      </c>
      <c r="E82" s="62"/>
    </row>
    <row r="83" spans="1:5">
      <c r="A83" s="62" t="str">
        <f>Source!E308</f>
        <v>40</v>
      </c>
      <c r="B83" s="63" t="str">
        <f>Source!G308</f>
        <v>Устройство подстилающих и выравнивающих слоев оснований из песка</v>
      </c>
      <c r="C83" s="70" t="str">
        <f>Source!H308</f>
        <v>100 м3</v>
      </c>
      <c r="D83" s="60">
        <f>Source!I308</f>
        <v>2.5999999999999999E-3</v>
      </c>
      <c r="E83" s="62"/>
    </row>
    <row r="84" spans="1:5">
      <c r="A84" s="62" t="str">
        <f>Source!E309</f>
        <v>41</v>
      </c>
      <c r="B84" s="63" t="str">
        <f>Source!G309</f>
        <v>Устройство подстилающих и выравнивающих слоев оснований из щебня</v>
      </c>
      <c r="C84" s="70" t="str">
        <f>Source!H309</f>
        <v>100 м3</v>
      </c>
      <c r="D84" s="60">
        <f>Source!I309</f>
        <v>3.8999999999999998E-3</v>
      </c>
      <c r="E84" s="62"/>
    </row>
    <row r="85" spans="1:5">
      <c r="A85" s="62" t="str">
        <f>Source!E310</f>
        <v>42</v>
      </c>
      <c r="B85" s="63" t="str">
        <f>Source!G310</f>
        <v>Устройство фундаментных плит бетонных плоских</v>
      </c>
      <c r="C85" s="70" t="str">
        <f>Source!H310</f>
        <v>100 м3</v>
      </c>
      <c r="D85" s="60">
        <f>Source!I310</f>
        <v>3.8999999999999998E-3</v>
      </c>
      <c r="E85" s="62"/>
    </row>
    <row r="86" spans="1:5" ht="25.5">
      <c r="A86" s="62" t="str">
        <f>Source!E311</f>
        <v>43</v>
      </c>
      <c r="B86" s="63" t="str">
        <f>Source!G311</f>
        <v>Гидроизоляция стен, фундаментов боковая обмазочная битумная в 2 слоя по выровненной поверхности бутовой кладки, кирпичу, бетону</v>
      </c>
      <c r="C86" s="70" t="str">
        <f>Source!H311</f>
        <v>100 м2</v>
      </c>
      <c r="D86" s="60">
        <f>Source!I311</f>
        <v>4.4000000000000003E-3</v>
      </c>
      <c r="E86" s="62"/>
    </row>
    <row r="87" spans="1:5">
      <c r="A87" s="62" t="str">
        <f>Source!E312</f>
        <v>44</v>
      </c>
      <c r="B87" s="63" t="str">
        <f>Source!G312</f>
        <v>Окраска фасадов с лесов акриловой краской с подготовкой поверхности</v>
      </c>
      <c r="C87" s="70" t="str">
        <f>Source!H312</f>
        <v>100 м2</v>
      </c>
      <c r="D87" s="60">
        <f>Source!I312</f>
        <v>3.5000000000000003E-2</v>
      </c>
      <c r="E87" s="62"/>
    </row>
    <row r="88" spans="1:5">
      <c r="A88" s="62" t="str">
        <f>Source!E313</f>
        <v>45</v>
      </c>
      <c r="B88" s="63" t="str">
        <f>Source!G313</f>
        <v>Установка закладных деталей весом до 4 кг</v>
      </c>
      <c r="C88" s="70" t="str">
        <f>Source!H313</f>
        <v>т</v>
      </c>
      <c r="D88" s="60">
        <f>Source!I313</f>
        <v>0.86399999999999999</v>
      </c>
      <c r="E88" s="62"/>
    </row>
    <row r="89" spans="1:5">
      <c r="A89" s="62" t="str">
        <f>Source!E314</f>
        <v>46</v>
      </c>
      <c r="B89" s="63" t="str">
        <f>Source!G314</f>
        <v>Установка монтажных изделий массой свыше 20 кг</v>
      </c>
      <c r="C89" s="70" t="str">
        <f>Source!H314</f>
        <v>т</v>
      </c>
      <c r="D89" s="60">
        <f>Source!I314</f>
        <v>0.94499999999999995</v>
      </c>
      <c r="E89" s="62"/>
    </row>
    <row r="90" spans="1:5" ht="25.5">
      <c r="A90" s="62" t="str">
        <f>Source!E315</f>
        <v>46,1</v>
      </c>
      <c r="B90" s="63" t="str">
        <f>Source!G315</f>
        <v>Профили стальные электросварные прямоугольного сечения трубчатые, размер 40х60 мм, толщина стенки 3,0 мм</v>
      </c>
      <c r="C90" s="70" t="str">
        <f>Source!H315</f>
        <v>т</v>
      </c>
      <c r="D90" s="60">
        <f>Source!I315</f>
        <v>0.61147099999999999</v>
      </c>
      <c r="E90" s="62"/>
    </row>
    <row r="91" spans="1:5">
      <c r="A91" s="62" t="str">
        <f>Source!E316</f>
        <v>46,2</v>
      </c>
      <c r="B91" s="63" t="str">
        <f>Source!G316</f>
        <v>Сталь полосовая, марка Ст1сп - Ст6сп, спокойная</v>
      </c>
      <c r="C91" s="70" t="str">
        <f>Source!H316</f>
        <v>т</v>
      </c>
      <c r="D91" s="60">
        <f>Source!I316</f>
        <v>0.33352900000000002</v>
      </c>
      <c r="E91" s="62"/>
    </row>
    <row r="92" spans="1:5" ht="25.5">
      <c r="A92" s="62" t="str">
        <f>Source!E317</f>
        <v>47</v>
      </c>
      <c r="B92" s="63" t="str">
        <f>Source!G317</f>
        <v>Облицовка ворот стальным профилированным листом /  оцинкованный толщиной 0,55 мм с полимерным покрытием / Облицовка фоновой панелью</v>
      </c>
      <c r="C92" s="70" t="str">
        <f>Source!H317</f>
        <v>100 м2</v>
      </c>
      <c r="D92" s="60">
        <f>Source!I317</f>
        <v>0.32400000000000001</v>
      </c>
      <c r="E92" s="62"/>
    </row>
    <row r="93" spans="1:5" ht="25.5">
      <c r="A93" s="62" t="str">
        <f>Source!E318</f>
        <v>47,1</v>
      </c>
      <c r="B93" s="63" t="str">
        <f>Source!G318</f>
        <v>Листы профилированные стальные оцинкованные, толщина 0,55 мм, размер 1250х2000 мм, с полимерным покрытием (металлопласт)</v>
      </c>
      <c r="C93" s="70" t="str">
        <f>Source!H318</f>
        <v>м2</v>
      </c>
      <c r="D93" s="60">
        <f>Source!I318</f>
        <v>-33.048000000000002</v>
      </c>
      <c r="E93" s="62"/>
    </row>
    <row r="94" spans="1:5">
      <c r="A94" s="62" t="str">
        <f>Source!E319</f>
        <v>47,2</v>
      </c>
      <c r="B94" s="63" t="str">
        <f>Source!G319</f>
        <v>Сталь листовая горячекатаная нержавеющая, толщина до 4 мм</v>
      </c>
      <c r="C94" s="70" t="str">
        <f>Source!H319</f>
        <v>т</v>
      </c>
      <c r="D94" s="60">
        <f>Source!I319</f>
        <v>0.74329400000000001</v>
      </c>
      <c r="E94" s="62"/>
    </row>
    <row r="95" spans="1:5" ht="25.5">
      <c r="A95" s="62" t="str">
        <f>Source!E320</f>
        <v>48</v>
      </c>
      <c r="B95" s="63" t="str">
        <f>Source!G320</f>
        <v>Облицовка ворот стальным профилированным листом /  оцинкованный толщиной 0,55 мм с полимерным покрытием / Облицовка фоновой панелью</v>
      </c>
      <c r="C95" s="70" t="str">
        <f>Source!H320</f>
        <v>100 м2</v>
      </c>
      <c r="D95" s="60">
        <f>Source!I320</f>
        <v>0.128</v>
      </c>
      <c r="E95" s="62"/>
    </row>
    <row r="96" spans="1:5" ht="25.5">
      <c r="A96" s="62" t="str">
        <f>Source!E321</f>
        <v>48,1</v>
      </c>
      <c r="B96" s="63" t="str">
        <f>Source!G321</f>
        <v>Листы профилированные стальные оцинкованные, толщина 0,55 мм, размер 1250х2000 мм, с полимерным покрытием (металлопласт)</v>
      </c>
      <c r="C96" s="70" t="str">
        <f>Source!H321</f>
        <v>м2</v>
      </c>
      <c r="D96" s="60">
        <f>Source!I321</f>
        <v>-13.055999999999999</v>
      </c>
      <c r="E96" s="62"/>
    </row>
    <row r="97" spans="1:5">
      <c r="A97" s="62" t="str">
        <f>Source!E322</f>
        <v>48,2</v>
      </c>
      <c r="B97" s="63" t="str">
        <f>Source!G322</f>
        <v>Сталь листовая горячекатаная нержавеющая, толщина более 4 мм</v>
      </c>
      <c r="C97" s="70" t="str">
        <f>Source!H322</f>
        <v>т</v>
      </c>
      <c r="D97" s="60">
        <f>Source!I322</f>
        <v>0.77015299999999998</v>
      </c>
      <c r="E97" s="62"/>
    </row>
    <row r="98" spans="1:5">
      <c r="A98" s="62" t="str">
        <f>Source!E323</f>
        <v>49</v>
      </c>
      <c r="B98" s="63" t="str">
        <f>Source!G323</f>
        <v>Расчистка поверхностей щетками</v>
      </c>
      <c r="C98" s="70" t="str">
        <f>Source!H323</f>
        <v>м2</v>
      </c>
      <c r="D98" s="60">
        <f>Source!I323</f>
        <v>236.4</v>
      </c>
      <c r="E98" s="62"/>
    </row>
    <row r="99" spans="1:5" ht="25.5">
      <c r="A99" s="62" t="str">
        <f>Source!E324</f>
        <v>50</v>
      </c>
      <c r="B99" s="63" t="str">
        <f>Source!G324</f>
        <v>Обезжиривание металлической поверхности оборудования и труб диаметром до 500 мм уайт-спиритом</v>
      </c>
      <c r="C99" s="70" t="str">
        <f>Source!H324</f>
        <v>100 м2</v>
      </c>
      <c r="D99" s="60">
        <f>Source!I324</f>
        <v>2.3639999999999999</v>
      </c>
      <c r="E99" s="62"/>
    </row>
    <row r="100" spans="1:5" ht="25.5">
      <c r="A100" s="62" t="str">
        <f>Source!E325</f>
        <v>51</v>
      </c>
      <c r="B100" s="63" t="str">
        <f>Source!G325</f>
        <v>Огрунтовка новых или ранее расчищенных металлических поверхностей алкидными грунтовками, за один раз</v>
      </c>
      <c r="C100" s="70" t="str">
        <f>Source!H325</f>
        <v>10 м2</v>
      </c>
      <c r="D100" s="60">
        <f>Source!I325</f>
        <v>23.64</v>
      </c>
      <c r="E100" s="62"/>
    </row>
    <row r="101" spans="1:5">
      <c r="A101" s="62" t="str">
        <f>Source!E326</f>
        <v>52</v>
      </c>
      <c r="B101" s="63" t="str">
        <f>Source!G326</f>
        <v>Окраска по металлу за один раз металлическим порошком решеток / за два раза</v>
      </c>
      <c r="C101" s="70" t="str">
        <f>Source!H326</f>
        <v>100 м2</v>
      </c>
      <c r="D101" s="60">
        <f>Source!I326</f>
        <v>2.3639999999999999</v>
      </c>
      <c r="E101" s="62"/>
    </row>
    <row r="102" spans="1:5">
      <c r="A102" s="64" t="str">
        <f>Source!E327</f>
        <v>53</v>
      </c>
      <c r="B102" s="65" t="str">
        <f>Source!G327</f>
        <v>Нанесение текстовой информации и символики. прим.</v>
      </c>
      <c r="C102" s="71" t="str">
        <f>Source!H327</f>
        <v>м2</v>
      </c>
      <c r="D102" s="72">
        <f>Source!I327</f>
        <v>23.89</v>
      </c>
      <c r="E102" s="64"/>
    </row>
    <row r="105" spans="1:5">
      <c r="A105" s="66" t="s">
        <v>633</v>
      </c>
      <c r="B105" s="66"/>
      <c r="C105" s="68" t="s">
        <v>634</v>
      </c>
      <c r="D105" s="68"/>
      <c r="E105" s="66"/>
    </row>
  </sheetData>
  <mergeCells count="10">
    <mergeCell ref="A78:E78"/>
    <mergeCell ref="C5:D5"/>
    <mergeCell ref="C7:D7"/>
    <mergeCell ref="A11:D11"/>
    <mergeCell ref="A12:D12"/>
    <mergeCell ref="A31:E31"/>
    <mergeCell ref="A44:E44"/>
    <mergeCell ref="A51:E51"/>
    <mergeCell ref="A69:E69"/>
    <mergeCell ref="A73:E73"/>
  </mergeCells>
  <pageMargins left="0.4" right="0.2" top="0.2" bottom="0.4" header="0.2" footer="0.2"/>
  <pageSetup paperSize="9" scale="75" fitToHeight="0" orientation="portrait" horizontalDpi="0" verticalDpi="0" r:id="rId1"/>
  <headerFooter>
    <oddHeader>&amp;L&amp;8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06"/>
  <sheetViews>
    <sheetView zoomScaleNormal="100" workbookViewId="0">
      <selection activeCell="I80" sqref="I80"/>
    </sheetView>
  </sheetViews>
  <sheetFormatPr defaultRowHeight="12.75"/>
  <cols>
    <col min="1" max="1" width="6.7109375" style="57" customWidth="1"/>
    <col min="2" max="2" width="75.7109375" style="57" customWidth="1"/>
    <col min="3" max="4" width="15.7109375" style="67" customWidth="1"/>
    <col min="5" max="5" width="15.7109375" style="57" customWidth="1"/>
    <col min="6" max="30" width="9.140625" style="57"/>
    <col min="31" max="31" width="129.7109375" style="57" customWidth="1"/>
    <col min="32" max="16384" width="9.140625" style="57"/>
  </cols>
  <sheetData>
    <row r="1" spans="1:4">
      <c r="A1" s="57" t="str">
        <f>Source!B1</f>
        <v>Smeta.RU  (495) 974-1589</v>
      </c>
    </row>
    <row r="3" spans="1:4">
      <c r="D3" s="68" t="s">
        <v>552</v>
      </c>
    </row>
    <row r="4" spans="1:4">
      <c r="C4" s="68"/>
      <c r="D4" s="68"/>
    </row>
    <row r="5" spans="1:4">
      <c r="C5" s="118" t="s">
        <v>625</v>
      </c>
      <c r="D5" s="118"/>
    </row>
    <row r="6" spans="1:4">
      <c r="C6" s="69"/>
      <c r="D6" s="69"/>
    </row>
    <row r="7" spans="1:4">
      <c r="C7" s="118" t="s">
        <v>625</v>
      </c>
      <c r="D7" s="118"/>
    </row>
    <row r="8" spans="1:4">
      <c r="C8" s="69"/>
      <c r="D8" s="69"/>
    </row>
    <row r="9" spans="1:4">
      <c r="C9" s="68" t="s">
        <v>626</v>
      </c>
    </row>
    <row r="11" spans="1:4">
      <c r="A11" s="119" t="str">
        <f>CONCATENATE("Ведомость объемов работ ", IF(Source!AN15&lt;&gt;"", Source!AN15," "))</f>
        <v xml:space="preserve">Ведомость объемов работ  </v>
      </c>
      <c r="B11" s="119"/>
      <c r="C11" s="119"/>
      <c r="D11" s="119"/>
    </row>
    <row r="12" spans="1:4" ht="40.5" customHeight="1">
      <c r="A12" s="119" t="str">
        <f>Source!G20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  <c r="B12" s="119"/>
      <c r="C12" s="119"/>
      <c r="D12" s="119"/>
    </row>
    <row r="14" spans="1:4">
      <c r="B14" s="58" t="s">
        <v>627</v>
      </c>
    </row>
    <row r="15" spans="1:4">
      <c r="B15" s="58" t="s">
        <v>628</v>
      </c>
    </row>
    <row r="16" spans="1:4">
      <c r="B16" s="58" t="s">
        <v>629</v>
      </c>
    </row>
    <row r="17" spans="1:5" ht="25.5">
      <c r="A17" s="59" t="s">
        <v>630</v>
      </c>
      <c r="B17" s="59" t="s">
        <v>565</v>
      </c>
      <c r="C17" s="59" t="s">
        <v>566</v>
      </c>
      <c r="D17" s="59" t="s">
        <v>631</v>
      </c>
      <c r="E17" s="39" t="s">
        <v>632</v>
      </c>
    </row>
    <row r="18" spans="1:5">
      <c r="A18" s="60">
        <v>1</v>
      </c>
      <c r="B18" s="60">
        <v>2</v>
      </c>
      <c r="C18" s="60">
        <v>3</v>
      </c>
      <c r="D18" s="60">
        <v>4</v>
      </c>
      <c r="E18" s="61">
        <v>5</v>
      </c>
    </row>
    <row r="19" spans="1:5" hidden="1">
      <c r="A19" s="117" t="str">
        <f>CONCATENATE("Раздел: ", Source!G24)</f>
        <v>Раздел: Устройство цветника - 75м2</v>
      </c>
      <c r="B19" s="117"/>
      <c r="C19" s="117"/>
      <c r="D19" s="117"/>
      <c r="E19" s="117"/>
    </row>
    <row r="20" spans="1:5">
      <c r="A20" s="62" t="str">
        <f>Source!E28</f>
        <v>1</v>
      </c>
      <c r="B20" s="63" t="str">
        <f>Source!G28</f>
        <v>Устройство корыта под цветники глубиной 40 см механизированным способом</v>
      </c>
      <c r="C20" s="70" t="str">
        <f>Source!H28</f>
        <v>100 м2</v>
      </c>
      <c r="D20" s="60">
        <f>Source!I28</f>
        <v>0.5625</v>
      </c>
      <c r="E20" s="62"/>
    </row>
    <row r="21" spans="1:5" ht="25.5">
      <c r="A21" s="62" t="str">
        <f>Source!E29</f>
        <v>2</v>
      </c>
      <c r="B21" s="63" t="str">
        <f>Source!G29</f>
        <v>Добавлять или исключать на каждые 10 см изменения глубины корыта под цветники механизированным способом к поз. 4-3203-7-1</v>
      </c>
      <c r="C21" s="70" t="str">
        <f>Source!H29</f>
        <v>100 м2</v>
      </c>
      <c r="D21" s="60">
        <f>Source!I29</f>
        <v>-0.5625</v>
      </c>
      <c r="E21" s="62"/>
    </row>
    <row r="22" spans="1:5">
      <c r="A22" s="62" t="str">
        <f>Source!E30</f>
        <v>3</v>
      </c>
      <c r="B22" s="63" t="str">
        <f>Source!G30</f>
        <v>Устройство корыта под цветники глубиной 40 см вручную</v>
      </c>
      <c r="C22" s="70" t="str">
        <f>Source!H30</f>
        <v>100 м2</v>
      </c>
      <c r="D22" s="60">
        <f>Source!I30</f>
        <v>0.1875</v>
      </c>
      <c r="E22" s="62"/>
    </row>
    <row r="23" spans="1:5" ht="25.5">
      <c r="A23" s="62" t="str">
        <f>Source!E31</f>
        <v>4</v>
      </c>
      <c r="B23" s="63" t="str">
        <f>Source!G31</f>
        <v>Добавлять или исключать на каждые 10 см изменения глубины корыта под цветники вручную к поз. 4-3203-7-2</v>
      </c>
      <c r="C23" s="70" t="str">
        <f>Source!H31</f>
        <v>100 м2</v>
      </c>
      <c r="D23" s="60">
        <f>Source!I31</f>
        <v>-0.1875</v>
      </c>
      <c r="E23" s="62"/>
    </row>
    <row r="24" spans="1:5">
      <c r="A24" s="62" t="str">
        <f>Source!E32</f>
        <v>5</v>
      </c>
      <c r="B24" s="63" t="str">
        <f>Source!G32</f>
        <v>Подготовка почвы под цветники толщиной слоя насыпки 20 см</v>
      </c>
      <c r="C24" s="70" t="str">
        <f>Source!H32</f>
        <v>100 м2</v>
      </c>
      <c r="D24" s="60">
        <f>Source!I32</f>
        <v>0.75</v>
      </c>
      <c r="E24" s="62"/>
    </row>
    <row r="25" spans="1:5" ht="25.5">
      <c r="A25" s="62" t="str">
        <f>Source!E33</f>
        <v>6</v>
      </c>
      <c r="B25" s="63" t="str">
        <f>Source!G33</f>
        <v>Добавлять или исключать на каждые 5 см изменения толщины слоя почвы под цветники к поз. 4-3203-6-1</v>
      </c>
      <c r="C25" s="70" t="str">
        <f>Source!H33</f>
        <v>100 м2</v>
      </c>
      <c r="D25" s="60">
        <f>Source!I33</f>
        <v>0.75</v>
      </c>
      <c r="E25" s="62"/>
    </row>
    <row r="26" spans="1:5">
      <c r="A26" s="62" t="str">
        <f>Source!E34</f>
        <v>7</v>
      </c>
      <c r="B26" s="63" t="str">
        <f>Source!G34</f>
        <v>Посадка многолетних цветников при густоте посадки 1,6 тыс.шт. цветов</v>
      </c>
      <c r="C26" s="70" t="str">
        <f>Source!H34</f>
        <v>100 м2</v>
      </c>
      <c r="D26" s="60">
        <f>Source!I34</f>
        <v>0.75</v>
      </c>
      <c r="E26" s="62"/>
    </row>
    <row r="27" spans="1:5">
      <c r="A27" s="62" t="str">
        <f>Source!E35</f>
        <v>7,1</v>
      </c>
      <c r="B27" s="63" t="str">
        <f>Source!G35</f>
        <v>Посадочный материал цветочных культур</v>
      </c>
      <c r="C27" s="70" t="str">
        <f>Source!H35</f>
        <v>шт.</v>
      </c>
      <c r="D27" s="60">
        <f>Source!I35</f>
        <v>1260</v>
      </c>
      <c r="E27" s="62"/>
    </row>
    <row r="28" spans="1:5">
      <c r="A28" s="62" t="str">
        <f>Source!E36</f>
        <v>7,2</v>
      </c>
      <c r="B28" s="63" t="str">
        <f>Source!G36</f>
        <v>Посадочный материал многолетних культур: котовник фассена, С3</v>
      </c>
      <c r="C28" s="70" t="str">
        <f>Source!H36</f>
        <v>шт.</v>
      </c>
      <c r="D28" s="60">
        <f>Source!I36</f>
        <v>315</v>
      </c>
      <c r="E28" s="62"/>
    </row>
    <row r="29" spans="1:5">
      <c r="A29" s="62" t="str">
        <f>Source!E37</f>
        <v>7,3</v>
      </c>
      <c r="B29" s="63" t="str">
        <f>Source!G37</f>
        <v>Посадочный материал многолетних культур: гейхера в ассортименте</v>
      </c>
      <c r="C29" s="70" t="str">
        <f>Source!H37</f>
        <v>шт.</v>
      </c>
      <c r="D29" s="60">
        <f>Source!I37</f>
        <v>480</v>
      </c>
      <c r="E29" s="62"/>
    </row>
    <row r="30" spans="1:5" ht="25.5">
      <c r="A30" s="62" t="str">
        <f>Source!E38</f>
        <v>8</v>
      </c>
      <c r="B30" s="63" t="str">
        <f>Source!G38</f>
        <v>Добавлять или исключать на каждые 1000 шт. высаживаемых цветов к поз. 4-3203-8-1</v>
      </c>
      <c r="C30" s="70" t="str">
        <f>Source!H38</f>
        <v>100 м2</v>
      </c>
      <c r="D30" s="60">
        <f>Source!I38</f>
        <v>-0.75</v>
      </c>
      <c r="E30" s="62"/>
    </row>
    <row r="31" spans="1:5">
      <c r="A31" s="62" t="str">
        <f>Source!E39</f>
        <v>8,1</v>
      </c>
      <c r="B31" s="63" t="str">
        <f>Source!G39</f>
        <v>Посадочный материал цветочных культур</v>
      </c>
      <c r="C31" s="70" t="str">
        <f>Source!H39</f>
        <v>шт.</v>
      </c>
      <c r="D31" s="60">
        <f>Source!I39</f>
        <v>-465</v>
      </c>
      <c r="E31" s="62"/>
    </row>
    <row r="32" spans="1:5" hidden="1">
      <c r="A32" s="117" t="str">
        <f>CONCATENATE("Раздел: ", Source!G73)</f>
        <v>Раздел: Посадка кустарников - 229шт.</v>
      </c>
      <c r="B32" s="117"/>
      <c r="C32" s="117"/>
      <c r="D32" s="117"/>
      <c r="E32" s="117"/>
    </row>
    <row r="33" spans="1:5" ht="38.25">
      <c r="A33" s="62" t="str">
        <f>Source!E77</f>
        <v>9</v>
      </c>
      <c r="B33" s="63" t="str">
        <f>Source!G77</f>
        <v>Подготовка стандартных посадочных мест для деревьев и кустарников механизированным способом, с круглым комом земли размером 0,3х0,3 м с добавлением растительной земли до 100%</v>
      </c>
      <c r="C33" s="70" t="str">
        <f>Source!H77</f>
        <v>10 ям</v>
      </c>
      <c r="D33" s="60">
        <f>Source!I77</f>
        <v>9.16</v>
      </c>
      <c r="E33" s="62"/>
    </row>
    <row r="34" spans="1:5" ht="25.5">
      <c r="A34" s="62" t="str">
        <f>Source!E78</f>
        <v>10</v>
      </c>
      <c r="B34" s="63" t="str">
        <f>Source!G78</f>
        <v>Подготовка стандартных посадочных мест вручную, с круглым комом земли размером 0,3х0,3 м с добавлением растительной земли до 100%</v>
      </c>
      <c r="C34" s="70" t="str">
        <f>Source!H78</f>
        <v>10 ям</v>
      </c>
      <c r="D34" s="60">
        <f>Source!I78</f>
        <v>13.74</v>
      </c>
      <c r="E34" s="62"/>
    </row>
    <row r="35" spans="1:5" ht="63.75">
      <c r="A35" s="62" t="str">
        <f>Source!E79</f>
        <v>11</v>
      </c>
      <c r="B35" s="63" t="str">
        <f>Source!G79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табл.1 - 0,28м3 * 229кустов =64,12м3 - при слое 20 см покрываемая площадь 64,12м3/0,2м х 0,75)</v>
      </c>
      <c r="C35" s="70" t="str">
        <f>Source!H79</f>
        <v>100 м2</v>
      </c>
      <c r="D35" s="60">
        <f>Source!I79</f>
        <v>2.4045000000000001</v>
      </c>
      <c r="E35" s="62"/>
    </row>
    <row r="36" spans="1:5" ht="38.25">
      <c r="A36" s="62" t="str">
        <f>Source!E80</f>
        <v>12</v>
      </c>
      <c r="B36" s="63" t="str">
        <f>Source!G80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64,12м3/0,2м х 0,25)</v>
      </c>
      <c r="C36" s="70" t="str">
        <f>Source!H80</f>
        <v>100 м2</v>
      </c>
      <c r="D36" s="60">
        <f>Source!I80</f>
        <v>0.80149999999999999</v>
      </c>
      <c r="E36" s="62"/>
    </row>
    <row r="37" spans="1:5" ht="25.5">
      <c r="A37" s="62" t="str">
        <f>Source!E81</f>
        <v>13</v>
      </c>
      <c r="B37" s="63" t="str">
        <f>Source!G81</f>
        <v>Посадка деревьев и кустарников с комом земли, диаметром 0,3 м и высотой 0,3 м (без стоимости деревьев и кустарников)</v>
      </c>
      <c r="C37" s="70" t="str">
        <f>Source!H81</f>
        <v>10 шт.</v>
      </c>
      <c r="D37" s="60">
        <f>Source!I81</f>
        <v>22.9</v>
      </c>
      <c r="E37" s="62"/>
    </row>
    <row r="38" spans="1:5" ht="25.5">
      <c r="A38" s="62" t="str">
        <f>Source!E82</f>
        <v>13,1</v>
      </c>
      <c r="B38" s="63" t="str">
        <f>Source!G82</f>
        <v>Кустарники декоративные с закрытой корневой системой: гортензия древовидная, С10 ( ком земли 0,3м * 0,3м)</v>
      </c>
      <c r="C38" s="70" t="str">
        <f>Source!H82</f>
        <v>шт.</v>
      </c>
      <c r="D38" s="60">
        <f>Source!I82</f>
        <v>20</v>
      </c>
      <c r="E38" s="62"/>
    </row>
    <row r="39" spans="1:5" ht="25.5">
      <c r="A39" s="62" t="str">
        <f>Source!E83</f>
        <v>13,2</v>
      </c>
      <c r="B39" s="63" t="str">
        <f>Source!G83</f>
        <v>Кустарники декоративные с комом земли: Бересклет крылатый, высота 0,3 м, диаметр 0,3 м</v>
      </c>
      <c r="C39" s="70" t="str">
        <f>Source!H83</f>
        <v>шт.</v>
      </c>
      <c r="D39" s="60">
        <f>Source!I83</f>
        <v>2</v>
      </c>
      <c r="E39" s="62"/>
    </row>
    <row r="40" spans="1:5" ht="25.5">
      <c r="A40" s="62" t="str">
        <f>Source!E84</f>
        <v>13,3</v>
      </c>
      <c r="B40" s="63" t="str">
        <f>Source!G84</f>
        <v>Кустарники декоративные с комом земли: Пузыреплодник, высота 0,3 м, диаметр 0,3 м</v>
      </c>
      <c r="C40" s="70" t="str">
        <f>Source!H84</f>
        <v>шт.</v>
      </c>
      <c r="D40" s="60">
        <f>Source!I84</f>
        <v>180</v>
      </c>
      <c r="E40" s="62"/>
    </row>
    <row r="41" spans="1:5">
      <c r="A41" s="62" t="str">
        <f>Source!E85</f>
        <v>13,4</v>
      </c>
      <c r="B41" s="63" t="str">
        <f>Source!G85</f>
        <v>Кустарники декоративные с комом земли: Барбарис, высота 0,3 м, диаметр 0,3 м</v>
      </c>
      <c r="C41" s="70" t="str">
        <f>Source!H85</f>
        <v>шт.</v>
      </c>
      <c r="D41" s="60">
        <f>Source!I85</f>
        <v>22</v>
      </c>
      <c r="E41" s="62"/>
    </row>
    <row r="42" spans="1:5" ht="25.5">
      <c r="A42" s="62" t="str">
        <f>Source!E86</f>
        <v>13,5</v>
      </c>
      <c r="B42" s="63" t="str">
        <f>Source!G86</f>
        <v>Кустарники декоративные с комом земли: Можжевельник Олд Голд, высота 0,3 м, диаметр 0,3 м</v>
      </c>
      <c r="C42" s="70" t="str">
        <f>Source!H86</f>
        <v>шт.</v>
      </c>
      <c r="D42" s="60">
        <f>Source!I86</f>
        <v>2</v>
      </c>
      <c r="E42" s="62"/>
    </row>
    <row r="43" spans="1:5" ht="25.5">
      <c r="A43" s="62" t="str">
        <f>Source!E87</f>
        <v>13,6</v>
      </c>
      <c r="B43" s="63" t="str">
        <f>Source!G87</f>
        <v>Кустарники декоративные с комом земли: Можжевельник Блю Эрроу, высота 0,3 м, диаметр 0,3 м</v>
      </c>
      <c r="C43" s="70" t="str">
        <f>Source!H87</f>
        <v>шт.</v>
      </c>
      <c r="D43" s="60">
        <f>Source!I87</f>
        <v>2</v>
      </c>
      <c r="E43" s="62"/>
    </row>
    <row r="44" spans="1:5" ht="25.5">
      <c r="A44" s="62" t="str">
        <f>Source!E88</f>
        <v>13,7</v>
      </c>
      <c r="B44" s="63" t="str">
        <f>Source!G88</f>
        <v>Кустарники декоративные с комом земли: Можжевельник Грей Овал, высота 0,3 м, диаметр 0,3 м</v>
      </c>
      <c r="C44" s="70" t="str">
        <f>Source!H88</f>
        <v>шт.</v>
      </c>
      <c r="D44" s="60">
        <f>Source!I88</f>
        <v>1</v>
      </c>
      <c r="E44" s="62"/>
    </row>
    <row r="45" spans="1:5" hidden="1">
      <c r="A45" s="117" t="str">
        <f>CONCATENATE("Раздел: ", Source!G122)</f>
        <v>Раздел: Посадка деревьев лиственных - 4шт.</v>
      </c>
      <c r="B45" s="117"/>
      <c r="C45" s="117"/>
      <c r="D45" s="117"/>
      <c r="E45" s="117"/>
    </row>
    <row r="46" spans="1:5" ht="38.25">
      <c r="A46" s="62" t="str">
        <f>Source!E126</f>
        <v>14</v>
      </c>
      <c r="B46" s="63" t="str">
        <f>Source!G126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C46" s="70" t="str">
        <f>Source!H126</f>
        <v>10 ям</v>
      </c>
      <c r="D46" s="60">
        <f>Source!I126</f>
        <v>0.24</v>
      </c>
      <c r="E46" s="62"/>
    </row>
    <row r="47" spans="1:5" ht="25.5">
      <c r="A47" s="62" t="str">
        <f>Source!E127</f>
        <v>15</v>
      </c>
      <c r="B47" s="63" t="str">
        <f>Source!G127</f>
        <v>Подготовка стандартных посадочных мест вручную, с круглым комом земли размером 0,8х0,6 м с добавлением растительной земли до 100%</v>
      </c>
      <c r="C47" s="70" t="str">
        <f>Source!H127</f>
        <v>10 ям</v>
      </c>
      <c r="D47" s="60">
        <f>Source!I127</f>
        <v>0.16</v>
      </c>
      <c r="E47" s="62"/>
    </row>
    <row r="48" spans="1:5" ht="63.75">
      <c r="A48" s="62" t="str">
        <f>Source!E128</f>
        <v>16</v>
      </c>
      <c r="B48" s="63" t="str">
        <f>Source!G128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4дерева =4,52м3 - при слое 20 см покрываемая площадь 4,52м3/0,2м х 0,75)</v>
      </c>
      <c r="C48" s="70" t="str">
        <f>Source!H128</f>
        <v>100 м2</v>
      </c>
      <c r="D48" s="60">
        <f>Source!I128</f>
        <v>0.16950000000000001</v>
      </c>
      <c r="E48" s="62"/>
    </row>
    <row r="49" spans="1:5" ht="38.25">
      <c r="A49" s="62" t="str">
        <f>Source!E129</f>
        <v>17</v>
      </c>
      <c r="B49" s="63" t="str">
        <f>Source!G129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4,52м3/0,2м х 0,25)</v>
      </c>
      <c r="C49" s="70" t="str">
        <f>Source!H129</f>
        <v>100 м2</v>
      </c>
      <c r="D49" s="60">
        <f>Source!I129</f>
        <v>5.6500000000000002E-2</v>
      </c>
      <c r="E49" s="62"/>
    </row>
    <row r="50" spans="1:5" ht="25.5">
      <c r="A50" s="62" t="str">
        <f>Source!E130</f>
        <v>18</v>
      </c>
      <c r="B50" s="63" t="str">
        <f>Source!G130</f>
        <v>Посадка деревьев и кустарников с комом земли, диаметром 0,8 м и высотой 0,6 м (без стоимости деревьев и кустарников)</v>
      </c>
      <c r="C50" s="70" t="str">
        <f>Source!H130</f>
        <v>10 шт.</v>
      </c>
      <c r="D50" s="60">
        <f>Source!I130</f>
        <v>0.4</v>
      </c>
      <c r="E50" s="62"/>
    </row>
    <row r="51" spans="1:5" ht="25.5">
      <c r="A51" s="62" t="str">
        <f>Source!E131</f>
        <v>18,1</v>
      </c>
      <c r="B51" s="63" t="str">
        <f>Source!G131</f>
        <v>Деревья декоративные лиственных пород с комом земли, порода: Яблоня декоративная (шар), высота - 1,2 -1,4м, размер кома: диаметр-0,8 м, высота-0,6 м</v>
      </c>
      <c r="C51" s="70" t="str">
        <f>Source!H131</f>
        <v>шт.</v>
      </c>
      <c r="D51" s="60">
        <f>Source!I131</f>
        <v>4</v>
      </c>
      <c r="E51" s="62"/>
    </row>
    <row r="52" spans="1:5" hidden="1">
      <c r="A52" s="117" t="str">
        <f>CONCATENATE("Раздел: ", Source!G165)</f>
        <v>Раздел: Посадка деревьев хвойных - 21шт.</v>
      </c>
      <c r="B52" s="117"/>
      <c r="C52" s="117"/>
      <c r="D52" s="117"/>
      <c r="E52" s="117"/>
    </row>
    <row r="53" spans="1:5" ht="38.25">
      <c r="A53" s="62" t="str">
        <f>Source!E169</f>
        <v>19</v>
      </c>
      <c r="B53" s="63" t="str">
        <f>Source!G169</f>
        <v>Подготовка стандартных посадочных мест для деревьев и кустарников механизированным способом, с круглым комом земли размером 0,8х0,6 м с добавлением растительной земли до 100%</v>
      </c>
      <c r="C53" s="70" t="str">
        <f>Source!H169</f>
        <v>10 ям</v>
      </c>
      <c r="D53" s="60">
        <f>Source!I169</f>
        <v>0.24</v>
      </c>
      <c r="E53" s="62"/>
    </row>
    <row r="54" spans="1:5" ht="25.5">
      <c r="A54" s="62" t="str">
        <f>Source!E170</f>
        <v>20</v>
      </c>
      <c r="B54" s="63" t="str">
        <f>Source!G170</f>
        <v>Подготовка стандартных посадочных мест вручную, с круглым комом земли размером 0,8х0,6 м с добавлением растительной земли до 100%</v>
      </c>
      <c r="C54" s="70" t="str">
        <f>Source!H170</f>
        <v>10 ям</v>
      </c>
      <c r="D54" s="60">
        <f>Source!I170</f>
        <v>0.16</v>
      </c>
      <c r="E54" s="62"/>
    </row>
    <row r="55" spans="1:5" ht="63.75">
      <c r="A55" s="62" t="str">
        <f>Source!E171</f>
        <v>21</v>
      </c>
      <c r="B55" s="63" t="str">
        <f>Source!G171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табл.1 - 1,13м3 * 4дерева =4,52м3 - при слое 20 см покрываемая площадь 4,52м3/0,2м х 0,75)</v>
      </c>
      <c r="C55" s="70" t="str">
        <f>Source!H171</f>
        <v>100 м2</v>
      </c>
      <c r="D55" s="60">
        <f>Source!I171</f>
        <v>0.16950000000000001</v>
      </c>
      <c r="E55" s="62"/>
    </row>
    <row r="56" spans="1:5" ht="38.25">
      <c r="A56" s="62" t="str">
        <f>Source!E172</f>
        <v>22</v>
      </c>
      <c r="B56" s="63" t="str">
        <f>Source!G172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4,52м3/0,2м х 0,25)</v>
      </c>
      <c r="C56" s="70" t="str">
        <f>Source!H172</f>
        <v>100 м2</v>
      </c>
      <c r="D56" s="60">
        <f>Source!I172</f>
        <v>5.6500000000000002E-2</v>
      </c>
      <c r="E56" s="62"/>
    </row>
    <row r="57" spans="1:5" ht="25.5">
      <c r="A57" s="62" t="str">
        <f>Source!E173</f>
        <v>23</v>
      </c>
      <c r="B57" s="63" t="str">
        <f>Source!G173</f>
        <v>Посадка деревьев и кустарников с комом земли, диаметром 0,8 м и высотой 0,6 м (без стоимости деревьев и кустарников)</v>
      </c>
      <c r="C57" s="70" t="str">
        <f>Source!H173</f>
        <v>10 шт.</v>
      </c>
      <c r="D57" s="60">
        <f>Source!I173</f>
        <v>0.4</v>
      </c>
      <c r="E57" s="62"/>
    </row>
    <row r="58" spans="1:5" ht="25.5">
      <c r="A58" s="62" t="str">
        <f>Source!E174</f>
        <v>23,1</v>
      </c>
      <c r="B58" s="63" t="str">
        <f>Source!G174</f>
        <v>Деревья хвойные садовых форм с комом земли, порода: Ель Глаука Глобоза высота - 1,8-2,2 м, размер кома 1,3х1,3х0,6 м</v>
      </c>
      <c r="C58" s="70" t="str">
        <f>Source!H174</f>
        <v>шт.</v>
      </c>
      <c r="D58" s="60">
        <f>Source!I174</f>
        <v>2</v>
      </c>
      <c r="E58" s="62"/>
    </row>
    <row r="59" spans="1:5" ht="25.5">
      <c r="A59" s="62" t="str">
        <f>Source!E175</f>
        <v>23,2</v>
      </c>
      <c r="B59" s="63" t="str">
        <f>Source!G175</f>
        <v>Деревья хвойные садовых форм с комом земли, порода:  Сосна Нигра, высота - 1,8-2,2 м, размер кома 1,3х1,3х0,6 м</v>
      </c>
      <c r="C59" s="70" t="str">
        <f>Source!H175</f>
        <v>шт.</v>
      </c>
      <c r="D59" s="60">
        <f>Source!I175</f>
        <v>2</v>
      </c>
      <c r="E59" s="62"/>
    </row>
    <row r="60" spans="1:5" ht="25.5">
      <c r="A60" s="62" t="str">
        <f>Source!E176</f>
        <v>24</v>
      </c>
      <c r="B60" s="63" t="str">
        <f>Source!G176</f>
        <v>Подготовка стандартных посадочных мест вручную, с круглым комом земли размером 0,5х0,4 м с добавлением растительной земли до 100%</v>
      </c>
      <c r="C60" s="70" t="str">
        <f>Source!H176</f>
        <v>10 ям</v>
      </c>
      <c r="D60" s="60">
        <f>Source!I176</f>
        <v>0.68</v>
      </c>
      <c r="E60" s="62"/>
    </row>
    <row r="61" spans="1:5" ht="38.25">
      <c r="A61" s="62" t="str">
        <f>Source!E177</f>
        <v>25</v>
      </c>
      <c r="B61" s="63" t="str">
        <f>Source!G177</f>
        <v>Подготовка стандартных посадочных мест для деревьев и кустарников механизированным способом, с круглым комом земли размером 0,5х0,4 м с добавлением растительной земли до 100%</v>
      </c>
      <c r="C61" s="70" t="str">
        <f>Source!H177</f>
        <v>10 ям</v>
      </c>
      <c r="D61" s="60">
        <f>Source!I177</f>
        <v>1.02</v>
      </c>
      <c r="E61" s="62"/>
    </row>
    <row r="62" spans="1:5" ht="63.75">
      <c r="A62" s="62" t="str">
        <f>Source!E178</f>
        <v>26</v>
      </c>
      <c r="B62" s="63" t="str">
        <f>Source!G178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 тех.ччасть п.1.8 табл.1 - 0,51м3 * 17кустов =8,67м3 - при слое 20 см покрываемая площадь 8,67м3/0,2м х 0,75)</v>
      </c>
      <c r="C62" s="70" t="str">
        <f>Source!H178</f>
        <v>100 м2</v>
      </c>
      <c r="D62" s="60">
        <f>Source!I178</f>
        <v>0.3251</v>
      </c>
      <c r="E62" s="62"/>
    </row>
    <row r="63" spans="1:5" ht="38.25">
      <c r="A63" s="62" t="str">
        <f>Source!E179</f>
        <v>27</v>
      </c>
      <c r="B63" s="63" t="str">
        <f>Source!G179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8,67м3/0,2м х 0,25)</v>
      </c>
      <c r="C63" s="70" t="str">
        <f>Source!H179</f>
        <v>100 м2</v>
      </c>
      <c r="D63" s="60">
        <f>Source!I179</f>
        <v>0.10829999999999999</v>
      </c>
      <c r="E63" s="62"/>
    </row>
    <row r="64" spans="1:5" ht="25.5">
      <c r="A64" s="62" t="str">
        <f>Source!E180</f>
        <v>28</v>
      </c>
      <c r="B64" s="63" t="str">
        <f>Source!G180</f>
        <v>Посадка деревьев и кустарников с комом земли, диаметром 0,5 м и высотой 0,4 м (без стоимости деревьев и кустарников)</v>
      </c>
      <c r="C64" s="70" t="str">
        <f>Source!H180</f>
        <v>10 шт.</v>
      </c>
      <c r="D64" s="60">
        <f>Source!I180</f>
        <v>1.7</v>
      </c>
      <c r="E64" s="62"/>
    </row>
    <row r="65" spans="1:5" ht="25.5">
      <c r="A65" s="62" t="str">
        <f>Source!E181</f>
        <v>28,1</v>
      </c>
      <c r="B65" s="63" t="str">
        <f>Source!G181</f>
        <v>Деревья хвойные садовых форм с комом земли, порода:  Туя Брабант, высота - 1,2-1,4 м, размер кома 0,5м*0,4м</v>
      </c>
      <c r="C65" s="70" t="str">
        <f>Source!H181</f>
        <v>шт.</v>
      </c>
      <c r="D65" s="60">
        <f>Source!I181</f>
        <v>1</v>
      </c>
      <c r="E65" s="62"/>
    </row>
    <row r="66" spans="1:5" ht="25.5">
      <c r="A66" s="62" t="str">
        <f>Source!E182</f>
        <v>28,2</v>
      </c>
      <c r="B66" s="63" t="str">
        <f>Source!G182</f>
        <v>Деревья хвойные садовых форм с комом земли, порода:  Туя Смарагд (шар) , высота - 0,6-0,8м, размер кома 0,5м*0,4м</v>
      </c>
      <c r="C66" s="70" t="str">
        <f>Source!H182</f>
        <v>шт.</v>
      </c>
      <c r="D66" s="60">
        <f>Source!I182</f>
        <v>6</v>
      </c>
      <c r="E66" s="62"/>
    </row>
    <row r="67" spans="1:5" ht="25.5">
      <c r="A67" s="62" t="str">
        <f>Source!E183</f>
        <v>28,3</v>
      </c>
      <c r="B67" s="63" t="str">
        <f>Source!G183</f>
        <v>Деревья хвойные садовых форм с комом земли, порода:  Туя Вудварди, высота - 1,2-1,4 м, размер кома 0,5м*0,4м</v>
      </c>
      <c r="C67" s="70" t="str">
        <f>Source!H183</f>
        <v>шт.</v>
      </c>
      <c r="D67" s="60">
        <f>Source!I183</f>
        <v>3</v>
      </c>
      <c r="E67" s="62"/>
    </row>
    <row r="68" spans="1:5" ht="25.5">
      <c r="A68" s="62" t="str">
        <f>Source!E184</f>
        <v>28,4</v>
      </c>
      <c r="B68" s="63" t="str">
        <f>Source!G184</f>
        <v>Деревья хвойные садовых форм с комом земли, порода:  Туя Глобоза (шар), высота - 1,2 м, размер кома 0,5м*0,4м</v>
      </c>
      <c r="C68" s="70" t="str">
        <f>Source!H184</f>
        <v>шт.</v>
      </c>
      <c r="D68" s="60">
        <f>Source!I184</f>
        <v>3</v>
      </c>
      <c r="E68" s="62"/>
    </row>
    <row r="69" spans="1:5" ht="25.5">
      <c r="A69" s="62" t="str">
        <f>Source!E185</f>
        <v>28,5</v>
      </c>
      <c r="B69" s="63" t="str">
        <f>Source!G185</f>
        <v>Деревья хвойные садовых форм с комом земли, порода:  Туя Глаука Глобоза, высота - 1,2-1,4 м, размер кома 0,5м*0,4м</v>
      </c>
      <c r="C69" s="70" t="str">
        <f>Source!H185</f>
        <v>шт.</v>
      </c>
      <c r="D69" s="60">
        <f>Source!I185</f>
        <v>4</v>
      </c>
      <c r="E69" s="62"/>
    </row>
    <row r="70" spans="1:5" hidden="1">
      <c r="A70" s="117" t="str">
        <f>CONCATENATE("Раздел: ", Source!G219)</f>
        <v>Раздел: Декоративное украшение территори озеленения</v>
      </c>
      <c r="B70" s="117"/>
      <c r="C70" s="117"/>
      <c r="D70" s="117"/>
      <c r="E70" s="117"/>
    </row>
    <row r="71" spans="1:5" ht="25.5">
      <c r="A71" s="62" t="str">
        <f>Source!E223</f>
        <v>29</v>
      </c>
      <c r="B71" s="63" t="str">
        <f>Source!G223</f>
        <v>Укрытие цветников и газонов мульчирующими материалами вручную, толщина слоя 2 см</v>
      </c>
      <c r="C71" s="70" t="str">
        <f>Source!H223</f>
        <v>100 м2</v>
      </c>
      <c r="D71" s="60">
        <f>Source!I223</f>
        <v>0.35</v>
      </c>
      <c r="E71" s="62"/>
    </row>
    <row r="72" spans="1:5" ht="25.5">
      <c r="A72" s="62" t="str">
        <f>Source!E224</f>
        <v>30</v>
      </c>
      <c r="B72" s="63" t="str">
        <f>Source!G224</f>
        <v>Укрытие цветников и газонов мульчирующими материалами вручную, добавлять на каждый 1 см толщины слоя сверх 2 см</v>
      </c>
      <c r="C72" s="70" t="str">
        <f>Source!H224</f>
        <v>100 м2</v>
      </c>
      <c r="D72" s="60">
        <f>Source!I224</f>
        <v>0.35</v>
      </c>
      <c r="E72" s="62"/>
    </row>
    <row r="73" spans="1:5">
      <c r="A73" s="62" t="str">
        <f>Source!E225</f>
        <v>31</v>
      </c>
      <c r="B73" s="63" t="str">
        <f>Source!G225</f>
        <v>Устройство бордюра из мелкоштучных камней, установленных на ребро, для клумб</v>
      </c>
      <c r="C73" s="70" t="str">
        <f>Source!H225</f>
        <v>100 м</v>
      </c>
      <c r="D73" s="60">
        <f>Source!I225</f>
        <v>0.5</v>
      </c>
      <c r="E73" s="62"/>
    </row>
    <row r="74" spans="1:5" hidden="1">
      <c r="A74" s="117" t="str">
        <f>CONCATENATE("Раздел: ", Source!G259)</f>
        <v>Раздел: Ремонт газона (посевной) - 550м2 ( вокруг цветника с кустами и деревьями)</v>
      </c>
      <c r="B74" s="117"/>
      <c r="C74" s="117"/>
      <c r="D74" s="117"/>
      <c r="E74" s="117"/>
    </row>
    <row r="75" spans="1:5" ht="25.5">
      <c r="A75" s="62" t="str">
        <f>Source!E263</f>
        <v>32</v>
      </c>
      <c r="B75" s="63" t="str">
        <f>Source!G263</f>
        <v>Подготовка почвы для устройства партерного и обыкновенного газонов с внесением растительной земли слоем 15 см механизированным способом</v>
      </c>
      <c r="C75" s="70" t="str">
        <f>Source!H263</f>
        <v>100 м2</v>
      </c>
      <c r="D75" s="60">
        <f>Source!I263</f>
        <v>4.125</v>
      </c>
      <c r="E75" s="62"/>
    </row>
    <row r="76" spans="1:5" ht="25.5">
      <c r="A76" s="62" t="str">
        <f>Source!E264</f>
        <v>33</v>
      </c>
      <c r="B76" s="63" t="str">
        <f>Source!G264</f>
        <v>Подготовка почвы для устройства партерного и обыкновенного газонов с внесением растительной земли слоем 15 см вручную</v>
      </c>
      <c r="C76" s="70" t="str">
        <f>Source!H264</f>
        <v>100 м2</v>
      </c>
      <c r="D76" s="60">
        <f>Source!I264</f>
        <v>1.375</v>
      </c>
      <c r="E76" s="62"/>
    </row>
    <row r="77" spans="1:5" ht="25.5">
      <c r="A77" s="62" t="str">
        <f>Source!E265</f>
        <v>34</v>
      </c>
      <c r="B77" s="63" t="str">
        <f>Source!G265</f>
        <v>Подготовка почвы для устройства партерного и обыкновенного газонов на каждые 5 см изменения толщины слоя добавлять или исключать</v>
      </c>
      <c r="C77" s="70" t="str">
        <f>Source!H265</f>
        <v>100 м2</v>
      </c>
      <c r="D77" s="60">
        <f>Source!I265</f>
        <v>-5.5</v>
      </c>
      <c r="E77" s="62"/>
    </row>
    <row r="78" spans="1:5">
      <c r="A78" s="62" t="str">
        <f>Source!E266</f>
        <v>35</v>
      </c>
      <c r="B78" s="63" t="str">
        <f>Source!G266</f>
        <v>Посев газонов партерных, мавританских, и обыкновенных вручную</v>
      </c>
      <c r="C78" s="70" t="str">
        <f>Source!H266</f>
        <v>100 м2</v>
      </c>
      <c r="D78" s="60">
        <f>Source!I266</f>
        <v>5.5</v>
      </c>
      <c r="E78" s="62"/>
    </row>
    <row r="79" spans="1:5" hidden="1">
      <c r="A79" s="117" t="str">
        <f>CONCATENATE("Раздел: ", Source!G300)</f>
        <v>Раздел: Стелла " Чертаново Центральное"</v>
      </c>
      <c r="B79" s="117"/>
      <c r="C79" s="117"/>
      <c r="D79" s="117"/>
      <c r="E79" s="117"/>
    </row>
    <row r="80" spans="1:5" ht="38.25">
      <c r="A80" s="62" t="str">
        <f>Source!E304</f>
        <v>36</v>
      </c>
      <c r="B80" s="63" t="str">
        <f>Source!G304</f>
        <v>Разработка грунта вручную в траншеях глубиной до 2 м без креплений с откосами, группа грунтов 1-3  ( 2,6м2*0,3м*0,1 (10%) ) с последующей планировкой прилегающей территории</v>
      </c>
      <c r="C80" s="70" t="str">
        <f>Source!H304</f>
        <v>100 м3</v>
      </c>
      <c r="D80" s="60">
        <f>Source!I304</f>
        <v>8.0000000000000004E-4</v>
      </c>
      <c r="E80" s="62"/>
    </row>
    <row r="81" spans="1:5" ht="25.5">
      <c r="A81" s="62" t="str">
        <f>Source!E305</f>
        <v>37</v>
      </c>
      <c r="B81" s="63" t="str">
        <f>Source!G305</f>
        <v>Разработка грунта с погрузкой на автомобили-самосвалы экскаваторами с ковшом вместимостью 0,5 м3, группа грунтов 1-3 ( 2,6м2*0,3м*0,9(90%))</v>
      </c>
      <c r="C81" s="70" t="str">
        <f>Source!H305</f>
        <v>100 м3</v>
      </c>
      <c r="D81" s="60">
        <f>Source!I305</f>
        <v>7.0000000000000001E-3</v>
      </c>
      <c r="E81" s="62"/>
    </row>
    <row r="82" spans="1:5" ht="51">
      <c r="A82" s="62" t="str">
        <f>Source!E306</f>
        <v>38</v>
      </c>
      <c r="B82" s="63" t="str">
        <f>Source!G306</f>
        <v>Планировка участка механизированным способом (планировка площадей разработанным грунтом  ремонтируемой территории в т.ч. устранение неровностей, уклонов, засыпка ям механизированным способом (при слое 20 см покрываемая площадь 0,7м3/0,2м х 0,75)</v>
      </c>
      <c r="C82" s="70" t="str">
        <f>Source!H306</f>
        <v>100 м2</v>
      </c>
      <c r="D82" s="60">
        <f>Source!I306</f>
        <v>2.5999999999999999E-2</v>
      </c>
      <c r="E82" s="62"/>
    </row>
    <row r="83" spans="1:5" ht="38.25">
      <c r="A83" s="62" t="str">
        <f>Source!E307</f>
        <v>39</v>
      </c>
      <c r="B83" s="63" t="str">
        <f>Source!G307</f>
        <v>Планировка участка вручную (планировка разработанным грунтом ремонтируемой территории в т.ч. устранение неровностей, уклонов, засыпка ям вручную (при слое 20 см покрываемая площадь 0,7м3/0,2м х 0,25)</v>
      </c>
      <c r="C83" s="70" t="str">
        <f>Source!H307</f>
        <v>100 м2</v>
      </c>
      <c r="D83" s="60">
        <f>Source!I307</f>
        <v>8.9999999999999993E-3</v>
      </c>
      <c r="E83" s="62"/>
    </row>
    <row r="84" spans="1:5">
      <c r="A84" s="62" t="str">
        <f>Source!E308</f>
        <v>40</v>
      </c>
      <c r="B84" s="63" t="str">
        <f>Source!G308</f>
        <v>Устройство подстилающих и выравнивающих слоев оснований из песка</v>
      </c>
      <c r="C84" s="70" t="str">
        <f>Source!H308</f>
        <v>100 м3</v>
      </c>
      <c r="D84" s="60">
        <f>Source!I308</f>
        <v>2.5999999999999999E-3</v>
      </c>
      <c r="E84" s="62"/>
    </row>
    <row r="85" spans="1:5">
      <c r="A85" s="62" t="str">
        <f>Source!E309</f>
        <v>41</v>
      </c>
      <c r="B85" s="63" t="str">
        <f>Source!G309</f>
        <v>Устройство подстилающих и выравнивающих слоев оснований из щебня</v>
      </c>
      <c r="C85" s="70" t="str">
        <f>Source!H309</f>
        <v>100 м3</v>
      </c>
      <c r="D85" s="60">
        <f>Source!I309</f>
        <v>3.8999999999999998E-3</v>
      </c>
      <c r="E85" s="62"/>
    </row>
    <row r="86" spans="1:5">
      <c r="A86" s="62" t="str">
        <f>Source!E310</f>
        <v>42</v>
      </c>
      <c r="B86" s="63" t="str">
        <f>Source!G310</f>
        <v>Устройство фундаментных плит бетонных плоских</v>
      </c>
      <c r="C86" s="70" t="str">
        <f>Source!H310</f>
        <v>100 м3</v>
      </c>
      <c r="D86" s="60">
        <f>Source!I310</f>
        <v>3.8999999999999998E-3</v>
      </c>
      <c r="E86" s="62"/>
    </row>
    <row r="87" spans="1:5" ht="25.5">
      <c r="A87" s="62" t="str">
        <f>Source!E311</f>
        <v>43</v>
      </c>
      <c r="B87" s="63" t="str">
        <f>Source!G311</f>
        <v>Гидроизоляция стен, фундаментов боковая обмазочная битумная в 2 слоя по выровненной поверхности бутовой кладки, кирпичу, бетону</v>
      </c>
      <c r="C87" s="70" t="str">
        <f>Source!H311</f>
        <v>100 м2</v>
      </c>
      <c r="D87" s="60">
        <f>Source!I311</f>
        <v>4.4000000000000003E-3</v>
      </c>
      <c r="E87" s="62"/>
    </row>
    <row r="88" spans="1:5">
      <c r="A88" s="62" t="str">
        <f>Source!E312</f>
        <v>44</v>
      </c>
      <c r="B88" s="63" t="str">
        <f>Source!G312</f>
        <v>Окраска фасадов с лесов акриловой краской с подготовкой поверхности</v>
      </c>
      <c r="C88" s="70" t="str">
        <f>Source!H312</f>
        <v>100 м2</v>
      </c>
      <c r="D88" s="60">
        <f>Source!I312</f>
        <v>3.5000000000000003E-2</v>
      </c>
      <c r="E88" s="62"/>
    </row>
    <row r="89" spans="1:5">
      <c r="A89" s="62" t="str">
        <f>Source!E313</f>
        <v>45</v>
      </c>
      <c r="B89" s="63" t="str">
        <f>Source!G313</f>
        <v>Установка закладных деталей весом до 4 кг</v>
      </c>
      <c r="C89" s="70" t="str">
        <f>Source!H313</f>
        <v>т</v>
      </c>
      <c r="D89" s="60">
        <f>Source!I313</f>
        <v>0.86399999999999999</v>
      </c>
      <c r="E89" s="62"/>
    </row>
    <row r="90" spans="1:5">
      <c r="A90" s="62" t="str">
        <f>Source!E314</f>
        <v>46</v>
      </c>
      <c r="B90" s="63" t="str">
        <f>Source!G314</f>
        <v>Установка монтажных изделий массой свыше 20 кг</v>
      </c>
      <c r="C90" s="70" t="str">
        <f>Source!H314</f>
        <v>т</v>
      </c>
      <c r="D90" s="60">
        <f>Source!I314</f>
        <v>0.94499999999999995</v>
      </c>
      <c r="E90" s="62"/>
    </row>
    <row r="91" spans="1:5" ht="25.5">
      <c r="A91" s="62" t="str">
        <f>Source!E315</f>
        <v>46,1</v>
      </c>
      <c r="B91" s="63" t="str">
        <f>Source!G315</f>
        <v>Профили стальные электросварные прямоугольного сечения трубчатые, размер 40х60 мм, толщина стенки 3,0 мм</v>
      </c>
      <c r="C91" s="70" t="str">
        <f>Source!H315</f>
        <v>т</v>
      </c>
      <c r="D91" s="60">
        <f>Source!I315</f>
        <v>0.61147099999999999</v>
      </c>
      <c r="E91" s="62"/>
    </row>
    <row r="92" spans="1:5">
      <c r="A92" s="62" t="str">
        <f>Source!E316</f>
        <v>46,2</v>
      </c>
      <c r="B92" s="63" t="str">
        <f>Source!G316</f>
        <v>Сталь полосовая, марка Ст1сп - Ст6сп, спокойная</v>
      </c>
      <c r="C92" s="70" t="str">
        <f>Source!H316</f>
        <v>т</v>
      </c>
      <c r="D92" s="60">
        <f>Source!I316</f>
        <v>0.33352900000000002</v>
      </c>
      <c r="E92" s="62"/>
    </row>
    <row r="93" spans="1:5" ht="25.5">
      <c r="A93" s="62" t="str">
        <f>Source!E317</f>
        <v>47</v>
      </c>
      <c r="B93" s="63" t="str">
        <f>Source!G317</f>
        <v>Облицовка ворот стальным профилированным листом /  оцинкованный толщиной 0,55 мм с полимерным покрытием / Облицовка фоновой панелью</v>
      </c>
      <c r="C93" s="70" t="str">
        <f>Source!H317</f>
        <v>100 м2</v>
      </c>
      <c r="D93" s="60">
        <f>Source!I317</f>
        <v>0.32400000000000001</v>
      </c>
      <c r="E93" s="62"/>
    </row>
    <row r="94" spans="1:5" ht="25.5">
      <c r="A94" s="62" t="str">
        <f>Source!E318</f>
        <v>47,1</v>
      </c>
      <c r="B94" s="63" t="str">
        <f>Source!G318</f>
        <v>Листы профилированные стальные оцинкованные, толщина 0,55 мм, размер 1250х2000 мм, с полимерным покрытием (металлопласт)</v>
      </c>
      <c r="C94" s="70" t="str">
        <f>Source!H318</f>
        <v>м2</v>
      </c>
      <c r="D94" s="60">
        <f>Source!I318</f>
        <v>-33.048000000000002</v>
      </c>
      <c r="E94" s="62"/>
    </row>
    <row r="95" spans="1:5">
      <c r="A95" s="62" t="str">
        <f>Source!E319</f>
        <v>47,2</v>
      </c>
      <c r="B95" s="63" t="str">
        <f>Source!G319</f>
        <v>Сталь листовая горячекатаная нержавеющая, толщина до 4 мм</v>
      </c>
      <c r="C95" s="70" t="str">
        <f>Source!H319</f>
        <v>т</v>
      </c>
      <c r="D95" s="60">
        <f>Source!I319</f>
        <v>0.74329400000000001</v>
      </c>
      <c r="E95" s="62"/>
    </row>
    <row r="96" spans="1:5" ht="25.5">
      <c r="A96" s="62" t="str">
        <f>Source!E320</f>
        <v>48</v>
      </c>
      <c r="B96" s="63" t="str">
        <f>Source!G320</f>
        <v>Облицовка ворот стальным профилированным листом /  оцинкованный толщиной 0,55 мм с полимерным покрытием / Облицовка фоновой панелью</v>
      </c>
      <c r="C96" s="70" t="str">
        <f>Source!H320</f>
        <v>100 м2</v>
      </c>
      <c r="D96" s="60">
        <f>Source!I320</f>
        <v>0.128</v>
      </c>
      <c r="E96" s="62"/>
    </row>
    <row r="97" spans="1:5" ht="25.5">
      <c r="A97" s="62" t="str">
        <f>Source!E321</f>
        <v>48,1</v>
      </c>
      <c r="B97" s="63" t="str">
        <f>Source!G321</f>
        <v>Листы профилированные стальные оцинкованные, толщина 0,55 мм, размер 1250х2000 мм, с полимерным покрытием (металлопласт)</v>
      </c>
      <c r="C97" s="70" t="str">
        <f>Source!H321</f>
        <v>м2</v>
      </c>
      <c r="D97" s="60">
        <f>Source!I321</f>
        <v>-13.055999999999999</v>
      </c>
      <c r="E97" s="62"/>
    </row>
    <row r="98" spans="1:5">
      <c r="A98" s="62" t="str">
        <f>Source!E322</f>
        <v>48,2</v>
      </c>
      <c r="B98" s="63" t="str">
        <f>Source!G322</f>
        <v>Сталь листовая горячекатаная нержавеющая, толщина более 4 мм</v>
      </c>
      <c r="C98" s="70" t="str">
        <f>Source!H322</f>
        <v>т</v>
      </c>
      <c r="D98" s="60">
        <f>Source!I322</f>
        <v>0.77015299999999998</v>
      </c>
      <c r="E98" s="62"/>
    </row>
    <row r="99" spans="1:5">
      <c r="A99" s="62" t="str">
        <f>Source!E323</f>
        <v>49</v>
      </c>
      <c r="B99" s="63" t="str">
        <f>Source!G323</f>
        <v>Расчистка поверхностей щетками</v>
      </c>
      <c r="C99" s="70" t="str">
        <f>Source!H323</f>
        <v>м2</v>
      </c>
      <c r="D99" s="60">
        <f>Source!I323</f>
        <v>236.4</v>
      </c>
      <c r="E99" s="62"/>
    </row>
    <row r="100" spans="1:5" ht="25.5">
      <c r="A100" s="62" t="str">
        <f>Source!E324</f>
        <v>50</v>
      </c>
      <c r="B100" s="63" t="str">
        <f>Source!G324</f>
        <v>Обезжиривание металлической поверхности оборудования и труб диаметром до 500 мм уайт-спиритом</v>
      </c>
      <c r="C100" s="70" t="str">
        <f>Source!H324</f>
        <v>100 м2</v>
      </c>
      <c r="D100" s="60">
        <f>Source!I324</f>
        <v>2.3639999999999999</v>
      </c>
      <c r="E100" s="62"/>
    </row>
    <row r="101" spans="1:5" ht="25.5">
      <c r="A101" s="62" t="str">
        <f>Source!E325</f>
        <v>51</v>
      </c>
      <c r="B101" s="63" t="str">
        <f>Source!G325</f>
        <v>Огрунтовка новых или ранее расчищенных металлических поверхностей алкидными грунтовками, за один раз</v>
      </c>
      <c r="C101" s="70" t="str">
        <f>Source!H325</f>
        <v>10 м2</v>
      </c>
      <c r="D101" s="60">
        <f>Source!I325</f>
        <v>23.64</v>
      </c>
      <c r="E101" s="62"/>
    </row>
    <row r="102" spans="1:5">
      <c r="A102" s="62" t="str">
        <f>Source!E326</f>
        <v>52</v>
      </c>
      <c r="B102" s="63" t="str">
        <f>Source!G326</f>
        <v>Окраска по металлу за один раз металлическим порошком решеток / за два раза</v>
      </c>
      <c r="C102" s="70" t="str">
        <f>Source!H326</f>
        <v>100 м2</v>
      </c>
      <c r="D102" s="60">
        <f>Source!I326</f>
        <v>2.3639999999999999</v>
      </c>
      <c r="E102" s="62"/>
    </row>
    <row r="103" spans="1:5">
      <c r="A103" s="64" t="str">
        <f>Source!E327</f>
        <v>53</v>
      </c>
      <c r="B103" s="65" t="str">
        <f>Source!G327</f>
        <v>Нанесение текстовой информации и символики. прим.</v>
      </c>
      <c r="C103" s="71" t="str">
        <f>Source!H327</f>
        <v>м2</v>
      </c>
      <c r="D103" s="72">
        <f>Source!I327</f>
        <v>23.89</v>
      </c>
      <c r="E103" s="64"/>
    </row>
    <row r="106" spans="1:5">
      <c r="A106" s="66" t="s">
        <v>633</v>
      </c>
      <c r="B106" s="66"/>
      <c r="C106" s="68" t="s">
        <v>634</v>
      </c>
      <c r="D106" s="68"/>
      <c r="E106" s="66"/>
    </row>
  </sheetData>
  <mergeCells count="11">
    <mergeCell ref="A79:E79"/>
    <mergeCell ref="C5:D5"/>
    <mergeCell ref="C7:D7"/>
    <mergeCell ref="A11:D11"/>
    <mergeCell ref="A12:D12"/>
    <mergeCell ref="A19:E19"/>
    <mergeCell ref="A32:E32"/>
    <mergeCell ref="A45:E45"/>
    <mergeCell ref="A52:E52"/>
    <mergeCell ref="A70:E70"/>
    <mergeCell ref="A74:E74"/>
  </mergeCells>
  <pageMargins left="0.4" right="0.2" top="0.2" bottom="0.4" header="0.2" footer="0.2"/>
  <pageSetup paperSize="9" scale="75" fitToHeight="0" orientation="portrait" horizontalDpi="0" verticalDpi="0" r:id="rId1"/>
  <headerFooter>
    <oddHeader>&amp;L&amp;8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W124"/>
  <sheetViews>
    <sheetView workbookViewId="0"/>
  </sheetViews>
  <sheetFormatPr defaultRowHeight="12.75"/>
  <sheetData>
    <row r="1" spans="1:23">
      <c r="A1" t="s">
        <v>658</v>
      </c>
      <c r="B1" t="s">
        <v>659</v>
      </c>
      <c r="C1" t="s">
        <v>660</v>
      </c>
      <c r="D1" t="s">
        <v>661</v>
      </c>
      <c r="E1" t="s">
        <v>662</v>
      </c>
      <c r="F1" t="s">
        <v>663</v>
      </c>
      <c r="G1" t="s">
        <v>664</v>
      </c>
      <c r="H1" t="s">
        <v>665</v>
      </c>
      <c r="I1" t="s">
        <v>666</v>
      </c>
      <c r="J1" t="s">
        <v>667</v>
      </c>
    </row>
    <row r="2" spans="1:23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</row>
    <row r="4" spans="1:23">
      <c r="A4" t="s">
        <v>635</v>
      </c>
      <c r="B4" t="s">
        <v>636</v>
      </c>
      <c r="C4" t="s">
        <v>637</v>
      </c>
      <c r="D4" t="s">
        <v>638</v>
      </c>
      <c r="E4" t="s">
        <v>639</v>
      </c>
      <c r="F4" t="s">
        <v>640</v>
      </c>
      <c r="G4" t="s">
        <v>641</v>
      </c>
      <c r="H4" t="s">
        <v>642</v>
      </c>
      <c r="I4" t="s">
        <v>643</v>
      </c>
      <c r="J4" t="s">
        <v>644</v>
      </c>
      <c r="K4" t="s">
        <v>645</v>
      </c>
      <c r="L4" t="s">
        <v>646</v>
      </c>
      <c r="M4" t="s">
        <v>647</v>
      </c>
      <c r="N4" t="s">
        <v>648</v>
      </c>
      <c r="O4" t="s">
        <v>649</v>
      </c>
      <c r="P4" t="s">
        <v>650</v>
      </c>
      <c r="Q4" t="s">
        <v>651</v>
      </c>
      <c r="R4" t="s">
        <v>652</v>
      </c>
      <c r="S4" t="s">
        <v>653</v>
      </c>
      <c r="T4" t="s">
        <v>654</v>
      </c>
      <c r="U4" t="s">
        <v>655</v>
      </c>
      <c r="V4" t="s">
        <v>656</v>
      </c>
      <c r="W4" t="s">
        <v>657</v>
      </c>
    </row>
    <row r="6" spans="1:23">
      <c r="A6">
        <f>Source!A20</f>
        <v>3</v>
      </c>
      <c r="B6">
        <v>20</v>
      </c>
      <c r="G6" t="str">
        <f>Source!G20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</row>
    <row r="7" spans="1:23">
      <c r="A7">
        <f>Source!A24</f>
        <v>4</v>
      </c>
      <c r="B7">
        <v>24</v>
      </c>
      <c r="G7" t="str">
        <f>Source!G24</f>
        <v>Устройство цветника - 75м2</v>
      </c>
    </row>
    <row r="8" spans="1:23">
      <c r="A8">
        <f>Source!A32</f>
        <v>17</v>
      </c>
      <c r="C8">
        <v>3</v>
      </c>
      <c r="D8">
        <v>0</v>
      </c>
      <c r="E8">
        <f>SmtRes!AV8</f>
        <v>0</v>
      </c>
      <c r="F8" t="str">
        <f>SmtRes!I8</f>
        <v>21.4-6-5</v>
      </c>
      <c r="G8" t="str">
        <f>SmtRes!K8</f>
        <v>Земля растительная</v>
      </c>
      <c r="H8" t="str">
        <f>SmtRes!O8</f>
        <v>м3</v>
      </c>
      <c r="I8">
        <f>SmtRes!Y8*Source!I32</f>
        <v>15</v>
      </c>
      <c r="J8">
        <f>SmtRes!AO8</f>
        <v>1</v>
      </c>
      <c r="K8">
        <f>SmtRes!AE8</f>
        <v>753.67</v>
      </c>
      <c r="L8">
        <f>SmtRes!DB8</f>
        <v>15073.4</v>
      </c>
      <c r="M8">
        <f>ROUND(ROUND(L8*Source!I32, 6)*1, 2)</f>
        <v>11305.05</v>
      </c>
      <c r="N8">
        <f>SmtRes!AA8</f>
        <v>753.67</v>
      </c>
      <c r="O8">
        <f>ROUND(ROUND(L8*Source!I32, 6)*SmtRes!DA8, 2)</f>
        <v>11305.05</v>
      </c>
      <c r="P8">
        <f>SmtRes!AG8</f>
        <v>0</v>
      </c>
      <c r="Q8">
        <f>SmtRes!DC8</f>
        <v>0</v>
      </c>
      <c r="R8">
        <f>ROUND(ROUND(Q8*Source!I32, 6)*1, 2)</f>
        <v>0</v>
      </c>
      <c r="S8">
        <f>SmtRes!AC8</f>
        <v>0</v>
      </c>
      <c r="T8">
        <f>ROUND(ROUND(Q8*Source!I32, 6)*SmtRes!AK8, 2)</f>
        <v>0</v>
      </c>
      <c r="U8">
        <f>SmtRes!X8</f>
        <v>-1277312656</v>
      </c>
      <c r="V8">
        <v>1365262818</v>
      </c>
      <c r="W8">
        <v>1365262818</v>
      </c>
    </row>
    <row r="9" spans="1:23">
      <c r="A9">
        <f>Source!A33</f>
        <v>17</v>
      </c>
      <c r="C9">
        <v>3</v>
      </c>
      <c r="D9">
        <v>0</v>
      </c>
      <c r="E9">
        <f>SmtRes!AV10</f>
        <v>0</v>
      </c>
      <c r="F9" t="str">
        <f>SmtRes!I10</f>
        <v>21.4-6-5</v>
      </c>
      <c r="G9" t="str">
        <f>SmtRes!K10</f>
        <v>Земля растительная</v>
      </c>
      <c r="H9" t="str">
        <f>SmtRes!O10</f>
        <v>м3</v>
      </c>
      <c r="I9">
        <f>SmtRes!Y10*Source!I33</f>
        <v>7.5</v>
      </c>
      <c r="J9">
        <f>SmtRes!AO10</f>
        <v>1</v>
      </c>
      <c r="K9">
        <f>SmtRes!AE10</f>
        <v>753.67</v>
      </c>
      <c r="L9">
        <f>SmtRes!DB10</f>
        <v>7536.7</v>
      </c>
      <c r="M9">
        <f>ROUND(ROUND(L9*Source!I33, 6)*1, 2)</f>
        <v>5652.53</v>
      </c>
      <c r="N9">
        <f>SmtRes!AA10</f>
        <v>753.67</v>
      </c>
      <c r="O9">
        <f>ROUND(ROUND(L9*Source!I33, 6)*SmtRes!DA10, 2)</f>
        <v>5652.53</v>
      </c>
      <c r="P9">
        <f>SmtRes!AG10</f>
        <v>0</v>
      </c>
      <c r="Q9">
        <f>SmtRes!DC10</f>
        <v>0</v>
      </c>
      <c r="R9">
        <f>ROUND(ROUND(Q9*Source!I33, 6)*1, 2)</f>
        <v>0</v>
      </c>
      <c r="S9">
        <f>SmtRes!AC10</f>
        <v>0</v>
      </c>
      <c r="T9">
        <f>ROUND(ROUND(Q9*Source!I33, 6)*SmtRes!AK10, 2)</f>
        <v>0</v>
      </c>
      <c r="U9">
        <f>SmtRes!X10</f>
        <v>-1277312656</v>
      </c>
      <c r="V9">
        <v>1365262818</v>
      </c>
      <c r="W9">
        <v>1365262818</v>
      </c>
    </row>
    <row r="10" spans="1:23">
      <c r="A10">
        <f>Source!A34</f>
        <v>17</v>
      </c>
      <c r="C10">
        <v>3</v>
      </c>
      <c r="D10">
        <v>0</v>
      </c>
      <c r="E10">
        <f>SmtRes!AV16</f>
        <v>0</v>
      </c>
      <c r="F10" t="str">
        <f>SmtRes!I16</f>
        <v>21.4-6-8</v>
      </c>
      <c r="G10" t="str">
        <f>SmtRes!K16</f>
        <v>Перегной</v>
      </c>
      <c r="H10" t="str">
        <f>SmtRes!O16</f>
        <v>м3</v>
      </c>
      <c r="I10">
        <f>SmtRes!Y16*Source!I34</f>
        <v>1.5</v>
      </c>
      <c r="J10">
        <f>SmtRes!AO16</f>
        <v>1</v>
      </c>
      <c r="K10">
        <f>SmtRes!AE16</f>
        <v>1105</v>
      </c>
      <c r="L10">
        <f>SmtRes!DB16</f>
        <v>2210</v>
      </c>
      <c r="M10">
        <f>ROUND(ROUND(L10*Source!I34, 6)*1, 2)</f>
        <v>1657.5</v>
      </c>
      <c r="N10">
        <f>SmtRes!AA16</f>
        <v>1105</v>
      </c>
      <c r="O10">
        <f>ROUND(ROUND(L10*Source!I34, 6)*SmtRes!DA16, 2)</f>
        <v>1657.5</v>
      </c>
      <c r="P10">
        <f>SmtRes!AG16</f>
        <v>0</v>
      </c>
      <c r="Q10">
        <f>SmtRes!DC16</f>
        <v>0</v>
      </c>
      <c r="R10">
        <f>ROUND(ROUND(Q10*Source!I34, 6)*1, 2)</f>
        <v>0</v>
      </c>
      <c r="S10">
        <f>SmtRes!AC16</f>
        <v>0</v>
      </c>
      <c r="T10">
        <f>ROUND(ROUND(Q10*Source!I34, 6)*SmtRes!AK16, 2)</f>
        <v>0</v>
      </c>
      <c r="U10">
        <f>SmtRes!X16</f>
        <v>1865477211</v>
      </c>
      <c r="V10">
        <v>-1661362736</v>
      </c>
      <c r="W10">
        <v>-1661362736</v>
      </c>
    </row>
    <row r="11" spans="1:23">
      <c r="A11">
        <f>Source!A34</f>
        <v>17</v>
      </c>
      <c r="C11">
        <v>3</v>
      </c>
      <c r="D11">
        <v>0</v>
      </c>
      <c r="E11">
        <f>SmtRes!AV14</f>
        <v>0</v>
      </c>
      <c r="F11" t="str">
        <f>SmtRes!I14</f>
        <v>21.1-9-57</v>
      </c>
      <c r="G11" t="str">
        <f>SmtRes!K14</f>
        <v>Доски хвойных пород, обрезные, длина 2-6,5 м, сорт III, толщина 40-60 мм</v>
      </c>
      <c r="H11" t="str">
        <f>SmtRes!O14</f>
        <v>м3</v>
      </c>
      <c r="I11">
        <f>SmtRes!Y14*Source!I34</f>
        <v>6.0000000000000001E-3</v>
      </c>
      <c r="J11">
        <f>SmtRes!AO14</f>
        <v>1</v>
      </c>
      <c r="K11">
        <f>SmtRes!AE14</f>
        <v>7098.7</v>
      </c>
      <c r="L11">
        <f>SmtRes!DB14</f>
        <v>56.79</v>
      </c>
      <c r="M11">
        <f>ROUND(ROUND(L11*Source!I34, 6)*1, 2)</f>
        <v>42.59</v>
      </c>
      <c r="N11">
        <f>SmtRes!AA14</f>
        <v>7098.7</v>
      </c>
      <c r="O11">
        <f>ROUND(ROUND(L11*Source!I34, 6)*SmtRes!DA14, 2)</f>
        <v>42.59</v>
      </c>
      <c r="P11">
        <f>SmtRes!AG14</f>
        <v>0</v>
      </c>
      <c r="Q11">
        <f>SmtRes!DC14</f>
        <v>0</v>
      </c>
      <c r="R11">
        <f>ROUND(ROUND(Q11*Source!I34, 6)*1, 2)</f>
        <v>0</v>
      </c>
      <c r="S11">
        <f>SmtRes!AC14</f>
        <v>0</v>
      </c>
      <c r="T11">
        <f>ROUND(ROUND(Q11*Source!I34, 6)*SmtRes!AK14, 2)</f>
        <v>0</v>
      </c>
      <c r="U11">
        <f>SmtRes!X14</f>
        <v>538447250</v>
      </c>
      <c r="V11">
        <v>1167723416</v>
      </c>
      <c r="W11">
        <v>1167723416</v>
      </c>
    </row>
    <row r="12" spans="1:23">
      <c r="A12">
        <f>Source!A34</f>
        <v>17</v>
      </c>
      <c r="C12">
        <v>3</v>
      </c>
      <c r="D12">
        <v>0</v>
      </c>
      <c r="E12">
        <f>SmtRes!AV13</f>
        <v>0</v>
      </c>
      <c r="F12" t="str">
        <f>SmtRes!I13</f>
        <v>21.1-25-13</v>
      </c>
      <c r="G12" t="str">
        <f>SmtRes!K13</f>
        <v>Вода</v>
      </c>
      <c r="H12" t="str">
        <f>SmtRes!O13</f>
        <v>м3</v>
      </c>
      <c r="I12">
        <f>SmtRes!Y13*Source!I34</f>
        <v>22.5</v>
      </c>
      <c r="J12">
        <f>SmtRes!AO13</f>
        <v>1</v>
      </c>
      <c r="K12">
        <f>SmtRes!AE13</f>
        <v>35.25</v>
      </c>
      <c r="L12">
        <f>SmtRes!DB13</f>
        <v>1057.5</v>
      </c>
      <c r="M12">
        <f>ROUND(ROUND(L12*Source!I34, 6)*1, 2)</f>
        <v>793.13</v>
      </c>
      <c r="N12">
        <f>SmtRes!AA13</f>
        <v>35.25</v>
      </c>
      <c r="O12">
        <f>ROUND(ROUND(L12*Source!I34, 6)*SmtRes!DA13, 2)</f>
        <v>793.13</v>
      </c>
      <c r="P12">
        <f>SmtRes!AG13</f>
        <v>0</v>
      </c>
      <c r="Q12">
        <f>SmtRes!DC13</f>
        <v>0</v>
      </c>
      <c r="R12">
        <f>ROUND(ROUND(Q12*Source!I34, 6)*1, 2)</f>
        <v>0</v>
      </c>
      <c r="S12">
        <f>SmtRes!AC13</f>
        <v>0</v>
      </c>
      <c r="T12">
        <f>ROUND(ROUND(Q12*Source!I34, 6)*SmtRes!AK13, 2)</f>
        <v>0</v>
      </c>
      <c r="U12">
        <f>SmtRes!X13</f>
        <v>1927597627</v>
      </c>
      <c r="V12">
        <v>-1829664509</v>
      </c>
      <c r="W12">
        <v>-1829664509</v>
      </c>
    </row>
    <row r="13" spans="1:23">
      <c r="A13">
        <f>Source!A34</f>
        <v>17</v>
      </c>
      <c r="C13">
        <v>3</v>
      </c>
      <c r="D13">
        <v>0</v>
      </c>
      <c r="E13">
        <f>SmtRes!AV12</f>
        <v>0</v>
      </c>
      <c r="F13" t="str">
        <f>SmtRes!I12</f>
        <v>21.1-20-54</v>
      </c>
      <c r="G13" t="str">
        <f>SmtRes!K12</f>
        <v>Шпагат пеньковый</v>
      </c>
      <c r="H13" t="str">
        <f>SmtRes!O12</f>
        <v>кг</v>
      </c>
      <c r="I13">
        <f>SmtRes!Y12*Source!I34</f>
        <v>0.60000000000000009</v>
      </c>
      <c r="J13">
        <f>SmtRes!AO12</f>
        <v>1</v>
      </c>
      <c r="K13">
        <f>SmtRes!AE12</f>
        <v>171.21</v>
      </c>
      <c r="L13">
        <f>SmtRes!DB12</f>
        <v>136.97</v>
      </c>
      <c r="M13">
        <f>ROUND(ROUND(L13*Source!I34, 6)*1, 2)</f>
        <v>102.73</v>
      </c>
      <c r="N13">
        <f>SmtRes!AA12</f>
        <v>171.21</v>
      </c>
      <c r="O13">
        <f>ROUND(ROUND(L13*Source!I34, 6)*SmtRes!DA12, 2)</f>
        <v>102.73</v>
      </c>
      <c r="P13">
        <f>SmtRes!AG12</f>
        <v>0</v>
      </c>
      <c r="Q13">
        <f>SmtRes!DC12</f>
        <v>0</v>
      </c>
      <c r="R13">
        <f>ROUND(ROUND(Q13*Source!I34, 6)*1, 2)</f>
        <v>0</v>
      </c>
      <c r="S13">
        <f>SmtRes!AC12</f>
        <v>0</v>
      </c>
      <c r="T13">
        <f>ROUND(ROUND(Q13*Source!I34, 6)*SmtRes!AK12, 2)</f>
        <v>0</v>
      </c>
      <c r="U13">
        <f>SmtRes!X12</f>
        <v>-2033961190</v>
      </c>
      <c r="V13">
        <v>749401340</v>
      </c>
      <c r="W13">
        <v>749401340</v>
      </c>
    </row>
    <row r="14" spans="1:23">
      <c r="A14">
        <f>Source!A36</f>
        <v>18</v>
      </c>
      <c r="C14">
        <v>3</v>
      </c>
      <c r="D14">
        <f>Source!BI36</f>
        <v>4</v>
      </c>
      <c r="E14">
        <f>Source!FS36</f>
        <v>0</v>
      </c>
      <c r="F14" t="str">
        <f>Source!F36</f>
        <v>21.4-3-218</v>
      </c>
      <c r="G14" t="str">
        <f>Source!G36</f>
        <v>Посадочный материал многолетних культур: котовник фассена, С3</v>
      </c>
      <c r="H14" t="str">
        <f>Source!H36</f>
        <v>шт.</v>
      </c>
      <c r="I14">
        <f>Source!I36</f>
        <v>315</v>
      </c>
      <c r="J14">
        <v>1</v>
      </c>
      <c r="K14">
        <f>Source!AC36</f>
        <v>189</v>
      </c>
      <c r="M14">
        <f>ROUND(K14*I14, 2)</f>
        <v>59535</v>
      </c>
      <c r="N14">
        <f>Source!AC36*IF(Source!BC36&lt;&gt; 0, Source!BC36, 1)</f>
        <v>189</v>
      </c>
      <c r="O14">
        <f>ROUND(N14*I14, 2)</f>
        <v>59535</v>
      </c>
      <c r="P14">
        <f>Source!AE36</f>
        <v>0</v>
      </c>
      <c r="R14">
        <f>ROUND(P14*I14, 2)</f>
        <v>0</v>
      </c>
      <c r="S14">
        <f>Source!AE36*IF(Source!BS36&lt;&gt; 0, Source!BS36, 1)</f>
        <v>0</v>
      </c>
      <c r="T14">
        <f>ROUND(S14*I14, 2)</f>
        <v>0</v>
      </c>
      <c r="U14">
        <f>Source!GF36</f>
        <v>-849394457</v>
      </c>
      <c r="V14">
        <v>-1883756741</v>
      </c>
      <c r="W14">
        <v>-1883756741</v>
      </c>
    </row>
    <row r="15" spans="1:23">
      <c r="A15">
        <f>Source!A37</f>
        <v>18</v>
      </c>
      <c r="C15">
        <v>3</v>
      </c>
      <c r="D15">
        <f>Source!BI37</f>
        <v>4</v>
      </c>
      <c r="E15">
        <f>Source!FS37</f>
        <v>0</v>
      </c>
      <c r="F15" t="str">
        <f>Source!F37</f>
        <v>коммерческое предложение</v>
      </c>
      <c r="G15" t="str">
        <f>Source!G37</f>
        <v>Посадочный материал многолетних культур: гейхера в ассортименте</v>
      </c>
      <c r="H15" t="str">
        <f>Source!H37</f>
        <v>шт.</v>
      </c>
      <c r="I15">
        <f>Source!I37</f>
        <v>480</v>
      </c>
      <c r="J15">
        <v>1</v>
      </c>
      <c r="K15">
        <f>Source!AC37</f>
        <v>124.17</v>
      </c>
      <c r="M15">
        <f>ROUND(K15*I15, 2)</f>
        <v>59601.599999999999</v>
      </c>
      <c r="N15">
        <f>Source!AC37*IF(Source!BC37&lt;&gt; 0, Source!BC37, 1)</f>
        <v>124.17</v>
      </c>
      <c r="O15">
        <f>ROUND(N15*I15, 2)</f>
        <v>59601.599999999999</v>
      </c>
      <c r="P15">
        <f>Source!AE37</f>
        <v>0</v>
      </c>
      <c r="R15">
        <f>ROUND(P15*I15, 2)</f>
        <v>0</v>
      </c>
      <c r="S15">
        <f>Source!AE37*IF(Source!BS37&lt;&gt; 0, Source!BS37, 1)</f>
        <v>0</v>
      </c>
      <c r="T15">
        <f>ROUND(S15*I15, 2)</f>
        <v>0</v>
      </c>
      <c r="U15">
        <f>Source!GF37</f>
        <v>1132781643</v>
      </c>
      <c r="V15">
        <v>1878437229</v>
      </c>
      <c r="W15">
        <v>1878437229</v>
      </c>
    </row>
    <row r="16" spans="1:23">
      <c r="A16">
        <f>Source!A38</f>
        <v>17</v>
      </c>
      <c r="C16">
        <v>3</v>
      </c>
      <c r="D16">
        <v>0</v>
      </c>
      <c r="E16">
        <f>SmtRes!AV21</f>
        <v>0</v>
      </c>
      <c r="F16" t="str">
        <f>SmtRes!I21</f>
        <v>21.1-9-57</v>
      </c>
      <c r="G16" t="str">
        <f>SmtRes!K21</f>
        <v>Доски хвойных пород, обрезные, длина 2-6,5 м, сорт III, толщина 40-60 мм</v>
      </c>
      <c r="H16" t="str">
        <f>SmtRes!O21</f>
        <v>м3</v>
      </c>
      <c r="I16">
        <f>SmtRes!Y21*Source!I38</f>
        <v>-2.2142857124999998E-3</v>
      </c>
      <c r="J16">
        <f>SmtRes!AO21</f>
        <v>1</v>
      </c>
      <c r="K16">
        <f>SmtRes!AE21</f>
        <v>7098.7</v>
      </c>
      <c r="L16">
        <f>SmtRes!DB21</f>
        <v>20.956</v>
      </c>
      <c r="M16">
        <f>ROUND(ROUND(L16*Source!I38, 6)*1, 2)</f>
        <v>-15.72</v>
      </c>
      <c r="N16">
        <f>SmtRes!AA21</f>
        <v>7098.7</v>
      </c>
      <c r="O16">
        <f>ROUND(ROUND(L16*Source!I38, 6)*SmtRes!DA21, 2)</f>
        <v>-15.72</v>
      </c>
      <c r="P16">
        <f>SmtRes!AG21</f>
        <v>0</v>
      </c>
      <c r="Q16">
        <f>SmtRes!DC21</f>
        <v>0</v>
      </c>
      <c r="R16">
        <f>ROUND(ROUND(Q16*Source!I38, 6)*1, 2)</f>
        <v>0</v>
      </c>
      <c r="S16">
        <f>SmtRes!AC21</f>
        <v>0</v>
      </c>
      <c r="T16">
        <f>ROUND(ROUND(Q16*Source!I38, 6)*SmtRes!AK21, 2)</f>
        <v>0</v>
      </c>
      <c r="U16">
        <f>SmtRes!X21</f>
        <v>538447250</v>
      </c>
      <c r="V16">
        <v>1167723416</v>
      </c>
      <c r="W16">
        <v>1167723416</v>
      </c>
    </row>
    <row r="17" spans="1:23">
      <c r="A17">
        <f>Source!A38</f>
        <v>17</v>
      </c>
      <c r="C17">
        <v>3</v>
      </c>
      <c r="D17">
        <v>0</v>
      </c>
      <c r="E17">
        <f>SmtRes!AV20</f>
        <v>0</v>
      </c>
      <c r="F17" t="str">
        <f>SmtRes!I20</f>
        <v>21.1-20-54</v>
      </c>
      <c r="G17" t="str">
        <f>SmtRes!K20</f>
        <v>Шпагат пеньковый</v>
      </c>
      <c r="H17" t="str">
        <f>SmtRes!O20</f>
        <v>кг</v>
      </c>
      <c r="I17">
        <f>SmtRes!Y20*Source!I38</f>
        <v>-0.22142857124999998</v>
      </c>
      <c r="J17">
        <f>SmtRes!AO20</f>
        <v>1</v>
      </c>
      <c r="K17">
        <f>SmtRes!AE20</f>
        <v>171.21</v>
      </c>
      <c r="L17">
        <f>SmtRes!DB20</f>
        <v>50.550666999999997</v>
      </c>
      <c r="M17">
        <f>ROUND(ROUND(L17*Source!I38, 6)*1, 2)</f>
        <v>-37.909999999999997</v>
      </c>
      <c r="N17">
        <f>SmtRes!AA20</f>
        <v>171.21</v>
      </c>
      <c r="O17">
        <f>ROUND(ROUND(L17*Source!I38, 6)*SmtRes!DA20, 2)</f>
        <v>-37.909999999999997</v>
      </c>
      <c r="P17">
        <f>SmtRes!AG20</f>
        <v>0</v>
      </c>
      <c r="Q17">
        <f>SmtRes!DC20</f>
        <v>0</v>
      </c>
      <c r="R17">
        <f>ROUND(ROUND(Q17*Source!I38, 6)*1, 2)</f>
        <v>0</v>
      </c>
      <c r="S17">
        <f>SmtRes!AC20</f>
        <v>0</v>
      </c>
      <c r="T17">
        <f>ROUND(ROUND(Q17*Source!I38, 6)*SmtRes!AK20, 2)</f>
        <v>0</v>
      </c>
      <c r="U17">
        <f>SmtRes!X20</f>
        <v>-2033961190</v>
      </c>
      <c r="V17">
        <v>749401340</v>
      </c>
      <c r="W17">
        <v>749401340</v>
      </c>
    </row>
    <row r="18" spans="1:23">
      <c r="A18">
        <f>Source!A73</f>
        <v>4</v>
      </c>
      <c r="B18">
        <v>73</v>
      </c>
      <c r="G18" t="str">
        <f>Source!G73</f>
        <v>Посадка кустарников - 229шт.</v>
      </c>
    </row>
    <row r="19" spans="1:23">
      <c r="A19">
        <f>Source!A77</f>
        <v>17</v>
      </c>
      <c r="C19">
        <v>3</v>
      </c>
      <c r="D19">
        <v>0</v>
      </c>
      <c r="E19">
        <f>SmtRes!AV27</f>
        <v>0</v>
      </c>
      <c r="F19" t="str">
        <f>SmtRes!I27</f>
        <v>21.4-6-5</v>
      </c>
      <c r="G19" t="str">
        <f>SmtRes!K27</f>
        <v>Земля растительная</v>
      </c>
      <c r="H19" t="str">
        <f>SmtRes!O27</f>
        <v>м3</v>
      </c>
      <c r="I19">
        <f>SmtRes!Y27*Source!I77</f>
        <v>18.32</v>
      </c>
      <c r="J19">
        <f>SmtRes!AO27</f>
        <v>1</v>
      </c>
      <c r="K19">
        <f>SmtRes!AE27</f>
        <v>753.67</v>
      </c>
      <c r="L19">
        <f>SmtRes!DB27</f>
        <v>1507.34</v>
      </c>
      <c r="M19">
        <f>ROUND(ROUND(L19*Source!I77, 6)*1, 2)</f>
        <v>13807.23</v>
      </c>
      <c r="N19">
        <f>SmtRes!AA27</f>
        <v>753.67</v>
      </c>
      <c r="O19">
        <f>ROUND(ROUND(L19*Source!I77, 6)*SmtRes!DA27, 2)</f>
        <v>13807.23</v>
      </c>
      <c r="P19">
        <f>SmtRes!AG27</f>
        <v>0</v>
      </c>
      <c r="Q19">
        <f>SmtRes!DC27</f>
        <v>0</v>
      </c>
      <c r="R19">
        <f>ROUND(ROUND(Q19*Source!I77, 6)*1, 2)</f>
        <v>0</v>
      </c>
      <c r="S19">
        <f>SmtRes!AC27</f>
        <v>0</v>
      </c>
      <c r="T19">
        <f>ROUND(ROUND(Q19*Source!I77, 6)*SmtRes!AK27, 2)</f>
        <v>0</v>
      </c>
      <c r="U19">
        <f>SmtRes!X27</f>
        <v>-1172857595</v>
      </c>
      <c r="V19">
        <v>-353567041</v>
      </c>
      <c r="W19">
        <v>-353567041</v>
      </c>
    </row>
    <row r="20" spans="1:23">
      <c r="A20">
        <f>Source!A77</f>
        <v>17</v>
      </c>
      <c r="C20">
        <v>3</v>
      </c>
      <c r="D20">
        <v>0</v>
      </c>
      <c r="E20">
        <f>SmtRes!AV26</f>
        <v>0</v>
      </c>
      <c r="F20" t="str">
        <f>SmtRes!I26</f>
        <v>21.4-6-15</v>
      </c>
      <c r="G20" t="str">
        <f>SmtRes!K26</f>
        <v>Торф</v>
      </c>
      <c r="H20" t="str">
        <f>SmtRes!O26</f>
        <v>м3</v>
      </c>
      <c r="I20">
        <f>SmtRes!Y26*Source!I77</f>
        <v>6.4119999999999999</v>
      </c>
      <c r="J20">
        <f>SmtRes!AO26</f>
        <v>1</v>
      </c>
      <c r="K20">
        <f>SmtRes!AE26</f>
        <v>810.33</v>
      </c>
      <c r="L20">
        <f>SmtRes!DB26</f>
        <v>567.23</v>
      </c>
      <c r="M20">
        <f>ROUND(ROUND(L20*Source!I77, 6)*1, 2)</f>
        <v>5195.83</v>
      </c>
      <c r="N20">
        <f>SmtRes!AA26</f>
        <v>810.33</v>
      </c>
      <c r="O20">
        <f>ROUND(ROUND(L20*Source!I77, 6)*SmtRes!DA26, 2)</f>
        <v>5195.83</v>
      </c>
      <c r="P20">
        <f>SmtRes!AG26</f>
        <v>0</v>
      </c>
      <c r="Q20">
        <f>SmtRes!DC26</f>
        <v>0</v>
      </c>
      <c r="R20">
        <f>ROUND(ROUND(Q20*Source!I77, 6)*1, 2)</f>
        <v>0</v>
      </c>
      <c r="S20">
        <f>SmtRes!AC26</f>
        <v>0</v>
      </c>
      <c r="T20">
        <f>ROUND(ROUND(Q20*Source!I77, 6)*SmtRes!AK26, 2)</f>
        <v>0</v>
      </c>
      <c r="U20">
        <f>SmtRes!X26</f>
        <v>620872455</v>
      </c>
      <c r="V20">
        <v>-1744796367</v>
      </c>
      <c r="W20">
        <v>-1744796367</v>
      </c>
    </row>
    <row r="21" spans="1:23">
      <c r="A21">
        <f>Source!A78</f>
        <v>17</v>
      </c>
      <c r="C21">
        <v>3</v>
      </c>
      <c r="D21">
        <v>0</v>
      </c>
      <c r="E21">
        <f>SmtRes!AV30</f>
        <v>0</v>
      </c>
      <c r="F21" t="str">
        <f>SmtRes!I30</f>
        <v>21.4-6-5</v>
      </c>
      <c r="G21" t="str">
        <f>SmtRes!K30</f>
        <v>Земля растительная</v>
      </c>
      <c r="H21" t="str">
        <f>SmtRes!O30</f>
        <v>м3</v>
      </c>
      <c r="I21">
        <f>SmtRes!Y30*Source!I78</f>
        <v>27.48</v>
      </c>
      <c r="J21">
        <f>SmtRes!AO30</f>
        <v>1</v>
      </c>
      <c r="K21">
        <f>SmtRes!AE30</f>
        <v>753.67</v>
      </c>
      <c r="L21">
        <f>SmtRes!DB30</f>
        <v>1507.34</v>
      </c>
      <c r="M21">
        <f>ROUND(ROUND(L21*Source!I78, 6)*1, 2)</f>
        <v>20710.849999999999</v>
      </c>
      <c r="N21">
        <f>SmtRes!AA30</f>
        <v>753.67</v>
      </c>
      <c r="O21">
        <f>ROUND(ROUND(L21*Source!I78, 6)*SmtRes!DA30, 2)</f>
        <v>20710.849999999999</v>
      </c>
      <c r="P21">
        <f>SmtRes!AG30</f>
        <v>0</v>
      </c>
      <c r="Q21">
        <f>SmtRes!DC30</f>
        <v>0</v>
      </c>
      <c r="R21">
        <f>ROUND(ROUND(Q21*Source!I78, 6)*1, 2)</f>
        <v>0</v>
      </c>
      <c r="S21">
        <f>SmtRes!AC30</f>
        <v>0</v>
      </c>
      <c r="T21">
        <f>ROUND(ROUND(Q21*Source!I78, 6)*SmtRes!AK30, 2)</f>
        <v>0</v>
      </c>
      <c r="U21">
        <f>SmtRes!X30</f>
        <v>-1172857595</v>
      </c>
      <c r="V21">
        <v>-353567041</v>
      </c>
      <c r="W21">
        <v>-353567041</v>
      </c>
    </row>
    <row r="22" spans="1:23">
      <c r="A22">
        <f>Source!A78</f>
        <v>17</v>
      </c>
      <c r="C22">
        <v>3</v>
      </c>
      <c r="D22">
        <v>0</v>
      </c>
      <c r="E22">
        <f>SmtRes!AV29</f>
        <v>0</v>
      </c>
      <c r="F22" t="str">
        <f>SmtRes!I29</f>
        <v>21.4-6-15</v>
      </c>
      <c r="G22" t="str">
        <f>SmtRes!K29</f>
        <v>Торф</v>
      </c>
      <c r="H22" t="str">
        <f>SmtRes!O29</f>
        <v>м3</v>
      </c>
      <c r="I22">
        <f>SmtRes!Y29*Source!I78</f>
        <v>9.6180000000000003</v>
      </c>
      <c r="J22">
        <f>SmtRes!AO29</f>
        <v>1</v>
      </c>
      <c r="K22">
        <f>SmtRes!AE29</f>
        <v>810.33</v>
      </c>
      <c r="L22">
        <f>SmtRes!DB29</f>
        <v>567.23</v>
      </c>
      <c r="M22">
        <f>ROUND(ROUND(L22*Source!I78, 6)*1, 2)</f>
        <v>7793.74</v>
      </c>
      <c r="N22">
        <f>SmtRes!AA29</f>
        <v>810.33</v>
      </c>
      <c r="O22">
        <f>ROUND(ROUND(L22*Source!I78, 6)*SmtRes!DA29, 2)</f>
        <v>7793.74</v>
      </c>
      <c r="P22">
        <f>SmtRes!AG29</f>
        <v>0</v>
      </c>
      <c r="Q22">
        <f>SmtRes!DC29</f>
        <v>0</v>
      </c>
      <c r="R22">
        <f>ROUND(ROUND(Q22*Source!I78, 6)*1, 2)</f>
        <v>0</v>
      </c>
      <c r="S22">
        <f>SmtRes!AC29</f>
        <v>0</v>
      </c>
      <c r="T22">
        <f>ROUND(ROUND(Q22*Source!I78, 6)*SmtRes!AK29, 2)</f>
        <v>0</v>
      </c>
      <c r="U22">
        <f>SmtRes!X29</f>
        <v>620872455</v>
      </c>
      <c r="V22">
        <v>-1744796367</v>
      </c>
      <c r="W22">
        <v>-1744796367</v>
      </c>
    </row>
    <row r="23" spans="1:23">
      <c r="A23">
        <f>Source!A81</f>
        <v>17</v>
      </c>
      <c r="C23">
        <v>3</v>
      </c>
      <c r="D23">
        <v>0</v>
      </c>
      <c r="E23">
        <f>SmtRes!AV35</f>
        <v>0</v>
      </c>
      <c r="F23" t="str">
        <f>SmtRes!I35</f>
        <v>21.1-25-13</v>
      </c>
      <c r="G23" t="str">
        <f>SmtRes!K35</f>
        <v>Вода</v>
      </c>
      <c r="H23" t="str">
        <f>SmtRes!O35</f>
        <v>м3</v>
      </c>
      <c r="I23">
        <f>SmtRes!Y35*Source!I81</f>
        <v>24.503</v>
      </c>
      <c r="J23">
        <f>SmtRes!AO35</f>
        <v>1</v>
      </c>
      <c r="K23">
        <f>SmtRes!AE35</f>
        <v>35.25</v>
      </c>
      <c r="L23">
        <f>SmtRes!DB35</f>
        <v>37.72</v>
      </c>
      <c r="M23">
        <f>ROUND(ROUND(L23*Source!I81, 6)*1, 2)</f>
        <v>863.79</v>
      </c>
      <c r="N23">
        <f>SmtRes!AA35</f>
        <v>35.25</v>
      </c>
      <c r="O23">
        <f>ROUND(ROUND(L23*Source!I81, 6)*SmtRes!DA35, 2)</f>
        <v>863.79</v>
      </c>
      <c r="P23">
        <f>SmtRes!AG35</f>
        <v>0</v>
      </c>
      <c r="Q23">
        <f>SmtRes!DC35</f>
        <v>0</v>
      </c>
      <c r="R23">
        <f>ROUND(ROUND(Q23*Source!I81, 6)*1, 2)</f>
        <v>0</v>
      </c>
      <c r="S23">
        <f>SmtRes!AC35</f>
        <v>0</v>
      </c>
      <c r="T23">
        <f>ROUND(ROUND(Q23*Source!I81, 6)*SmtRes!AK35, 2)</f>
        <v>0</v>
      </c>
      <c r="U23">
        <f>SmtRes!X35</f>
        <v>1927597627</v>
      </c>
      <c r="V23">
        <v>-1829664509</v>
      </c>
      <c r="W23">
        <v>-1829664509</v>
      </c>
    </row>
    <row r="24" spans="1:23">
      <c r="A24">
        <f>Source!A82</f>
        <v>18</v>
      </c>
      <c r="C24">
        <v>3</v>
      </c>
      <c r="D24">
        <f>Source!BI82</f>
        <v>4</v>
      </c>
      <c r="E24">
        <f>Source!FS82</f>
        <v>0</v>
      </c>
      <c r="F24" t="str">
        <f>Source!F82</f>
        <v>21.4-2-22</v>
      </c>
      <c r="G24" t="str">
        <f>Source!G82</f>
        <v>Кустарники декоративные с закрытой корневой системой: гортензия древовидная, С10 ( ком земли 0,3м * 0,3м)</v>
      </c>
      <c r="H24" t="str">
        <f>Source!H82</f>
        <v>шт.</v>
      </c>
      <c r="I24">
        <f>Source!I82</f>
        <v>20</v>
      </c>
      <c r="J24">
        <v>1</v>
      </c>
      <c r="K24">
        <f>Source!AC82</f>
        <v>1409.36</v>
      </c>
      <c r="M24">
        <f t="shared" ref="M24:M30" si="0">ROUND(K24*I24, 2)</f>
        <v>28187.200000000001</v>
      </c>
      <c r="N24">
        <f>Source!AC82*IF(Source!BC82&lt;&gt; 0, Source!BC82, 1)</f>
        <v>1409.36</v>
      </c>
      <c r="O24">
        <f t="shared" ref="O24:O30" si="1">ROUND(N24*I24, 2)</f>
        <v>28187.200000000001</v>
      </c>
      <c r="P24">
        <f>Source!AE82</f>
        <v>0</v>
      </c>
      <c r="R24">
        <f t="shared" ref="R24:R30" si="2">ROUND(P24*I24, 2)</f>
        <v>0</v>
      </c>
      <c r="S24">
        <f>Source!AE82*IF(Source!BS82&lt;&gt; 0, Source!BS82, 1)</f>
        <v>0</v>
      </c>
      <c r="T24">
        <f t="shared" ref="T24:T30" si="3">ROUND(S24*I24, 2)</f>
        <v>0</v>
      </c>
      <c r="U24">
        <f>Source!GF82</f>
        <v>1459060616</v>
      </c>
      <c r="V24">
        <v>1346715213</v>
      </c>
      <c r="W24">
        <v>1346715213</v>
      </c>
    </row>
    <row r="25" spans="1:23">
      <c r="A25">
        <f>Source!A83</f>
        <v>18</v>
      </c>
      <c r="C25">
        <v>3</v>
      </c>
      <c r="D25">
        <f>Source!BI83</f>
        <v>4</v>
      </c>
      <c r="E25">
        <f>Source!FS83</f>
        <v>0</v>
      </c>
      <c r="F25" t="str">
        <f>Source!F83</f>
        <v>коммерческое предложение</v>
      </c>
      <c r="G25" t="str">
        <f>Source!G83</f>
        <v>Кустарники декоративные с комом земли: Бересклет крылатый, высота 0,3 м, диаметр 0,3 м</v>
      </c>
      <c r="H25" t="str">
        <f>Source!H83</f>
        <v>шт.</v>
      </c>
      <c r="I25">
        <f>Source!I83</f>
        <v>2</v>
      </c>
      <c r="J25">
        <v>1</v>
      </c>
      <c r="K25">
        <f>Source!AC83</f>
        <v>875</v>
      </c>
      <c r="M25">
        <f t="shared" si="0"/>
        <v>1750</v>
      </c>
      <c r="N25">
        <f>Source!AC83*IF(Source!BC83&lt;&gt; 0, Source!BC83, 1)</f>
        <v>875</v>
      </c>
      <c r="O25">
        <f t="shared" si="1"/>
        <v>1750</v>
      </c>
      <c r="P25">
        <f>Source!AE83</f>
        <v>0</v>
      </c>
      <c r="R25">
        <f t="shared" si="2"/>
        <v>0</v>
      </c>
      <c r="S25">
        <f>Source!AE83*IF(Source!BS83&lt;&gt; 0, Source!BS83, 1)</f>
        <v>0</v>
      </c>
      <c r="T25">
        <f t="shared" si="3"/>
        <v>0</v>
      </c>
      <c r="U25">
        <f>Source!GF83</f>
        <v>-894039636</v>
      </c>
      <c r="V25">
        <v>1266716116</v>
      </c>
      <c r="W25">
        <v>1266716116</v>
      </c>
    </row>
    <row r="26" spans="1:23">
      <c r="A26">
        <f>Source!A84</f>
        <v>18</v>
      </c>
      <c r="C26">
        <v>3</v>
      </c>
      <c r="D26">
        <f>Source!BI84</f>
        <v>4</v>
      </c>
      <c r="E26">
        <f>Source!FS84</f>
        <v>0</v>
      </c>
      <c r="F26" t="str">
        <f>Source!F84</f>
        <v>коммерческое предложение</v>
      </c>
      <c r="G26" t="str">
        <f>Source!G84</f>
        <v>Кустарники декоративные с комом земли: Пузыреплодник, высота 0,3 м, диаметр 0,3 м</v>
      </c>
      <c r="H26" t="str">
        <f>Source!H84</f>
        <v>шт.</v>
      </c>
      <c r="I26">
        <f>Source!I84</f>
        <v>180</v>
      </c>
      <c r="J26">
        <v>1</v>
      </c>
      <c r="K26">
        <f>Source!AC84</f>
        <v>758.33</v>
      </c>
      <c r="M26">
        <f t="shared" si="0"/>
        <v>136499.4</v>
      </c>
      <c r="N26">
        <f>Source!AC84*IF(Source!BC84&lt;&gt; 0, Source!BC84, 1)</f>
        <v>758.33</v>
      </c>
      <c r="O26">
        <f t="shared" si="1"/>
        <v>136499.4</v>
      </c>
      <c r="P26">
        <f>Source!AE84</f>
        <v>0</v>
      </c>
      <c r="R26">
        <f t="shared" si="2"/>
        <v>0</v>
      </c>
      <c r="S26">
        <f>Source!AE84*IF(Source!BS84&lt;&gt; 0, Source!BS84, 1)</f>
        <v>0</v>
      </c>
      <c r="T26">
        <f t="shared" si="3"/>
        <v>0</v>
      </c>
      <c r="U26">
        <f>Source!GF84</f>
        <v>-2146232133</v>
      </c>
      <c r="V26">
        <v>-208931047</v>
      </c>
      <c r="W26">
        <v>-208931047</v>
      </c>
    </row>
    <row r="27" spans="1:23">
      <c r="A27">
        <f>Source!A85</f>
        <v>18</v>
      </c>
      <c r="C27">
        <v>3</v>
      </c>
      <c r="D27">
        <f>Source!BI85</f>
        <v>4</v>
      </c>
      <c r="E27">
        <f>Source!FS85</f>
        <v>0</v>
      </c>
      <c r="F27" t="str">
        <f>Source!F85</f>
        <v>коммерческое предложение</v>
      </c>
      <c r="G27" t="str">
        <f>Source!G85</f>
        <v>Кустарники декоративные с комом земли: Барбарис, высота 0,3 м, диаметр 0,3 м</v>
      </c>
      <c r="H27" t="str">
        <f>Source!H85</f>
        <v>шт.</v>
      </c>
      <c r="I27">
        <f>Source!I85</f>
        <v>22</v>
      </c>
      <c r="J27">
        <v>1</v>
      </c>
      <c r="K27">
        <f>Source!AC85</f>
        <v>741.67</v>
      </c>
      <c r="M27">
        <f t="shared" si="0"/>
        <v>16316.74</v>
      </c>
      <c r="N27">
        <f>Source!AC85*IF(Source!BC85&lt;&gt; 0, Source!BC85, 1)</f>
        <v>741.67</v>
      </c>
      <c r="O27">
        <f t="shared" si="1"/>
        <v>16316.74</v>
      </c>
      <c r="P27">
        <f>Source!AE85</f>
        <v>0</v>
      </c>
      <c r="R27">
        <f t="shared" si="2"/>
        <v>0</v>
      </c>
      <c r="S27">
        <f>Source!AE85*IF(Source!BS85&lt;&gt; 0, Source!BS85, 1)</f>
        <v>0</v>
      </c>
      <c r="T27">
        <f t="shared" si="3"/>
        <v>0</v>
      </c>
      <c r="U27">
        <f>Source!GF85</f>
        <v>355500046</v>
      </c>
      <c r="V27">
        <v>-103219764</v>
      </c>
      <c r="W27">
        <v>-103219764</v>
      </c>
    </row>
    <row r="28" spans="1:23">
      <c r="A28">
        <f>Source!A86</f>
        <v>18</v>
      </c>
      <c r="C28">
        <v>3</v>
      </c>
      <c r="D28">
        <f>Source!BI86</f>
        <v>4</v>
      </c>
      <c r="E28">
        <f>Source!FS86</f>
        <v>0</v>
      </c>
      <c r="F28" t="str">
        <f>Source!F86</f>
        <v>коммерческое предложение</v>
      </c>
      <c r="G28" t="str">
        <f>Source!G86</f>
        <v>Кустарники декоративные с комом земли: Можжевельник Олд Голд, высота 0,3 м, диаметр 0,3 м</v>
      </c>
      <c r="H28" t="str">
        <f>Source!H86</f>
        <v>шт.</v>
      </c>
      <c r="I28">
        <f>Source!I86</f>
        <v>2</v>
      </c>
      <c r="J28">
        <v>1</v>
      </c>
      <c r="K28">
        <f>Source!AC86</f>
        <v>1358.33</v>
      </c>
      <c r="M28">
        <f t="shared" si="0"/>
        <v>2716.66</v>
      </c>
      <c r="N28">
        <f>Source!AC86*IF(Source!BC86&lt;&gt; 0, Source!BC86, 1)</f>
        <v>1358.33</v>
      </c>
      <c r="O28">
        <f t="shared" si="1"/>
        <v>2716.66</v>
      </c>
      <c r="P28">
        <f>Source!AE86</f>
        <v>0</v>
      </c>
      <c r="R28">
        <f t="shared" si="2"/>
        <v>0</v>
      </c>
      <c r="S28">
        <f>Source!AE86*IF(Source!BS86&lt;&gt; 0, Source!BS86, 1)</f>
        <v>0</v>
      </c>
      <c r="T28">
        <f t="shared" si="3"/>
        <v>0</v>
      </c>
      <c r="U28">
        <f>Source!GF86</f>
        <v>-1038945403</v>
      </c>
      <c r="V28">
        <v>558818844</v>
      </c>
      <c r="W28">
        <v>558818844</v>
      </c>
    </row>
    <row r="29" spans="1:23">
      <c r="A29">
        <f>Source!A87</f>
        <v>18</v>
      </c>
      <c r="C29">
        <v>3</v>
      </c>
      <c r="D29">
        <f>Source!BI87</f>
        <v>4</v>
      </c>
      <c r="E29">
        <f>Source!FS87</f>
        <v>0</v>
      </c>
      <c r="F29" t="str">
        <f>Source!F87</f>
        <v>коммерческое предложение</v>
      </c>
      <c r="G29" t="str">
        <f>Source!G87</f>
        <v>Кустарники декоративные с комом земли: Можжевельник Блю Эрроу, высота 0,3 м, диаметр 0,3 м</v>
      </c>
      <c r="H29" t="str">
        <f>Source!H87</f>
        <v>шт.</v>
      </c>
      <c r="I29">
        <f>Source!I87</f>
        <v>2</v>
      </c>
      <c r="J29">
        <v>1</v>
      </c>
      <c r="K29">
        <f>Source!AC87</f>
        <v>1433.33</v>
      </c>
      <c r="M29">
        <f t="shared" si="0"/>
        <v>2866.66</v>
      </c>
      <c r="N29">
        <f>Source!AC87*IF(Source!BC87&lt;&gt; 0, Source!BC87, 1)</f>
        <v>1433.33</v>
      </c>
      <c r="O29">
        <f t="shared" si="1"/>
        <v>2866.66</v>
      </c>
      <c r="P29">
        <f>Source!AE87</f>
        <v>0</v>
      </c>
      <c r="R29">
        <f t="shared" si="2"/>
        <v>0</v>
      </c>
      <c r="S29">
        <f>Source!AE87*IF(Source!BS87&lt;&gt; 0, Source!BS87, 1)</f>
        <v>0</v>
      </c>
      <c r="T29">
        <f t="shared" si="3"/>
        <v>0</v>
      </c>
      <c r="U29">
        <f>Source!GF87</f>
        <v>-32794423</v>
      </c>
      <c r="V29">
        <v>-855871955</v>
      </c>
      <c r="W29">
        <v>-855871955</v>
      </c>
    </row>
    <row r="30" spans="1:23">
      <c r="A30">
        <f>Source!A88</f>
        <v>18</v>
      </c>
      <c r="C30">
        <v>3</v>
      </c>
      <c r="D30">
        <f>Source!BI88</f>
        <v>4</v>
      </c>
      <c r="E30">
        <f>Source!FS88</f>
        <v>0</v>
      </c>
      <c r="F30" t="str">
        <f>Source!F88</f>
        <v>коммерческое предложение</v>
      </c>
      <c r="G30" t="str">
        <f>Source!G88</f>
        <v>Кустарники декоративные с комом земли: Можжевельник Грей Овал, высота 0,3 м, диаметр 0,3 м</v>
      </c>
      <c r="H30" t="str">
        <f>Source!H88</f>
        <v>шт.</v>
      </c>
      <c r="I30">
        <f>Source!I88</f>
        <v>1</v>
      </c>
      <c r="J30">
        <v>1</v>
      </c>
      <c r="K30">
        <f>Source!AC88</f>
        <v>1316.67</v>
      </c>
      <c r="M30">
        <f t="shared" si="0"/>
        <v>1316.67</v>
      </c>
      <c r="N30">
        <f>Source!AC88*IF(Source!BC88&lt;&gt; 0, Source!BC88, 1)</f>
        <v>1316.67</v>
      </c>
      <c r="O30">
        <f t="shared" si="1"/>
        <v>1316.67</v>
      </c>
      <c r="P30">
        <f>Source!AE88</f>
        <v>0</v>
      </c>
      <c r="R30">
        <f t="shared" si="2"/>
        <v>0</v>
      </c>
      <c r="S30">
        <f>Source!AE88*IF(Source!BS88&lt;&gt; 0, Source!BS88, 1)</f>
        <v>0</v>
      </c>
      <c r="T30">
        <f t="shared" si="3"/>
        <v>0</v>
      </c>
      <c r="U30">
        <f>Source!GF88</f>
        <v>-1620686808</v>
      </c>
      <c r="V30">
        <v>-1021793901</v>
      </c>
      <c r="W30">
        <v>-1021793901</v>
      </c>
    </row>
    <row r="31" spans="1:23">
      <c r="A31">
        <f>Source!A122</f>
        <v>4</v>
      </c>
      <c r="B31">
        <v>122</v>
      </c>
      <c r="G31" t="str">
        <f>Source!G122</f>
        <v>Посадка деревьев лиственных - 4шт.</v>
      </c>
    </row>
    <row r="32" spans="1:23">
      <c r="A32">
        <f>Source!A126</f>
        <v>17</v>
      </c>
      <c r="C32">
        <v>3</v>
      </c>
      <c r="D32">
        <v>0</v>
      </c>
      <c r="E32">
        <f>SmtRes!AV46</f>
        <v>0</v>
      </c>
      <c r="F32" t="str">
        <f>SmtRes!I46</f>
        <v>21.4-6-5</v>
      </c>
      <c r="G32" t="str">
        <f>SmtRes!K46</f>
        <v>Земля растительная</v>
      </c>
      <c r="H32" t="str">
        <f>SmtRes!O46</f>
        <v>м3</v>
      </c>
      <c r="I32">
        <f>SmtRes!Y46*Source!I126</f>
        <v>1.488</v>
      </c>
      <c r="J32">
        <f>SmtRes!AO46</f>
        <v>1</v>
      </c>
      <c r="K32">
        <f>SmtRes!AE46</f>
        <v>753.67</v>
      </c>
      <c r="L32">
        <f>SmtRes!DB46</f>
        <v>4672.75</v>
      </c>
      <c r="M32">
        <f>ROUND(ROUND(L32*Source!I126, 6)*1, 2)</f>
        <v>1121.46</v>
      </c>
      <c r="N32">
        <f>SmtRes!AA46</f>
        <v>753.67</v>
      </c>
      <c r="O32">
        <f>ROUND(ROUND(L32*Source!I126, 6)*SmtRes!DA46, 2)</f>
        <v>1121.46</v>
      </c>
      <c r="P32">
        <f>SmtRes!AG46</f>
        <v>0</v>
      </c>
      <c r="Q32">
        <f>SmtRes!DC46</f>
        <v>0</v>
      </c>
      <c r="R32">
        <f>ROUND(ROUND(Q32*Source!I126, 6)*1, 2)</f>
        <v>0</v>
      </c>
      <c r="S32">
        <f>SmtRes!AC46</f>
        <v>0</v>
      </c>
      <c r="T32">
        <f>ROUND(ROUND(Q32*Source!I126, 6)*SmtRes!AK46, 2)</f>
        <v>0</v>
      </c>
      <c r="U32">
        <f>SmtRes!X46</f>
        <v>-1172857595</v>
      </c>
      <c r="V32">
        <v>-353567041</v>
      </c>
      <c r="W32">
        <v>-353567041</v>
      </c>
    </row>
    <row r="33" spans="1:23">
      <c r="A33">
        <f>Source!A126</f>
        <v>17</v>
      </c>
      <c r="C33">
        <v>3</v>
      </c>
      <c r="D33">
        <v>0</v>
      </c>
      <c r="E33">
        <f>SmtRes!AV45</f>
        <v>0</v>
      </c>
      <c r="F33" t="str">
        <f>SmtRes!I45</f>
        <v>21.4-6-15</v>
      </c>
      <c r="G33" t="str">
        <f>SmtRes!K45</f>
        <v>Торф</v>
      </c>
      <c r="H33" t="str">
        <f>SmtRes!O45</f>
        <v>м3</v>
      </c>
      <c r="I33">
        <f>SmtRes!Y45*Source!I126</f>
        <v>0.504</v>
      </c>
      <c r="J33">
        <f>SmtRes!AO45</f>
        <v>1</v>
      </c>
      <c r="K33">
        <f>SmtRes!AE45</f>
        <v>810.33</v>
      </c>
      <c r="L33">
        <f>SmtRes!DB45</f>
        <v>1701.69</v>
      </c>
      <c r="M33">
        <f>ROUND(ROUND(L33*Source!I126, 6)*1, 2)</f>
        <v>408.41</v>
      </c>
      <c r="N33">
        <f>SmtRes!AA45</f>
        <v>810.33</v>
      </c>
      <c r="O33">
        <f>ROUND(ROUND(L33*Source!I126, 6)*SmtRes!DA45, 2)</f>
        <v>408.41</v>
      </c>
      <c r="P33">
        <f>SmtRes!AG45</f>
        <v>0</v>
      </c>
      <c r="Q33">
        <f>SmtRes!DC45</f>
        <v>0</v>
      </c>
      <c r="R33">
        <f>ROUND(ROUND(Q33*Source!I126, 6)*1, 2)</f>
        <v>0</v>
      </c>
      <c r="S33">
        <f>SmtRes!AC45</f>
        <v>0</v>
      </c>
      <c r="T33">
        <f>ROUND(ROUND(Q33*Source!I126, 6)*SmtRes!AK45, 2)</f>
        <v>0</v>
      </c>
      <c r="U33">
        <f>SmtRes!X45</f>
        <v>620872455</v>
      </c>
      <c r="V33">
        <v>-1744796367</v>
      </c>
      <c r="W33">
        <v>-1744796367</v>
      </c>
    </row>
    <row r="34" spans="1:23">
      <c r="A34">
        <f>Source!A127</f>
        <v>17</v>
      </c>
      <c r="C34">
        <v>3</v>
      </c>
      <c r="D34">
        <v>0</v>
      </c>
      <c r="E34">
        <f>SmtRes!AV49</f>
        <v>0</v>
      </c>
      <c r="F34" t="str">
        <f>SmtRes!I49</f>
        <v>21.4-6-5</v>
      </c>
      <c r="G34" t="str">
        <f>SmtRes!K49</f>
        <v>Земля растительная</v>
      </c>
      <c r="H34" t="str">
        <f>SmtRes!O49</f>
        <v>м3</v>
      </c>
      <c r="I34">
        <f>SmtRes!Y49*Source!I127</f>
        <v>0.9920000000000001</v>
      </c>
      <c r="J34">
        <f>SmtRes!AO49</f>
        <v>1</v>
      </c>
      <c r="K34">
        <f>SmtRes!AE49</f>
        <v>753.67</v>
      </c>
      <c r="L34">
        <f>SmtRes!DB49</f>
        <v>4672.75</v>
      </c>
      <c r="M34">
        <f>ROUND(ROUND(L34*Source!I127, 6)*1, 2)</f>
        <v>747.64</v>
      </c>
      <c r="N34">
        <f>SmtRes!AA49</f>
        <v>753.67</v>
      </c>
      <c r="O34">
        <f>ROUND(ROUND(L34*Source!I127, 6)*SmtRes!DA49, 2)</f>
        <v>747.64</v>
      </c>
      <c r="P34">
        <f>SmtRes!AG49</f>
        <v>0</v>
      </c>
      <c r="Q34">
        <f>SmtRes!DC49</f>
        <v>0</v>
      </c>
      <c r="R34">
        <f>ROUND(ROUND(Q34*Source!I127, 6)*1, 2)</f>
        <v>0</v>
      </c>
      <c r="S34">
        <f>SmtRes!AC49</f>
        <v>0</v>
      </c>
      <c r="T34">
        <f>ROUND(ROUND(Q34*Source!I127, 6)*SmtRes!AK49, 2)</f>
        <v>0</v>
      </c>
      <c r="U34">
        <f>SmtRes!X49</f>
        <v>-1172857595</v>
      </c>
      <c r="V34">
        <v>-353567041</v>
      </c>
      <c r="W34">
        <v>-353567041</v>
      </c>
    </row>
    <row r="35" spans="1:23">
      <c r="A35">
        <f>Source!A127</f>
        <v>17</v>
      </c>
      <c r="C35">
        <v>3</v>
      </c>
      <c r="D35">
        <v>0</v>
      </c>
      <c r="E35">
        <f>SmtRes!AV48</f>
        <v>0</v>
      </c>
      <c r="F35" t="str">
        <f>SmtRes!I48</f>
        <v>21.4-6-15</v>
      </c>
      <c r="G35" t="str">
        <f>SmtRes!K48</f>
        <v>Торф</v>
      </c>
      <c r="H35" t="str">
        <f>SmtRes!O48</f>
        <v>м3</v>
      </c>
      <c r="I35">
        <f>SmtRes!Y48*Source!I127</f>
        <v>0.33600000000000002</v>
      </c>
      <c r="J35">
        <f>SmtRes!AO48</f>
        <v>1</v>
      </c>
      <c r="K35">
        <f>SmtRes!AE48</f>
        <v>810.33</v>
      </c>
      <c r="L35">
        <f>SmtRes!DB48</f>
        <v>1701.69</v>
      </c>
      <c r="M35">
        <f>ROUND(ROUND(L35*Source!I127, 6)*1, 2)</f>
        <v>272.27</v>
      </c>
      <c r="N35">
        <f>SmtRes!AA48</f>
        <v>810.33</v>
      </c>
      <c r="O35">
        <f>ROUND(ROUND(L35*Source!I127, 6)*SmtRes!DA48, 2)</f>
        <v>272.27</v>
      </c>
      <c r="P35">
        <f>SmtRes!AG48</f>
        <v>0</v>
      </c>
      <c r="Q35">
        <f>SmtRes!DC48</f>
        <v>0</v>
      </c>
      <c r="R35">
        <f>ROUND(ROUND(Q35*Source!I127, 6)*1, 2)</f>
        <v>0</v>
      </c>
      <c r="S35">
        <f>SmtRes!AC48</f>
        <v>0</v>
      </c>
      <c r="T35">
        <f>ROUND(ROUND(Q35*Source!I127, 6)*SmtRes!AK48, 2)</f>
        <v>0</v>
      </c>
      <c r="U35">
        <f>SmtRes!X48</f>
        <v>620872455</v>
      </c>
      <c r="V35">
        <v>-1744796367</v>
      </c>
      <c r="W35">
        <v>-1744796367</v>
      </c>
    </row>
    <row r="36" spans="1:23">
      <c r="A36">
        <f>Source!A130</f>
        <v>17</v>
      </c>
      <c r="C36">
        <v>3</v>
      </c>
      <c r="D36">
        <v>0</v>
      </c>
      <c r="E36">
        <f>SmtRes!AV57</f>
        <v>0</v>
      </c>
      <c r="F36" t="str">
        <f>SmtRes!I57</f>
        <v>21.4-6-7</v>
      </c>
      <c r="G36" t="str">
        <f>SmtRes!K57</f>
        <v>Колья деревянные для подвязки деревьев до 2,5м</v>
      </c>
      <c r="H36" t="str">
        <f>SmtRes!O57</f>
        <v>м3</v>
      </c>
      <c r="I36">
        <f>SmtRes!Y57*Source!I130</f>
        <v>6.3360000000000014E-2</v>
      </c>
      <c r="J36">
        <f>SmtRes!AO57</f>
        <v>1</v>
      </c>
      <c r="K36">
        <f>SmtRes!AE57</f>
        <v>3467</v>
      </c>
      <c r="L36">
        <f>SmtRes!DB57</f>
        <v>549.16999999999996</v>
      </c>
      <c r="M36">
        <f>ROUND(ROUND(L36*Source!I130, 6)*1, 2)</f>
        <v>219.67</v>
      </c>
      <c r="N36">
        <f>SmtRes!AA57</f>
        <v>3467</v>
      </c>
      <c r="O36">
        <f>ROUND(ROUND(L36*Source!I130, 6)*SmtRes!DA57, 2)</f>
        <v>219.67</v>
      </c>
      <c r="P36">
        <f>SmtRes!AG57</f>
        <v>0</v>
      </c>
      <c r="Q36">
        <f>SmtRes!DC57</f>
        <v>0</v>
      </c>
      <c r="R36">
        <f>ROUND(ROUND(Q36*Source!I130, 6)*1, 2)</f>
        <v>0</v>
      </c>
      <c r="S36">
        <f>SmtRes!AC57</f>
        <v>0</v>
      </c>
      <c r="T36">
        <f>ROUND(ROUND(Q36*Source!I130, 6)*SmtRes!AK57, 2)</f>
        <v>0</v>
      </c>
      <c r="U36">
        <f>SmtRes!X57</f>
        <v>1048243141</v>
      </c>
      <c r="V36">
        <v>1475258042</v>
      </c>
      <c r="W36">
        <v>1475258042</v>
      </c>
    </row>
    <row r="37" spans="1:23">
      <c r="A37">
        <f>Source!A130</f>
        <v>17</v>
      </c>
      <c r="C37">
        <v>3</v>
      </c>
      <c r="D37">
        <v>0</v>
      </c>
      <c r="E37">
        <f>SmtRes!AV56</f>
        <v>0</v>
      </c>
      <c r="F37" t="str">
        <f>SmtRes!I56</f>
        <v>21.1-25-13</v>
      </c>
      <c r="G37" t="str">
        <f>SmtRes!K56</f>
        <v>Вода</v>
      </c>
      <c r="H37" t="str">
        <f>SmtRes!O56</f>
        <v>м3</v>
      </c>
      <c r="I37">
        <f>SmtRes!Y56*Source!I130</f>
        <v>1.04</v>
      </c>
      <c r="J37">
        <f>SmtRes!AO56</f>
        <v>1</v>
      </c>
      <c r="K37">
        <f>SmtRes!AE56</f>
        <v>35.25</v>
      </c>
      <c r="L37">
        <f>SmtRes!DB56</f>
        <v>91.65</v>
      </c>
      <c r="M37">
        <f>ROUND(ROUND(L37*Source!I130, 6)*1, 2)</f>
        <v>36.659999999999997</v>
      </c>
      <c r="N37">
        <f>SmtRes!AA56</f>
        <v>35.25</v>
      </c>
      <c r="O37">
        <f>ROUND(ROUND(L37*Source!I130, 6)*SmtRes!DA56, 2)</f>
        <v>36.659999999999997</v>
      </c>
      <c r="P37">
        <f>SmtRes!AG56</f>
        <v>0</v>
      </c>
      <c r="Q37">
        <f>SmtRes!DC56</f>
        <v>0</v>
      </c>
      <c r="R37">
        <f>ROUND(ROUND(Q37*Source!I130, 6)*1, 2)</f>
        <v>0</v>
      </c>
      <c r="S37">
        <f>SmtRes!AC56</f>
        <v>0</v>
      </c>
      <c r="T37">
        <f>ROUND(ROUND(Q37*Source!I130, 6)*SmtRes!AK56, 2)</f>
        <v>0</v>
      </c>
      <c r="U37">
        <f>SmtRes!X56</f>
        <v>1927597627</v>
      </c>
      <c r="V37">
        <v>-1829664509</v>
      </c>
      <c r="W37">
        <v>-1829664509</v>
      </c>
    </row>
    <row r="38" spans="1:23">
      <c r="A38">
        <f>Source!A130</f>
        <v>17</v>
      </c>
      <c r="C38">
        <v>3</v>
      </c>
      <c r="D38">
        <v>0</v>
      </c>
      <c r="E38">
        <f>SmtRes!AV55</f>
        <v>0</v>
      </c>
      <c r="F38" t="str">
        <f>SmtRes!I55</f>
        <v>21.1-20-54</v>
      </c>
      <c r="G38" t="str">
        <f>SmtRes!K55</f>
        <v>Шпагат пеньковый</v>
      </c>
      <c r="H38" t="str">
        <f>SmtRes!O55</f>
        <v>кг</v>
      </c>
      <c r="I38">
        <f>SmtRes!Y55*Source!I130</f>
        <v>0.12</v>
      </c>
      <c r="J38">
        <f>SmtRes!AO55</f>
        <v>1</v>
      </c>
      <c r="K38">
        <f>SmtRes!AE55</f>
        <v>171.21</v>
      </c>
      <c r="L38">
        <f>SmtRes!DB55</f>
        <v>51.36</v>
      </c>
      <c r="M38">
        <f>ROUND(ROUND(L38*Source!I130, 6)*1, 2)</f>
        <v>20.54</v>
      </c>
      <c r="N38">
        <f>SmtRes!AA55</f>
        <v>171.21</v>
      </c>
      <c r="O38">
        <f>ROUND(ROUND(L38*Source!I130, 6)*SmtRes!DA55, 2)</f>
        <v>20.54</v>
      </c>
      <c r="P38">
        <f>SmtRes!AG55</f>
        <v>0</v>
      </c>
      <c r="Q38">
        <f>SmtRes!DC55</f>
        <v>0</v>
      </c>
      <c r="R38">
        <f>ROUND(ROUND(Q38*Source!I130, 6)*1, 2)</f>
        <v>0</v>
      </c>
      <c r="S38">
        <f>SmtRes!AC55</f>
        <v>0</v>
      </c>
      <c r="T38">
        <f>ROUND(ROUND(Q38*Source!I130, 6)*SmtRes!AK55, 2)</f>
        <v>0</v>
      </c>
      <c r="U38">
        <f>SmtRes!X55</f>
        <v>-2033961190</v>
      </c>
      <c r="V38">
        <v>749401340</v>
      </c>
      <c r="W38">
        <v>749401340</v>
      </c>
    </row>
    <row r="39" spans="1:23">
      <c r="A39">
        <f>Source!A130</f>
        <v>17</v>
      </c>
      <c r="C39">
        <v>3</v>
      </c>
      <c r="D39">
        <v>0</v>
      </c>
      <c r="E39">
        <f>SmtRes!AV54</f>
        <v>0</v>
      </c>
      <c r="F39" t="str">
        <f>SmtRes!I54</f>
        <v>21.1-20-17</v>
      </c>
      <c r="G39" t="str">
        <f>SmtRes!K54</f>
        <v>Мешковина</v>
      </c>
      <c r="H39" t="str">
        <f>SmtRes!O54</f>
        <v>м2</v>
      </c>
      <c r="I39">
        <f>SmtRes!Y54*Source!I130</f>
        <v>0.60000000000000009</v>
      </c>
      <c r="J39">
        <f>SmtRes!AO54</f>
        <v>1</v>
      </c>
      <c r="K39">
        <f>SmtRes!AE54</f>
        <v>91.89</v>
      </c>
      <c r="L39">
        <f>SmtRes!DB54</f>
        <v>137.84</v>
      </c>
      <c r="M39">
        <f>ROUND(ROUND(L39*Source!I130, 6)*1, 2)</f>
        <v>55.14</v>
      </c>
      <c r="N39">
        <f>SmtRes!AA54</f>
        <v>91.89</v>
      </c>
      <c r="O39">
        <f>ROUND(ROUND(L39*Source!I130, 6)*SmtRes!DA54, 2)</f>
        <v>55.14</v>
      </c>
      <c r="P39">
        <f>SmtRes!AG54</f>
        <v>0</v>
      </c>
      <c r="Q39">
        <f>SmtRes!DC54</f>
        <v>0</v>
      </c>
      <c r="R39">
        <f>ROUND(ROUND(Q39*Source!I130, 6)*1, 2)</f>
        <v>0</v>
      </c>
      <c r="S39">
        <f>SmtRes!AC54</f>
        <v>0</v>
      </c>
      <c r="T39">
        <f>ROUND(ROUND(Q39*Source!I130, 6)*SmtRes!AK54, 2)</f>
        <v>0</v>
      </c>
      <c r="U39">
        <f>SmtRes!X54</f>
        <v>-2047649341</v>
      </c>
      <c r="V39">
        <v>-1336012766</v>
      </c>
      <c r="W39">
        <v>-1336012766</v>
      </c>
    </row>
    <row r="40" spans="1:23">
      <c r="A40">
        <f>Source!A131</f>
        <v>18</v>
      </c>
      <c r="C40">
        <v>3</v>
      </c>
      <c r="D40">
        <f>Source!BI131</f>
        <v>4</v>
      </c>
      <c r="E40">
        <f>Source!FS131</f>
        <v>0</v>
      </c>
      <c r="F40" t="str">
        <f>Source!F131</f>
        <v>коммерческое предложение</v>
      </c>
      <c r="G40" t="str">
        <f>Source!G131</f>
        <v>Деревья декоративные лиственных пород с комом земли, порода: Яблоня декоративная (шар), высота - 1,2 -1,4м, размер кома: диаметр-0,8 м, высота-0,6 м</v>
      </c>
      <c r="H40" t="str">
        <f>Source!H131</f>
        <v>шт.</v>
      </c>
      <c r="I40">
        <f>Source!I131</f>
        <v>4</v>
      </c>
      <c r="J40">
        <v>1</v>
      </c>
      <c r="K40">
        <f>Source!AC131</f>
        <v>2833.33</v>
      </c>
      <c r="M40">
        <f>ROUND(K40*I40, 2)</f>
        <v>11333.32</v>
      </c>
      <c r="N40">
        <f>Source!AC131*IF(Source!BC131&lt;&gt; 0, Source!BC131, 1)</f>
        <v>2833.33</v>
      </c>
      <c r="O40">
        <f>ROUND(N40*I40, 2)</f>
        <v>11333.32</v>
      </c>
      <c r="P40">
        <f>Source!AE131</f>
        <v>0</v>
      </c>
      <c r="R40">
        <f>ROUND(P40*I40, 2)</f>
        <v>0</v>
      </c>
      <c r="S40">
        <f>Source!AE131*IF(Source!BS131&lt;&gt; 0, Source!BS131, 1)</f>
        <v>0</v>
      </c>
      <c r="T40">
        <f>ROUND(S40*I40, 2)</f>
        <v>0</v>
      </c>
      <c r="U40">
        <f>Source!GF131</f>
        <v>-2025809612</v>
      </c>
      <c r="V40">
        <v>-61347243</v>
      </c>
      <c r="W40">
        <v>-61347243</v>
      </c>
    </row>
    <row r="41" spans="1:23">
      <c r="A41">
        <f>Source!A165</f>
        <v>4</v>
      </c>
      <c r="B41">
        <v>165</v>
      </c>
      <c r="G41" t="str">
        <f>Source!G165</f>
        <v>Посадка деревьев хвойных - 21шт.</v>
      </c>
    </row>
    <row r="42" spans="1:23">
      <c r="A42">
        <f>Source!A169</f>
        <v>17</v>
      </c>
      <c r="C42">
        <v>3</v>
      </c>
      <c r="D42">
        <v>0</v>
      </c>
      <c r="E42">
        <f>SmtRes!AV62</f>
        <v>0</v>
      </c>
      <c r="F42" t="str">
        <f>SmtRes!I62</f>
        <v>21.4-6-5</v>
      </c>
      <c r="G42" t="str">
        <f>SmtRes!K62</f>
        <v>Земля растительная</v>
      </c>
      <c r="H42" t="str">
        <f>SmtRes!O62</f>
        <v>м3</v>
      </c>
      <c r="I42">
        <f>SmtRes!Y62*Source!I169</f>
        <v>1.488</v>
      </c>
      <c r="J42">
        <f>SmtRes!AO62</f>
        <v>1</v>
      </c>
      <c r="K42">
        <f>SmtRes!AE62</f>
        <v>753.67</v>
      </c>
      <c r="L42">
        <f>SmtRes!DB62</f>
        <v>4672.75</v>
      </c>
      <c r="M42">
        <f>ROUND(ROUND(L42*Source!I169, 6)*1, 2)</f>
        <v>1121.46</v>
      </c>
      <c r="N42">
        <f>SmtRes!AA62</f>
        <v>753.67</v>
      </c>
      <c r="O42">
        <f>ROUND(ROUND(L42*Source!I169, 6)*SmtRes!DA62, 2)</f>
        <v>1121.46</v>
      </c>
      <c r="P42">
        <f>SmtRes!AG62</f>
        <v>0</v>
      </c>
      <c r="Q42">
        <f>SmtRes!DC62</f>
        <v>0</v>
      </c>
      <c r="R42">
        <f>ROUND(ROUND(Q42*Source!I169, 6)*1, 2)</f>
        <v>0</v>
      </c>
      <c r="S42">
        <f>SmtRes!AC62</f>
        <v>0</v>
      </c>
      <c r="T42">
        <f>ROUND(ROUND(Q42*Source!I169, 6)*SmtRes!AK62, 2)</f>
        <v>0</v>
      </c>
      <c r="U42">
        <f>SmtRes!X62</f>
        <v>-1172857595</v>
      </c>
      <c r="V42">
        <v>-353567041</v>
      </c>
      <c r="W42">
        <v>-353567041</v>
      </c>
    </row>
    <row r="43" spans="1:23">
      <c r="A43">
        <f>Source!A169</f>
        <v>17</v>
      </c>
      <c r="C43">
        <v>3</v>
      </c>
      <c r="D43">
        <v>0</v>
      </c>
      <c r="E43">
        <f>SmtRes!AV61</f>
        <v>0</v>
      </c>
      <c r="F43" t="str">
        <f>SmtRes!I61</f>
        <v>21.4-6-15</v>
      </c>
      <c r="G43" t="str">
        <f>SmtRes!K61</f>
        <v>Торф</v>
      </c>
      <c r="H43" t="str">
        <f>SmtRes!O61</f>
        <v>м3</v>
      </c>
      <c r="I43">
        <f>SmtRes!Y61*Source!I169</f>
        <v>0.504</v>
      </c>
      <c r="J43">
        <f>SmtRes!AO61</f>
        <v>1</v>
      </c>
      <c r="K43">
        <f>SmtRes!AE61</f>
        <v>810.33</v>
      </c>
      <c r="L43">
        <f>SmtRes!DB61</f>
        <v>1701.69</v>
      </c>
      <c r="M43">
        <f>ROUND(ROUND(L43*Source!I169, 6)*1, 2)</f>
        <v>408.41</v>
      </c>
      <c r="N43">
        <f>SmtRes!AA61</f>
        <v>810.33</v>
      </c>
      <c r="O43">
        <f>ROUND(ROUND(L43*Source!I169, 6)*SmtRes!DA61, 2)</f>
        <v>408.41</v>
      </c>
      <c r="P43">
        <f>SmtRes!AG61</f>
        <v>0</v>
      </c>
      <c r="Q43">
        <f>SmtRes!DC61</f>
        <v>0</v>
      </c>
      <c r="R43">
        <f>ROUND(ROUND(Q43*Source!I169, 6)*1, 2)</f>
        <v>0</v>
      </c>
      <c r="S43">
        <f>SmtRes!AC61</f>
        <v>0</v>
      </c>
      <c r="T43">
        <f>ROUND(ROUND(Q43*Source!I169, 6)*SmtRes!AK61, 2)</f>
        <v>0</v>
      </c>
      <c r="U43">
        <f>SmtRes!X61</f>
        <v>620872455</v>
      </c>
      <c r="V43">
        <v>-1744796367</v>
      </c>
      <c r="W43">
        <v>-1744796367</v>
      </c>
    </row>
    <row r="44" spans="1:23">
      <c r="A44">
        <f>Source!A170</f>
        <v>17</v>
      </c>
      <c r="C44">
        <v>3</v>
      </c>
      <c r="D44">
        <v>0</v>
      </c>
      <c r="E44">
        <f>SmtRes!AV65</f>
        <v>0</v>
      </c>
      <c r="F44" t="str">
        <f>SmtRes!I65</f>
        <v>21.4-6-5</v>
      </c>
      <c r="G44" t="str">
        <f>SmtRes!K65</f>
        <v>Земля растительная</v>
      </c>
      <c r="H44" t="str">
        <f>SmtRes!O65</f>
        <v>м3</v>
      </c>
      <c r="I44">
        <f>SmtRes!Y65*Source!I170</f>
        <v>0.9920000000000001</v>
      </c>
      <c r="J44">
        <f>SmtRes!AO65</f>
        <v>1</v>
      </c>
      <c r="K44">
        <f>SmtRes!AE65</f>
        <v>753.67</v>
      </c>
      <c r="L44">
        <f>SmtRes!DB65</f>
        <v>4672.75</v>
      </c>
      <c r="M44">
        <f>ROUND(ROUND(L44*Source!I170, 6)*1, 2)</f>
        <v>747.64</v>
      </c>
      <c r="N44">
        <f>SmtRes!AA65</f>
        <v>753.67</v>
      </c>
      <c r="O44">
        <f>ROUND(ROUND(L44*Source!I170, 6)*SmtRes!DA65, 2)</f>
        <v>747.64</v>
      </c>
      <c r="P44">
        <f>SmtRes!AG65</f>
        <v>0</v>
      </c>
      <c r="Q44">
        <f>SmtRes!DC65</f>
        <v>0</v>
      </c>
      <c r="R44">
        <f>ROUND(ROUND(Q44*Source!I170, 6)*1, 2)</f>
        <v>0</v>
      </c>
      <c r="S44">
        <f>SmtRes!AC65</f>
        <v>0</v>
      </c>
      <c r="T44">
        <f>ROUND(ROUND(Q44*Source!I170, 6)*SmtRes!AK65, 2)</f>
        <v>0</v>
      </c>
      <c r="U44">
        <f>SmtRes!X65</f>
        <v>-1172857595</v>
      </c>
      <c r="V44">
        <v>-353567041</v>
      </c>
      <c r="W44">
        <v>-353567041</v>
      </c>
    </row>
    <row r="45" spans="1:23">
      <c r="A45">
        <f>Source!A170</f>
        <v>17</v>
      </c>
      <c r="C45">
        <v>3</v>
      </c>
      <c r="D45">
        <v>0</v>
      </c>
      <c r="E45">
        <f>SmtRes!AV64</f>
        <v>0</v>
      </c>
      <c r="F45" t="str">
        <f>SmtRes!I64</f>
        <v>21.4-6-15</v>
      </c>
      <c r="G45" t="str">
        <f>SmtRes!K64</f>
        <v>Торф</v>
      </c>
      <c r="H45" t="str">
        <f>SmtRes!O64</f>
        <v>м3</v>
      </c>
      <c r="I45">
        <f>SmtRes!Y64*Source!I170</f>
        <v>0.33600000000000002</v>
      </c>
      <c r="J45">
        <f>SmtRes!AO64</f>
        <v>1</v>
      </c>
      <c r="K45">
        <f>SmtRes!AE64</f>
        <v>810.33</v>
      </c>
      <c r="L45">
        <f>SmtRes!DB64</f>
        <v>1701.69</v>
      </c>
      <c r="M45">
        <f>ROUND(ROUND(L45*Source!I170, 6)*1, 2)</f>
        <v>272.27</v>
      </c>
      <c r="N45">
        <f>SmtRes!AA64</f>
        <v>810.33</v>
      </c>
      <c r="O45">
        <f>ROUND(ROUND(L45*Source!I170, 6)*SmtRes!DA64, 2)</f>
        <v>272.27</v>
      </c>
      <c r="P45">
        <f>SmtRes!AG64</f>
        <v>0</v>
      </c>
      <c r="Q45">
        <f>SmtRes!DC64</f>
        <v>0</v>
      </c>
      <c r="R45">
        <f>ROUND(ROUND(Q45*Source!I170, 6)*1, 2)</f>
        <v>0</v>
      </c>
      <c r="S45">
        <f>SmtRes!AC64</f>
        <v>0</v>
      </c>
      <c r="T45">
        <f>ROUND(ROUND(Q45*Source!I170, 6)*SmtRes!AK64, 2)</f>
        <v>0</v>
      </c>
      <c r="U45">
        <f>SmtRes!X64</f>
        <v>620872455</v>
      </c>
      <c r="V45">
        <v>-1744796367</v>
      </c>
      <c r="W45">
        <v>-1744796367</v>
      </c>
    </row>
    <row r="46" spans="1:23">
      <c r="A46">
        <f>Source!A173</f>
        <v>17</v>
      </c>
      <c r="C46">
        <v>3</v>
      </c>
      <c r="D46">
        <v>0</v>
      </c>
      <c r="E46">
        <f>SmtRes!AV73</f>
        <v>0</v>
      </c>
      <c r="F46" t="str">
        <f>SmtRes!I73</f>
        <v>21.4-6-7</v>
      </c>
      <c r="G46" t="str">
        <f>SmtRes!K73</f>
        <v>Колья деревянные для подвязки деревьев до 2,5м</v>
      </c>
      <c r="H46" t="str">
        <f>SmtRes!O73</f>
        <v>м3</v>
      </c>
      <c r="I46">
        <f>SmtRes!Y73*Source!I173</f>
        <v>6.3360000000000014E-2</v>
      </c>
      <c r="J46">
        <f>SmtRes!AO73</f>
        <v>1</v>
      </c>
      <c r="K46">
        <f>SmtRes!AE73</f>
        <v>3467</v>
      </c>
      <c r="L46">
        <f>SmtRes!DB73</f>
        <v>549.16999999999996</v>
      </c>
      <c r="M46">
        <f>ROUND(ROUND(L46*Source!I173, 6)*1, 2)</f>
        <v>219.67</v>
      </c>
      <c r="N46">
        <f>SmtRes!AA73</f>
        <v>3467</v>
      </c>
      <c r="O46">
        <f>ROUND(ROUND(L46*Source!I173, 6)*SmtRes!DA73, 2)</f>
        <v>219.67</v>
      </c>
      <c r="P46">
        <f>SmtRes!AG73</f>
        <v>0</v>
      </c>
      <c r="Q46">
        <f>SmtRes!DC73</f>
        <v>0</v>
      </c>
      <c r="R46">
        <f>ROUND(ROUND(Q46*Source!I173, 6)*1, 2)</f>
        <v>0</v>
      </c>
      <c r="S46">
        <f>SmtRes!AC73</f>
        <v>0</v>
      </c>
      <c r="T46">
        <f>ROUND(ROUND(Q46*Source!I173, 6)*SmtRes!AK73, 2)</f>
        <v>0</v>
      </c>
      <c r="U46">
        <f>SmtRes!X73</f>
        <v>1048243141</v>
      </c>
      <c r="V46">
        <v>1475258042</v>
      </c>
      <c r="W46">
        <v>1475258042</v>
      </c>
    </row>
    <row r="47" spans="1:23">
      <c r="A47">
        <f>Source!A173</f>
        <v>17</v>
      </c>
      <c r="C47">
        <v>3</v>
      </c>
      <c r="D47">
        <v>0</v>
      </c>
      <c r="E47">
        <f>SmtRes!AV72</f>
        <v>0</v>
      </c>
      <c r="F47" t="str">
        <f>SmtRes!I72</f>
        <v>21.1-25-13</v>
      </c>
      <c r="G47" t="str">
        <f>SmtRes!K72</f>
        <v>Вода</v>
      </c>
      <c r="H47" t="str">
        <f>SmtRes!O72</f>
        <v>м3</v>
      </c>
      <c r="I47">
        <f>SmtRes!Y72*Source!I173</f>
        <v>1.04</v>
      </c>
      <c r="J47">
        <f>SmtRes!AO72</f>
        <v>1</v>
      </c>
      <c r="K47">
        <f>SmtRes!AE72</f>
        <v>35.25</v>
      </c>
      <c r="L47">
        <f>SmtRes!DB72</f>
        <v>91.65</v>
      </c>
      <c r="M47">
        <f>ROUND(ROUND(L47*Source!I173, 6)*1, 2)</f>
        <v>36.659999999999997</v>
      </c>
      <c r="N47">
        <f>SmtRes!AA72</f>
        <v>35.25</v>
      </c>
      <c r="O47">
        <f>ROUND(ROUND(L47*Source!I173, 6)*SmtRes!DA72, 2)</f>
        <v>36.659999999999997</v>
      </c>
      <c r="P47">
        <f>SmtRes!AG72</f>
        <v>0</v>
      </c>
      <c r="Q47">
        <f>SmtRes!DC72</f>
        <v>0</v>
      </c>
      <c r="R47">
        <f>ROUND(ROUND(Q47*Source!I173, 6)*1, 2)</f>
        <v>0</v>
      </c>
      <c r="S47">
        <f>SmtRes!AC72</f>
        <v>0</v>
      </c>
      <c r="T47">
        <f>ROUND(ROUND(Q47*Source!I173, 6)*SmtRes!AK72, 2)</f>
        <v>0</v>
      </c>
      <c r="U47">
        <f>SmtRes!X72</f>
        <v>1927597627</v>
      </c>
      <c r="V47">
        <v>-1829664509</v>
      </c>
      <c r="W47">
        <v>-1829664509</v>
      </c>
    </row>
    <row r="48" spans="1:23">
      <c r="A48">
        <f>Source!A173</f>
        <v>17</v>
      </c>
      <c r="C48">
        <v>3</v>
      </c>
      <c r="D48">
        <v>0</v>
      </c>
      <c r="E48">
        <f>SmtRes!AV71</f>
        <v>0</v>
      </c>
      <c r="F48" t="str">
        <f>SmtRes!I71</f>
        <v>21.1-20-54</v>
      </c>
      <c r="G48" t="str">
        <f>SmtRes!K71</f>
        <v>Шпагат пеньковый</v>
      </c>
      <c r="H48" t="str">
        <f>SmtRes!O71</f>
        <v>кг</v>
      </c>
      <c r="I48">
        <f>SmtRes!Y71*Source!I173</f>
        <v>0.12</v>
      </c>
      <c r="J48">
        <f>SmtRes!AO71</f>
        <v>1</v>
      </c>
      <c r="K48">
        <f>SmtRes!AE71</f>
        <v>171.21</v>
      </c>
      <c r="L48">
        <f>SmtRes!DB71</f>
        <v>51.36</v>
      </c>
      <c r="M48">
        <f>ROUND(ROUND(L48*Source!I173, 6)*1, 2)</f>
        <v>20.54</v>
      </c>
      <c r="N48">
        <f>SmtRes!AA71</f>
        <v>171.21</v>
      </c>
      <c r="O48">
        <f>ROUND(ROUND(L48*Source!I173, 6)*SmtRes!DA71, 2)</f>
        <v>20.54</v>
      </c>
      <c r="P48">
        <f>SmtRes!AG71</f>
        <v>0</v>
      </c>
      <c r="Q48">
        <f>SmtRes!DC71</f>
        <v>0</v>
      </c>
      <c r="R48">
        <f>ROUND(ROUND(Q48*Source!I173, 6)*1, 2)</f>
        <v>0</v>
      </c>
      <c r="S48">
        <f>SmtRes!AC71</f>
        <v>0</v>
      </c>
      <c r="T48">
        <f>ROUND(ROUND(Q48*Source!I173, 6)*SmtRes!AK71, 2)</f>
        <v>0</v>
      </c>
      <c r="U48">
        <f>SmtRes!X71</f>
        <v>-2033961190</v>
      </c>
      <c r="V48">
        <v>749401340</v>
      </c>
      <c r="W48">
        <v>749401340</v>
      </c>
    </row>
    <row r="49" spans="1:23">
      <c r="A49">
        <f>Source!A173</f>
        <v>17</v>
      </c>
      <c r="C49">
        <v>3</v>
      </c>
      <c r="D49">
        <v>0</v>
      </c>
      <c r="E49">
        <f>SmtRes!AV70</f>
        <v>0</v>
      </c>
      <c r="F49" t="str">
        <f>SmtRes!I70</f>
        <v>21.1-20-17</v>
      </c>
      <c r="G49" t="str">
        <f>SmtRes!K70</f>
        <v>Мешковина</v>
      </c>
      <c r="H49" t="str">
        <f>SmtRes!O70</f>
        <v>м2</v>
      </c>
      <c r="I49">
        <f>SmtRes!Y70*Source!I173</f>
        <v>0.60000000000000009</v>
      </c>
      <c r="J49">
        <f>SmtRes!AO70</f>
        <v>1</v>
      </c>
      <c r="K49">
        <f>SmtRes!AE70</f>
        <v>91.89</v>
      </c>
      <c r="L49">
        <f>SmtRes!DB70</f>
        <v>137.84</v>
      </c>
      <c r="M49">
        <f>ROUND(ROUND(L49*Source!I173, 6)*1, 2)</f>
        <v>55.14</v>
      </c>
      <c r="N49">
        <f>SmtRes!AA70</f>
        <v>91.89</v>
      </c>
      <c r="O49">
        <f>ROUND(ROUND(L49*Source!I173, 6)*SmtRes!DA70, 2)</f>
        <v>55.14</v>
      </c>
      <c r="P49">
        <f>SmtRes!AG70</f>
        <v>0</v>
      </c>
      <c r="Q49">
        <f>SmtRes!DC70</f>
        <v>0</v>
      </c>
      <c r="R49">
        <f>ROUND(ROUND(Q49*Source!I173, 6)*1, 2)</f>
        <v>0</v>
      </c>
      <c r="S49">
        <f>SmtRes!AC70</f>
        <v>0</v>
      </c>
      <c r="T49">
        <f>ROUND(ROUND(Q49*Source!I173, 6)*SmtRes!AK70, 2)</f>
        <v>0</v>
      </c>
      <c r="U49">
        <f>SmtRes!X70</f>
        <v>-2047649341</v>
      </c>
      <c r="V49">
        <v>-1336012766</v>
      </c>
      <c r="W49">
        <v>-1336012766</v>
      </c>
    </row>
    <row r="50" spans="1:23">
      <c r="A50">
        <f>Source!A174</f>
        <v>18</v>
      </c>
      <c r="C50">
        <v>3</v>
      </c>
      <c r="D50">
        <f>Source!BI174</f>
        <v>4</v>
      </c>
      <c r="E50">
        <f>Source!FS174</f>
        <v>0</v>
      </c>
      <c r="F50" t="str">
        <f>Source!F174</f>
        <v>комерческое предложение</v>
      </c>
      <c r="G50" t="str">
        <f>Source!G174</f>
        <v>Деревья хвойные садовых форм с комом земли, порода: Ель Глаука Глобоза высота - 1,8-2,2 м, размер кома 1,3х1,3х0,6 м</v>
      </c>
      <c r="H50" t="str">
        <f>Source!H174</f>
        <v>шт.</v>
      </c>
      <c r="I50">
        <f>Source!I174</f>
        <v>2</v>
      </c>
      <c r="J50">
        <v>1</v>
      </c>
      <c r="K50">
        <f>Source!AC174</f>
        <v>13809.17</v>
      </c>
      <c r="M50">
        <f>ROUND(K50*I50, 2)</f>
        <v>27618.34</v>
      </c>
      <c r="N50">
        <f>Source!AC174*IF(Source!BC174&lt;&gt; 0, Source!BC174, 1)</f>
        <v>13809.17</v>
      </c>
      <c r="O50">
        <f>ROUND(N50*I50, 2)</f>
        <v>27618.34</v>
      </c>
      <c r="P50">
        <f>Source!AE174</f>
        <v>0</v>
      </c>
      <c r="R50">
        <f>ROUND(P50*I50, 2)</f>
        <v>0</v>
      </c>
      <c r="S50">
        <f>Source!AE174*IF(Source!BS174&lt;&gt; 0, Source!BS174, 1)</f>
        <v>0</v>
      </c>
      <c r="T50">
        <f>ROUND(S50*I50, 2)</f>
        <v>0</v>
      </c>
      <c r="U50">
        <f>Source!GF174</f>
        <v>-1116103531</v>
      </c>
      <c r="V50">
        <v>-173860209</v>
      </c>
      <c r="W50">
        <v>-173860209</v>
      </c>
    </row>
    <row r="51" spans="1:23">
      <c r="A51">
        <f>Source!A175</f>
        <v>18</v>
      </c>
      <c r="C51">
        <v>3</v>
      </c>
      <c r="D51">
        <f>Source!BI175</f>
        <v>4</v>
      </c>
      <c r="E51">
        <f>Source!FS175</f>
        <v>0</v>
      </c>
      <c r="F51" t="str">
        <f>Source!F175</f>
        <v>комерческое предложение</v>
      </c>
      <c r="G51" t="str">
        <f>Source!G175</f>
        <v>Деревья хвойные садовых форм с комом земли, порода:  Сосна Нигра, высота - 1,8-2,2 м, размер кома 1,3х1,3х0,6 м</v>
      </c>
      <c r="H51" t="str">
        <f>Source!H175</f>
        <v>шт.</v>
      </c>
      <c r="I51">
        <f>Source!I175</f>
        <v>2</v>
      </c>
      <c r="J51">
        <v>1</v>
      </c>
      <c r="K51">
        <f>Source!AC175</f>
        <v>7845.83</v>
      </c>
      <c r="M51">
        <f>ROUND(K51*I51, 2)</f>
        <v>15691.66</v>
      </c>
      <c r="N51">
        <f>Source!AC175*IF(Source!BC175&lt;&gt; 0, Source!BC175, 1)</f>
        <v>7845.83</v>
      </c>
      <c r="O51">
        <f>ROUND(N51*I51, 2)</f>
        <v>15691.66</v>
      </c>
      <c r="P51">
        <f>Source!AE175</f>
        <v>0</v>
      </c>
      <c r="R51">
        <f>ROUND(P51*I51, 2)</f>
        <v>0</v>
      </c>
      <c r="S51">
        <f>Source!AE175*IF(Source!BS175&lt;&gt; 0, Source!BS175, 1)</f>
        <v>0</v>
      </c>
      <c r="T51">
        <f>ROUND(S51*I51, 2)</f>
        <v>0</v>
      </c>
      <c r="U51">
        <f>Source!GF175</f>
        <v>-1077476460</v>
      </c>
      <c r="V51">
        <v>-1167612586</v>
      </c>
      <c r="W51">
        <v>-1167612586</v>
      </c>
    </row>
    <row r="52" spans="1:23">
      <c r="A52">
        <f>Source!A176</f>
        <v>17</v>
      </c>
      <c r="C52">
        <v>3</v>
      </c>
      <c r="D52">
        <v>0</v>
      </c>
      <c r="E52">
        <f>SmtRes!AV78</f>
        <v>0</v>
      </c>
      <c r="F52" t="str">
        <f>SmtRes!I78</f>
        <v>21.4-6-5</v>
      </c>
      <c r="G52" t="str">
        <f>SmtRes!K78</f>
        <v>Земля растительная</v>
      </c>
      <c r="H52" t="str">
        <f>SmtRes!O78</f>
        <v>м3</v>
      </c>
      <c r="I52">
        <f>SmtRes!Y78*Source!I176</f>
        <v>2.1964000000000001</v>
      </c>
      <c r="J52">
        <f>SmtRes!AO78</f>
        <v>1</v>
      </c>
      <c r="K52">
        <f>SmtRes!AE78</f>
        <v>753.67</v>
      </c>
      <c r="L52">
        <f>SmtRes!DB78</f>
        <v>2434.35</v>
      </c>
      <c r="M52">
        <f>ROUND(ROUND(L52*Source!I176, 6)*1, 2)</f>
        <v>1655.36</v>
      </c>
      <c r="N52">
        <f>SmtRes!AA78</f>
        <v>753.67</v>
      </c>
      <c r="O52">
        <f>ROUND(ROUND(L52*Source!I176, 6)*SmtRes!DA78, 2)</f>
        <v>1655.36</v>
      </c>
      <c r="P52">
        <f>SmtRes!AG78</f>
        <v>0</v>
      </c>
      <c r="Q52">
        <f>SmtRes!DC78</f>
        <v>0</v>
      </c>
      <c r="R52">
        <f>ROUND(ROUND(Q52*Source!I176, 6)*1, 2)</f>
        <v>0</v>
      </c>
      <c r="S52">
        <f>SmtRes!AC78</f>
        <v>0</v>
      </c>
      <c r="T52">
        <f>ROUND(ROUND(Q52*Source!I176, 6)*SmtRes!AK78, 2)</f>
        <v>0</v>
      </c>
      <c r="U52">
        <f>SmtRes!X78</f>
        <v>-1172857595</v>
      </c>
      <c r="V52">
        <v>-353567041</v>
      </c>
      <c r="W52">
        <v>-353567041</v>
      </c>
    </row>
    <row r="53" spans="1:23">
      <c r="A53">
        <f>Source!A176</f>
        <v>17</v>
      </c>
      <c r="C53">
        <v>3</v>
      </c>
      <c r="D53">
        <v>0</v>
      </c>
      <c r="E53">
        <f>SmtRes!AV77</f>
        <v>0</v>
      </c>
      <c r="F53" t="str">
        <f>SmtRes!I77</f>
        <v>21.4-6-15</v>
      </c>
      <c r="G53" t="str">
        <f>SmtRes!K77</f>
        <v>Торф</v>
      </c>
      <c r="H53" t="str">
        <f>SmtRes!O77</f>
        <v>м3</v>
      </c>
      <c r="I53">
        <f>SmtRes!Y77*Source!I176</f>
        <v>0.73440000000000005</v>
      </c>
      <c r="J53">
        <f>SmtRes!AO77</f>
        <v>1</v>
      </c>
      <c r="K53">
        <f>SmtRes!AE77</f>
        <v>810.33</v>
      </c>
      <c r="L53">
        <f>SmtRes!DB77</f>
        <v>875.16</v>
      </c>
      <c r="M53">
        <f>ROUND(ROUND(L53*Source!I176, 6)*1, 2)</f>
        <v>595.11</v>
      </c>
      <c r="N53">
        <f>SmtRes!AA77</f>
        <v>810.33</v>
      </c>
      <c r="O53">
        <f>ROUND(ROUND(L53*Source!I176, 6)*SmtRes!DA77, 2)</f>
        <v>595.11</v>
      </c>
      <c r="P53">
        <f>SmtRes!AG77</f>
        <v>0</v>
      </c>
      <c r="Q53">
        <f>SmtRes!DC77</f>
        <v>0</v>
      </c>
      <c r="R53">
        <f>ROUND(ROUND(Q53*Source!I176, 6)*1, 2)</f>
        <v>0</v>
      </c>
      <c r="S53">
        <f>SmtRes!AC77</f>
        <v>0</v>
      </c>
      <c r="T53">
        <f>ROUND(ROUND(Q53*Source!I176, 6)*SmtRes!AK77, 2)</f>
        <v>0</v>
      </c>
      <c r="U53">
        <f>SmtRes!X77</f>
        <v>620872455</v>
      </c>
      <c r="V53">
        <v>-1744796367</v>
      </c>
      <c r="W53">
        <v>-1744796367</v>
      </c>
    </row>
    <row r="54" spans="1:23">
      <c r="A54">
        <f>Source!A177</f>
        <v>17</v>
      </c>
      <c r="C54">
        <v>3</v>
      </c>
      <c r="D54">
        <v>0</v>
      </c>
      <c r="E54">
        <f>SmtRes!AV83</f>
        <v>0</v>
      </c>
      <c r="F54" t="str">
        <f>SmtRes!I83</f>
        <v>21.4-6-5</v>
      </c>
      <c r="G54" t="str">
        <f>SmtRes!K83</f>
        <v>Земля растительная</v>
      </c>
      <c r="H54" t="str">
        <f>SmtRes!O83</f>
        <v>м3</v>
      </c>
      <c r="I54">
        <f>SmtRes!Y83*Source!I177</f>
        <v>3.2946</v>
      </c>
      <c r="J54">
        <f>SmtRes!AO83</f>
        <v>1</v>
      </c>
      <c r="K54">
        <f>SmtRes!AE83</f>
        <v>753.67</v>
      </c>
      <c r="L54">
        <f>SmtRes!DB83</f>
        <v>2434.35</v>
      </c>
      <c r="M54">
        <f>ROUND(ROUND(L54*Source!I177, 6)*1, 2)</f>
        <v>2483.04</v>
      </c>
      <c r="N54">
        <f>SmtRes!AA83</f>
        <v>753.67</v>
      </c>
      <c r="O54">
        <f>ROUND(ROUND(L54*Source!I177, 6)*SmtRes!DA83, 2)</f>
        <v>2483.04</v>
      </c>
      <c r="P54">
        <f>SmtRes!AG83</f>
        <v>0</v>
      </c>
      <c r="Q54">
        <f>SmtRes!DC83</f>
        <v>0</v>
      </c>
      <c r="R54">
        <f>ROUND(ROUND(Q54*Source!I177, 6)*1, 2)</f>
        <v>0</v>
      </c>
      <c r="S54">
        <f>SmtRes!AC83</f>
        <v>0</v>
      </c>
      <c r="T54">
        <f>ROUND(ROUND(Q54*Source!I177, 6)*SmtRes!AK83, 2)</f>
        <v>0</v>
      </c>
      <c r="U54">
        <f>SmtRes!X83</f>
        <v>-1172857595</v>
      </c>
      <c r="V54">
        <v>-353567041</v>
      </c>
      <c r="W54">
        <v>-353567041</v>
      </c>
    </row>
    <row r="55" spans="1:23">
      <c r="A55">
        <f>Source!A177</f>
        <v>17</v>
      </c>
      <c r="C55">
        <v>3</v>
      </c>
      <c r="D55">
        <v>0</v>
      </c>
      <c r="E55">
        <f>SmtRes!AV82</f>
        <v>0</v>
      </c>
      <c r="F55" t="str">
        <f>SmtRes!I82</f>
        <v>21.4-6-15</v>
      </c>
      <c r="G55" t="str">
        <f>SmtRes!K82</f>
        <v>Торф</v>
      </c>
      <c r="H55" t="str">
        <f>SmtRes!O82</f>
        <v>м3</v>
      </c>
      <c r="I55">
        <f>SmtRes!Y82*Source!I177</f>
        <v>1.1016000000000001</v>
      </c>
      <c r="J55">
        <f>SmtRes!AO82</f>
        <v>1</v>
      </c>
      <c r="K55">
        <f>SmtRes!AE82</f>
        <v>810.33</v>
      </c>
      <c r="L55">
        <f>SmtRes!DB82</f>
        <v>875.16</v>
      </c>
      <c r="M55">
        <f>ROUND(ROUND(L55*Source!I177, 6)*1, 2)</f>
        <v>892.66</v>
      </c>
      <c r="N55">
        <f>SmtRes!AA82</f>
        <v>810.33</v>
      </c>
      <c r="O55">
        <f>ROUND(ROUND(L55*Source!I177, 6)*SmtRes!DA82, 2)</f>
        <v>892.66</v>
      </c>
      <c r="P55">
        <f>SmtRes!AG82</f>
        <v>0</v>
      </c>
      <c r="Q55">
        <f>SmtRes!DC82</f>
        <v>0</v>
      </c>
      <c r="R55">
        <f>ROUND(ROUND(Q55*Source!I177, 6)*1, 2)</f>
        <v>0</v>
      </c>
      <c r="S55">
        <f>SmtRes!AC82</f>
        <v>0</v>
      </c>
      <c r="T55">
        <f>ROUND(ROUND(Q55*Source!I177, 6)*SmtRes!AK82, 2)</f>
        <v>0</v>
      </c>
      <c r="U55">
        <f>SmtRes!X82</f>
        <v>620872455</v>
      </c>
      <c r="V55">
        <v>-1744796367</v>
      </c>
      <c r="W55">
        <v>-1744796367</v>
      </c>
    </row>
    <row r="56" spans="1:23">
      <c r="A56">
        <f>Source!A180</f>
        <v>17</v>
      </c>
      <c r="C56">
        <v>3</v>
      </c>
      <c r="D56">
        <v>0</v>
      </c>
      <c r="E56">
        <f>SmtRes!AV91</f>
        <v>0</v>
      </c>
      <c r="F56" t="str">
        <f>SmtRes!I91</f>
        <v>21.4-6-7</v>
      </c>
      <c r="G56" t="str">
        <f>SmtRes!K91</f>
        <v>Колья деревянные для подвязки деревьев до 2,5м</v>
      </c>
      <c r="H56" t="str">
        <f>SmtRes!O91</f>
        <v>м3</v>
      </c>
      <c r="I56">
        <f>SmtRes!Y91*Source!I180</f>
        <v>0.26928000000000002</v>
      </c>
      <c r="J56">
        <f>SmtRes!AO91</f>
        <v>1</v>
      </c>
      <c r="K56">
        <f>SmtRes!AE91</f>
        <v>3467</v>
      </c>
      <c r="L56">
        <f>SmtRes!DB91</f>
        <v>549.16999999999996</v>
      </c>
      <c r="M56">
        <f>ROUND(ROUND(L56*Source!I180, 6)*1, 2)</f>
        <v>933.59</v>
      </c>
      <c r="N56">
        <f>SmtRes!AA91</f>
        <v>3467</v>
      </c>
      <c r="O56">
        <f>ROUND(ROUND(L56*Source!I180, 6)*SmtRes!DA91, 2)</f>
        <v>933.59</v>
      </c>
      <c r="P56">
        <f>SmtRes!AG91</f>
        <v>0</v>
      </c>
      <c r="Q56">
        <f>SmtRes!DC91</f>
        <v>0</v>
      </c>
      <c r="R56">
        <f>ROUND(ROUND(Q56*Source!I180, 6)*1, 2)</f>
        <v>0</v>
      </c>
      <c r="S56">
        <f>SmtRes!AC91</f>
        <v>0</v>
      </c>
      <c r="T56">
        <f>ROUND(ROUND(Q56*Source!I180, 6)*SmtRes!AK91, 2)</f>
        <v>0</v>
      </c>
      <c r="U56">
        <f>SmtRes!X91</f>
        <v>1048243141</v>
      </c>
      <c r="V56">
        <v>1475258042</v>
      </c>
      <c r="W56">
        <v>1475258042</v>
      </c>
    </row>
    <row r="57" spans="1:23">
      <c r="A57">
        <f>Source!A180</f>
        <v>17</v>
      </c>
      <c r="C57">
        <v>3</v>
      </c>
      <c r="D57">
        <v>0</v>
      </c>
      <c r="E57">
        <f>SmtRes!AV90</f>
        <v>0</v>
      </c>
      <c r="F57" t="str">
        <f>SmtRes!I90</f>
        <v>21.1-25-13</v>
      </c>
      <c r="G57" t="str">
        <f>SmtRes!K90</f>
        <v>Вода</v>
      </c>
      <c r="H57" t="str">
        <f>SmtRes!O90</f>
        <v>м3</v>
      </c>
      <c r="I57">
        <f>SmtRes!Y90*Source!I180</f>
        <v>3.74</v>
      </c>
      <c r="J57">
        <f>SmtRes!AO90</f>
        <v>1</v>
      </c>
      <c r="K57">
        <f>SmtRes!AE90</f>
        <v>35.25</v>
      </c>
      <c r="L57">
        <f>SmtRes!DB90</f>
        <v>77.55</v>
      </c>
      <c r="M57">
        <f>ROUND(ROUND(L57*Source!I180, 6)*1, 2)</f>
        <v>131.84</v>
      </c>
      <c r="N57">
        <f>SmtRes!AA90</f>
        <v>35.25</v>
      </c>
      <c r="O57">
        <f>ROUND(ROUND(L57*Source!I180, 6)*SmtRes!DA90, 2)</f>
        <v>131.84</v>
      </c>
      <c r="P57">
        <f>SmtRes!AG90</f>
        <v>0</v>
      </c>
      <c r="Q57">
        <f>SmtRes!DC90</f>
        <v>0</v>
      </c>
      <c r="R57">
        <f>ROUND(ROUND(Q57*Source!I180, 6)*1, 2)</f>
        <v>0</v>
      </c>
      <c r="S57">
        <f>SmtRes!AC90</f>
        <v>0</v>
      </c>
      <c r="T57">
        <f>ROUND(ROUND(Q57*Source!I180, 6)*SmtRes!AK90, 2)</f>
        <v>0</v>
      </c>
      <c r="U57">
        <f>SmtRes!X90</f>
        <v>1927597627</v>
      </c>
      <c r="V57">
        <v>-1829664509</v>
      </c>
      <c r="W57">
        <v>-1829664509</v>
      </c>
    </row>
    <row r="58" spans="1:23">
      <c r="A58">
        <f>Source!A180</f>
        <v>17</v>
      </c>
      <c r="C58">
        <v>3</v>
      </c>
      <c r="D58">
        <v>0</v>
      </c>
      <c r="E58">
        <f>SmtRes!AV89</f>
        <v>0</v>
      </c>
      <c r="F58" t="str">
        <f>SmtRes!I89</f>
        <v>21.1-20-54</v>
      </c>
      <c r="G58" t="str">
        <f>SmtRes!K89</f>
        <v>Шпагат пеньковый</v>
      </c>
      <c r="H58" t="str">
        <f>SmtRes!O89</f>
        <v>кг</v>
      </c>
      <c r="I58">
        <f>SmtRes!Y89*Source!I180</f>
        <v>0.51</v>
      </c>
      <c r="J58">
        <f>SmtRes!AO89</f>
        <v>1</v>
      </c>
      <c r="K58">
        <f>SmtRes!AE89</f>
        <v>171.21</v>
      </c>
      <c r="L58">
        <f>SmtRes!DB89</f>
        <v>51.36</v>
      </c>
      <c r="M58">
        <f>ROUND(ROUND(L58*Source!I180, 6)*1, 2)</f>
        <v>87.31</v>
      </c>
      <c r="N58">
        <f>SmtRes!AA89</f>
        <v>171.21</v>
      </c>
      <c r="O58">
        <f>ROUND(ROUND(L58*Source!I180, 6)*SmtRes!DA89, 2)</f>
        <v>87.31</v>
      </c>
      <c r="P58">
        <f>SmtRes!AG89</f>
        <v>0</v>
      </c>
      <c r="Q58">
        <f>SmtRes!DC89</f>
        <v>0</v>
      </c>
      <c r="R58">
        <f>ROUND(ROUND(Q58*Source!I180, 6)*1, 2)</f>
        <v>0</v>
      </c>
      <c r="S58">
        <f>SmtRes!AC89</f>
        <v>0</v>
      </c>
      <c r="T58">
        <f>ROUND(ROUND(Q58*Source!I180, 6)*SmtRes!AK89, 2)</f>
        <v>0</v>
      </c>
      <c r="U58">
        <f>SmtRes!X89</f>
        <v>-2033961190</v>
      </c>
      <c r="V58">
        <v>749401340</v>
      </c>
      <c r="W58">
        <v>749401340</v>
      </c>
    </row>
    <row r="59" spans="1:23">
      <c r="A59">
        <f>Source!A180</f>
        <v>17</v>
      </c>
      <c r="C59">
        <v>3</v>
      </c>
      <c r="D59">
        <v>0</v>
      </c>
      <c r="E59">
        <f>SmtRes!AV88</f>
        <v>0</v>
      </c>
      <c r="F59" t="str">
        <f>SmtRes!I88</f>
        <v>21.1-20-17</v>
      </c>
      <c r="G59" t="str">
        <f>SmtRes!K88</f>
        <v>Мешковина</v>
      </c>
      <c r="H59" t="str">
        <f>SmtRes!O88</f>
        <v>м2</v>
      </c>
      <c r="I59">
        <f>SmtRes!Y88*Source!I180</f>
        <v>2.5499999999999998</v>
      </c>
      <c r="J59">
        <f>SmtRes!AO88</f>
        <v>1</v>
      </c>
      <c r="K59">
        <f>SmtRes!AE88</f>
        <v>91.89</v>
      </c>
      <c r="L59">
        <f>SmtRes!DB88</f>
        <v>137.84</v>
      </c>
      <c r="M59">
        <f>ROUND(ROUND(L59*Source!I180, 6)*1, 2)</f>
        <v>234.33</v>
      </c>
      <c r="N59">
        <f>SmtRes!AA88</f>
        <v>91.89</v>
      </c>
      <c r="O59">
        <f>ROUND(ROUND(L59*Source!I180, 6)*SmtRes!DA88, 2)</f>
        <v>234.33</v>
      </c>
      <c r="P59">
        <f>SmtRes!AG88</f>
        <v>0</v>
      </c>
      <c r="Q59">
        <f>SmtRes!DC88</f>
        <v>0</v>
      </c>
      <c r="R59">
        <f>ROUND(ROUND(Q59*Source!I180, 6)*1, 2)</f>
        <v>0</v>
      </c>
      <c r="S59">
        <f>SmtRes!AC88</f>
        <v>0</v>
      </c>
      <c r="T59">
        <f>ROUND(ROUND(Q59*Source!I180, 6)*SmtRes!AK88, 2)</f>
        <v>0</v>
      </c>
      <c r="U59">
        <f>SmtRes!X88</f>
        <v>-2047649341</v>
      </c>
      <c r="V59">
        <v>-1336012766</v>
      </c>
      <c r="W59">
        <v>-1336012766</v>
      </c>
    </row>
    <row r="60" spans="1:23">
      <c r="A60">
        <f>Source!A181</f>
        <v>18</v>
      </c>
      <c r="C60">
        <v>3</v>
      </c>
      <c r="D60">
        <f>Source!BI181</f>
        <v>4</v>
      </c>
      <c r="E60">
        <f>Source!FS181</f>
        <v>0</v>
      </c>
      <c r="F60" t="str">
        <f>Source!F181</f>
        <v>комерческое предложение</v>
      </c>
      <c r="G60" t="str">
        <f>Source!G181</f>
        <v>Деревья хвойные садовых форм с комом земли, порода:  Туя Брабант, высота - 1,2-1,4 м, размер кома 0,5м*0,4м</v>
      </c>
      <c r="H60" t="str">
        <f>Source!H181</f>
        <v>шт.</v>
      </c>
      <c r="I60">
        <f>Source!I181</f>
        <v>1</v>
      </c>
      <c r="J60">
        <v>1</v>
      </c>
      <c r="K60">
        <f>Source!AC181</f>
        <v>3833.33</v>
      </c>
      <c r="M60">
        <f>ROUND(K60*I60, 2)</f>
        <v>3833.33</v>
      </c>
      <c r="N60">
        <f>Source!AC181*IF(Source!BC181&lt;&gt; 0, Source!BC181, 1)</f>
        <v>3833.33</v>
      </c>
      <c r="O60">
        <f>ROUND(N60*I60, 2)</f>
        <v>3833.33</v>
      </c>
      <c r="P60">
        <f>Source!AE181</f>
        <v>0</v>
      </c>
      <c r="R60">
        <f>ROUND(P60*I60, 2)</f>
        <v>0</v>
      </c>
      <c r="S60">
        <f>Source!AE181*IF(Source!BS181&lt;&gt; 0, Source!BS181, 1)</f>
        <v>0</v>
      </c>
      <c r="T60">
        <f>ROUND(S60*I60, 2)</f>
        <v>0</v>
      </c>
      <c r="U60">
        <f>Source!GF181</f>
        <v>1882630652</v>
      </c>
      <c r="V60">
        <v>236537647</v>
      </c>
      <c r="W60">
        <v>236537647</v>
      </c>
    </row>
    <row r="61" spans="1:23">
      <c r="A61">
        <f>Source!A182</f>
        <v>18</v>
      </c>
      <c r="C61">
        <v>3</v>
      </c>
      <c r="D61">
        <f>Source!BI182</f>
        <v>4</v>
      </c>
      <c r="E61">
        <f>Source!FS182</f>
        <v>0</v>
      </c>
      <c r="F61" t="str">
        <f>Source!F182</f>
        <v>комерческое предложение</v>
      </c>
      <c r="G61" t="str">
        <f>Source!G182</f>
        <v>Деревья хвойные садовых форм с комом земли, порода:  Туя Смарагд (шар) , высота - 0,6-0,8м, размер кома 0,5м*0,4м</v>
      </c>
      <c r="H61" t="str">
        <f>Source!H182</f>
        <v>шт.</v>
      </c>
      <c r="I61">
        <f>Source!I182</f>
        <v>6</v>
      </c>
      <c r="J61">
        <v>1</v>
      </c>
      <c r="K61">
        <f>Source!AC182</f>
        <v>2250</v>
      </c>
      <c r="M61">
        <f>ROUND(K61*I61, 2)</f>
        <v>13500</v>
      </c>
      <c r="N61">
        <f>Source!AC182*IF(Source!BC182&lt;&gt; 0, Source!BC182, 1)</f>
        <v>2250</v>
      </c>
      <c r="O61">
        <f>ROUND(N61*I61, 2)</f>
        <v>13500</v>
      </c>
      <c r="P61">
        <f>Source!AE182</f>
        <v>0</v>
      </c>
      <c r="R61">
        <f>ROUND(P61*I61, 2)</f>
        <v>0</v>
      </c>
      <c r="S61">
        <f>Source!AE182*IF(Source!BS182&lt;&gt; 0, Source!BS182, 1)</f>
        <v>0</v>
      </c>
      <c r="T61">
        <f>ROUND(S61*I61, 2)</f>
        <v>0</v>
      </c>
      <c r="U61">
        <f>Source!GF182</f>
        <v>-1583705309</v>
      </c>
      <c r="V61">
        <v>1844275031</v>
      </c>
      <c r="W61">
        <v>1844275031</v>
      </c>
    </row>
    <row r="62" spans="1:23">
      <c r="A62">
        <f>Source!A183</f>
        <v>18</v>
      </c>
      <c r="C62">
        <v>3</v>
      </c>
      <c r="D62">
        <f>Source!BI183</f>
        <v>4</v>
      </c>
      <c r="E62">
        <f>Source!FS183</f>
        <v>0</v>
      </c>
      <c r="F62" t="str">
        <f>Source!F183</f>
        <v>комерческое предложение</v>
      </c>
      <c r="G62" t="str">
        <f>Source!G183</f>
        <v>Деревья хвойные садовых форм с комом земли, порода:  Туя Вудварди, высота - 1,2-1,4 м, размер кома 0,5м*0,4м</v>
      </c>
      <c r="H62" t="str">
        <f>Source!H183</f>
        <v>шт.</v>
      </c>
      <c r="I62">
        <f>Source!I183</f>
        <v>3</v>
      </c>
      <c r="J62">
        <v>1</v>
      </c>
      <c r="K62">
        <f>Source!AC183</f>
        <v>4250</v>
      </c>
      <c r="M62">
        <f>ROUND(K62*I62, 2)</f>
        <v>12750</v>
      </c>
      <c r="N62">
        <f>Source!AC183*IF(Source!BC183&lt;&gt; 0, Source!BC183, 1)</f>
        <v>4250</v>
      </c>
      <c r="O62">
        <f>ROUND(N62*I62, 2)</f>
        <v>12750</v>
      </c>
      <c r="P62">
        <f>Source!AE183</f>
        <v>0</v>
      </c>
      <c r="R62">
        <f>ROUND(P62*I62, 2)</f>
        <v>0</v>
      </c>
      <c r="S62">
        <f>Source!AE183*IF(Source!BS183&lt;&gt; 0, Source!BS183, 1)</f>
        <v>0</v>
      </c>
      <c r="T62">
        <f>ROUND(S62*I62, 2)</f>
        <v>0</v>
      </c>
      <c r="U62">
        <f>Source!GF183</f>
        <v>-1872626533</v>
      </c>
      <c r="V62">
        <v>814502955</v>
      </c>
      <c r="W62">
        <v>814502955</v>
      </c>
    </row>
    <row r="63" spans="1:23">
      <c r="A63">
        <f>Source!A184</f>
        <v>18</v>
      </c>
      <c r="C63">
        <v>3</v>
      </c>
      <c r="D63">
        <f>Source!BI184</f>
        <v>4</v>
      </c>
      <c r="E63">
        <f>Source!FS184</f>
        <v>0</v>
      </c>
      <c r="F63" t="str">
        <f>Source!F184</f>
        <v>комерческое предложение</v>
      </c>
      <c r="G63" t="str">
        <f>Source!G184</f>
        <v>Деревья хвойные садовых форм с комом земли, порода:  Туя Глобоза (шар), высота - 1,2 м, размер кома 0,5м*0,4м</v>
      </c>
      <c r="H63" t="str">
        <f>Source!H184</f>
        <v>шт.</v>
      </c>
      <c r="I63">
        <f>Source!I184</f>
        <v>3</v>
      </c>
      <c r="J63">
        <v>1</v>
      </c>
      <c r="K63">
        <f>Source!AC184</f>
        <v>3583.33</v>
      </c>
      <c r="M63">
        <f>ROUND(K63*I63, 2)</f>
        <v>10749.99</v>
      </c>
      <c r="N63">
        <f>Source!AC184*IF(Source!BC184&lt;&gt; 0, Source!BC184, 1)</f>
        <v>3583.33</v>
      </c>
      <c r="O63">
        <f>ROUND(N63*I63, 2)</f>
        <v>10749.99</v>
      </c>
      <c r="P63">
        <f>Source!AE184</f>
        <v>0</v>
      </c>
      <c r="R63">
        <f>ROUND(P63*I63, 2)</f>
        <v>0</v>
      </c>
      <c r="S63">
        <f>Source!AE184*IF(Source!BS184&lt;&gt; 0, Source!BS184, 1)</f>
        <v>0</v>
      </c>
      <c r="T63">
        <f>ROUND(S63*I63, 2)</f>
        <v>0</v>
      </c>
      <c r="U63">
        <f>Source!GF184</f>
        <v>1312657559</v>
      </c>
      <c r="V63">
        <v>1758199083</v>
      </c>
      <c r="W63">
        <v>1758199083</v>
      </c>
    </row>
    <row r="64" spans="1:23">
      <c r="A64">
        <f>Source!A185</f>
        <v>18</v>
      </c>
      <c r="C64">
        <v>3</v>
      </c>
      <c r="D64">
        <f>Source!BI185</f>
        <v>4</v>
      </c>
      <c r="E64">
        <f>Source!FS185</f>
        <v>0</v>
      </c>
      <c r="F64" t="str">
        <f>Source!F185</f>
        <v>комерческое предложение</v>
      </c>
      <c r="G64" t="str">
        <f>Source!G185</f>
        <v>Деревья хвойные садовых форм с комом земли, порода:  Туя Глаука Глобоза, высота - 1,2-1,4 м, размер кома 0,5м*0,4м</v>
      </c>
      <c r="H64" t="str">
        <f>Source!H185</f>
        <v>шт.</v>
      </c>
      <c r="I64">
        <f>Source!I185</f>
        <v>4</v>
      </c>
      <c r="J64">
        <v>1</v>
      </c>
      <c r="K64">
        <f>Source!AC185</f>
        <v>3250</v>
      </c>
      <c r="M64">
        <f>ROUND(K64*I64, 2)</f>
        <v>13000</v>
      </c>
      <c r="N64">
        <f>Source!AC185*IF(Source!BC185&lt;&gt; 0, Source!BC185, 1)</f>
        <v>3250</v>
      </c>
      <c r="O64">
        <f>ROUND(N64*I64, 2)</f>
        <v>13000</v>
      </c>
      <c r="P64">
        <f>Source!AE185</f>
        <v>0</v>
      </c>
      <c r="R64">
        <f>ROUND(P64*I64, 2)</f>
        <v>0</v>
      </c>
      <c r="S64">
        <f>Source!AE185*IF(Source!BS185&lt;&gt; 0, Source!BS185, 1)</f>
        <v>0</v>
      </c>
      <c r="T64">
        <f>ROUND(S64*I64, 2)</f>
        <v>0</v>
      </c>
      <c r="U64">
        <f>Source!GF185</f>
        <v>576430985</v>
      </c>
      <c r="V64">
        <v>1944493989</v>
      </c>
      <c r="W64">
        <v>1944493989</v>
      </c>
    </row>
    <row r="65" spans="1:23">
      <c r="A65">
        <f>Source!A219</f>
        <v>4</v>
      </c>
      <c r="B65">
        <v>219</v>
      </c>
      <c r="G65" t="str">
        <f>Source!G219</f>
        <v>Декоративное украшение территори озеленения</v>
      </c>
    </row>
    <row r="66" spans="1:23">
      <c r="A66">
        <f>Source!A223</f>
        <v>17</v>
      </c>
      <c r="C66">
        <v>3</v>
      </c>
      <c r="D66">
        <v>0</v>
      </c>
      <c r="E66">
        <f>SmtRes!AV98</f>
        <v>0</v>
      </c>
      <c r="F66" t="str">
        <f>SmtRes!I98</f>
        <v>21.4-6-17</v>
      </c>
      <c r="G66" t="str">
        <f>SmtRes!K98</f>
        <v>Добавки мульчирующие - декоративная щепа (различная цветовая гамма)</v>
      </c>
      <c r="H66" t="str">
        <f>SmtRes!O98</f>
        <v>кг</v>
      </c>
      <c r="I66">
        <f>SmtRes!Y98*Source!I223</f>
        <v>42</v>
      </c>
      <c r="J66">
        <f>SmtRes!AO98</f>
        <v>1</v>
      </c>
      <c r="K66">
        <f>SmtRes!AE98</f>
        <v>43.69</v>
      </c>
      <c r="L66">
        <f>SmtRes!DB98</f>
        <v>5242.8</v>
      </c>
      <c r="M66">
        <f>ROUND(ROUND(L66*Source!I223, 6)*1, 2)</f>
        <v>1834.98</v>
      </c>
      <c r="N66">
        <f>SmtRes!AA98</f>
        <v>43.69</v>
      </c>
      <c r="O66">
        <f>ROUND(ROUND(L66*Source!I223, 6)*SmtRes!DA98, 2)</f>
        <v>1834.98</v>
      </c>
      <c r="P66">
        <f>SmtRes!AG98</f>
        <v>0</v>
      </c>
      <c r="Q66">
        <f>SmtRes!DC98</f>
        <v>0</v>
      </c>
      <c r="R66">
        <f>ROUND(ROUND(Q66*Source!I223, 6)*1, 2)</f>
        <v>0</v>
      </c>
      <c r="S66">
        <f>SmtRes!AC98</f>
        <v>0</v>
      </c>
      <c r="T66">
        <f>ROUND(ROUND(Q66*Source!I223, 6)*SmtRes!AK98, 2)</f>
        <v>0</v>
      </c>
      <c r="U66">
        <f>SmtRes!X98</f>
        <v>-454677619</v>
      </c>
      <c r="V66">
        <v>-1910259342</v>
      </c>
      <c r="W66">
        <v>-1910259342</v>
      </c>
    </row>
    <row r="67" spans="1:23">
      <c r="A67">
        <f>Source!A224</f>
        <v>17</v>
      </c>
      <c r="C67">
        <v>3</v>
      </c>
      <c r="D67">
        <v>0</v>
      </c>
      <c r="E67">
        <f>SmtRes!AV100</f>
        <v>0</v>
      </c>
      <c r="F67" t="str">
        <f>SmtRes!I100</f>
        <v>21.4-6-17</v>
      </c>
      <c r="G67" t="str">
        <f>SmtRes!K100</f>
        <v>Добавки мульчирующие - декоративная щепа (различная цветовая гамма)</v>
      </c>
      <c r="H67" t="str">
        <f>SmtRes!O100</f>
        <v>кг</v>
      </c>
      <c r="I67">
        <f>SmtRes!Y100*Source!I224</f>
        <v>62.999999999999993</v>
      </c>
      <c r="J67">
        <f>SmtRes!AO100</f>
        <v>1</v>
      </c>
      <c r="K67">
        <f>SmtRes!AE100</f>
        <v>43.69</v>
      </c>
      <c r="L67">
        <f>SmtRes!DB100</f>
        <v>7864.2</v>
      </c>
      <c r="M67">
        <f>ROUND(ROUND(L67*Source!I224, 6)*1, 2)</f>
        <v>2752.47</v>
      </c>
      <c r="N67">
        <f>SmtRes!AA100</f>
        <v>43.69</v>
      </c>
      <c r="O67">
        <f>ROUND(ROUND(L67*Source!I224, 6)*SmtRes!DA100, 2)</f>
        <v>2752.47</v>
      </c>
      <c r="P67">
        <f>SmtRes!AG100</f>
        <v>0</v>
      </c>
      <c r="Q67">
        <f>SmtRes!DC100</f>
        <v>0</v>
      </c>
      <c r="R67">
        <f>ROUND(ROUND(Q67*Source!I224, 6)*1, 2)</f>
        <v>0</v>
      </c>
      <c r="S67">
        <f>SmtRes!AC100</f>
        <v>0</v>
      </c>
      <c r="T67">
        <f>ROUND(ROUND(Q67*Source!I224, 6)*SmtRes!AK100, 2)</f>
        <v>0</v>
      </c>
      <c r="U67">
        <f>SmtRes!X100</f>
        <v>-454677619</v>
      </c>
      <c r="V67">
        <v>-1910259342</v>
      </c>
      <c r="W67">
        <v>-1910259342</v>
      </c>
    </row>
    <row r="68" spans="1:23">
      <c r="A68">
        <f>Source!A225</f>
        <v>17</v>
      </c>
      <c r="C68">
        <v>3</v>
      </c>
      <c r="D68">
        <v>0</v>
      </c>
      <c r="E68">
        <f>SmtRes!AV111</f>
        <v>0</v>
      </c>
      <c r="F68" t="str">
        <f>SmtRes!I111</f>
        <v>21.3-4-17</v>
      </c>
      <c r="G68" t="str">
        <f>SmtRes!K111</f>
        <v>Арматурные заготовки (стержни, хомуты и т.п.), не собранные в каркасы или сетки, арматурная сталь периодического профиля, класс А-III, диаметр 12-14 мм</v>
      </c>
      <c r="H68" t="str">
        <f>SmtRes!O111</f>
        <v>т</v>
      </c>
      <c r="I68">
        <f>SmtRes!Y111*Source!I225</f>
        <v>1.4999999999999999E-2</v>
      </c>
      <c r="J68">
        <f>SmtRes!AO111</f>
        <v>1</v>
      </c>
      <c r="K68">
        <f>SmtRes!AE111</f>
        <v>36434</v>
      </c>
      <c r="L68">
        <f>SmtRes!DB111</f>
        <v>1093.02</v>
      </c>
      <c r="M68">
        <f>ROUND(ROUND(L68*Source!I225, 6)*1, 2)</f>
        <v>546.51</v>
      </c>
      <c r="N68">
        <f>SmtRes!AA111</f>
        <v>36434</v>
      </c>
      <c r="O68">
        <f>ROUND(ROUND(L68*Source!I225, 6)*SmtRes!DA111, 2)</f>
        <v>546.51</v>
      </c>
      <c r="P68">
        <f>SmtRes!AG111</f>
        <v>0</v>
      </c>
      <c r="Q68">
        <f>SmtRes!DC111</f>
        <v>0</v>
      </c>
      <c r="R68">
        <f>ROUND(ROUND(Q68*Source!I225, 6)*1, 2)</f>
        <v>0</v>
      </c>
      <c r="S68">
        <f>SmtRes!AC111</f>
        <v>0</v>
      </c>
      <c r="T68">
        <f>ROUND(ROUND(Q68*Source!I225, 6)*SmtRes!AK111, 2)</f>
        <v>0</v>
      </c>
      <c r="U68">
        <f>SmtRes!X111</f>
        <v>-508128525</v>
      </c>
      <c r="V68">
        <v>-21417460</v>
      </c>
      <c r="W68">
        <v>-21417460</v>
      </c>
    </row>
    <row r="69" spans="1:23">
      <c r="A69">
        <f>Source!A225</f>
        <v>17</v>
      </c>
      <c r="C69">
        <v>3</v>
      </c>
      <c r="D69">
        <v>0</v>
      </c>
      <c r="E69">
        <f>SmtRes!AV110</f>
        <v>0</v>
      </c>
      <c r="F69" t="str">
        <f>SmtRes!I110</f>
        <v>21.1-25-13</v>
      </c>
      <c r="G69" t="str">
        <f>SmtRes!K110</f>
        <v>Вода</v>
      </c>
      <c r="H69" t="str">
        <f>SmtRes!O110</f>
        <v>м3</v>
      </c>
      <c r="I69">
        <f>SmtRes!Y110*Source!I225</f>
        <v>0.5</v>
      </c>
      <c r="J69">
        <f>SmtRes!AO110</f>
        <v>1</v>
      </c>
      <c r="K69">
        <f>SmtRes!AE110</f>
        <v>35.25</v>
      </c>
      <c r="L69">
        <f>SmtRes!DB110</f>
        <v>35.25</v>
      </c>
      <c r="M69">
        <f>ROUND(ROUND(L69*Source!I225, 6)*1, 2)</f>
        <v>17.63</v>
      </c>
      <c r="N69">
        <f>SmtRes!AA110</f>
        <v>35.25</v>
      </c>
      <c r="O69">
        <f>ROUND(ROUND(L69*Source!I225, 6)*SmtRes!DA110, 2)</f>
        <v>17.63</v>
      </c>
      <c r="P69">
        <f>SmtRes!AG110</f>
        <v>0</v>
      </c>
      <c r="Q69">
        <f>SmtRes!DC110</f>
        <v>0</v>
      </c>
      <c r="R69">
        <f>ROUND(ROUND(Q69*Source!I225, 6)*1, 2)</f>
        <v>0</v>
      </c>
      <c r="S69">
        <f>SmtRes!AC110</f>
        <v>0</v>
      </c>
      <c r="T69">
        <f>ROUND(ROUND(Q69*Source!I225, 6)*SmtRes!AK110, 2)</f>
        <v>0</v>
      </c>
      <c r="U69">
        <f>SmtRes!X110</f>
        <v>1927597627</v>
      </c>
      <c r="V69">
        <v>-1829664509</v>
      </c>
      <c r="W69">
        <v>-1829664509</v>
      </c>
    </row>
    <row r="70" spans="1:23">
      <c r="A70">
        <f>Source!A225</f>
        <v>17</v>
      </c>
      <c r="C70">
        <v>3</v>
      </c>
      <c r="D70">
        <v>0</v>
      </c>
      <c r="E70">
        <f>SmtRes!AV109</f>
        <v>0</v>
      </c>
      <c r="F70" t="str">
        <f>SmtRes!I109</f>
        <v>21.1-2-13</v>
      </c>
      <c r="G70" t="str">
        <f>SmtRes!K109</f>
        <v>Цемент общестроительный, портландцемент общего назначения, марка 400</v>
      </c>
      <c r="H70" t="str">
        <f>SmtRes!O109</f>
        <v>т</v>
      </c>
      <c r="I70">
        <f>SmtRes!Y109*Source!I225</f>
        <v>0.65</v>
      </c>
      <c r="J70">
        <f>SmtRes!AO109</f>
        <v>1</v>
      </c>
      <c r="K70">
        <f>SmtRes!AE109</f>
        <v>4207.5</v>
      </c>
      <c r="L70">
        <f>SmtRes!DB109</f>
        <v>5469.75</v>
      </c>
      <c r="M70">
        <f>ROUND(ROUND(L70*Source!I225, 6)*1, 2)</f>
        <v>2734.88</v>
      </c>
      <c r="N70">
        <f>SmtRes!AA109</f>
        <v>4207.5</v>
      </c>
      <c r="O70">
        <f>ROUND(ROUND(L70*Source!I225, 6)*SmtRes!DA109, 2)</f>
        <v>2734.88</v>
      </c>
      <c r="P70">
        <f>SmtRes!AG109</f>
        <v>0</v>
      </c>
      <c r="Q70">
        <f>SmtRes!DC109</f>
        <v>0</v>
      </c>
      <c r="R70">
        <f>ROUND(ROUND(Q70*Source!I225, 6)*1, 2)</f>
        <v>0</v>
      </c>
      <c r="S70">
        <f>SmtRes!AC109</f>
        <v>0</v>
      </c>
      <c r="T70">
        <f>ROUND(ROUND(Q70*Source!I225, 6)*SmtRes!AK109, 2)</f>
        <v>0</v>
      </c>
      <c r="U70">
        <f>SmtRes!X109</f>
        <v>1285591100</v>
      </c>
      <c r="V70">
        <v>-1467502367</v>
      </c>
      <c r="W70">
        <v>-1467502367</v>
      </c>
    </row>
    <row r="71" spans="1:23">
      <c r="A71">
        <f>Source!A225</f>
        <v>17</v>
      </c>
      <c r="C71">
        <v>3</v>
      </c>
      <c r="D71">
        <v>0</v>
      </c>
      <c r="E71">
        <f>SmtRes!AV108</f>
        <v>0</v>
      </c>
      <c r="F71" t="str">
        <f>SmtRes!I108</f>
        <v>21.1-12-62</v>
      </c>
      <c r="G71" t="str">
        <f>SmtRes!K108</f>
        <v>Брусчатка из гранита серого цвета, пилено-колотая из пиленого полуфабриката, размер 100х100х100 мм</v>
      </c>
      <c r="H71" t="str">
        <f>SmtRes!O108</f>
        <v>м2</v>
      </c>
      <c r="I71">
        <f>SmtRes!Y108*Source!I225</f>
        <v>5</v>
      </c>
      <c r="J71">
        <f>SmtRes!AO108</f>
        <v>1</v>
      </c>
      <c r="K71">
        <f>SmtRes!AE108</f>
        <v>4659.1099999999997</v>
      </c>
      <c r="L71">
        <f>SmtRes!DB108</f>
        <v>46591.1</v>
      </c>
      <c r="M71">
        <f>ROUND(ROUND(L71*Source!I225, 6)*1, 2)</f>
        <v>23295.55</v>
      </c>
      <c r="N71">
        <f>SmtRes!AA108</f>
        <v>4659.1099999999997</v>
      </c>
      <c r="O71">
        <f>ROUND(ROUND(L71*Source!I225, 6)*SmtRes!DA108, 2)</f>
        <v>23295.55</v>
      </c>
      <c r="P71">
        <f>SmtRes!AG108</f>
        <v>0</v>
      </c>
      <c r="Q71">
        <f>SmtRes!DC108</f>
        <v>0</v>
      </c>
      <c r="R71">
        <f>ROUND(ROUND(Q71*Source!I225, 6)*1, 2)</f>
        <v>0</v>
      </c>
      <c r="S71">
        <f>SmtRes!AC108</f>
        <v>0</v>
      </c>
      <c r="T71">
        <f>ROUND(ROUND(Q71*Source!I225, 6)*SmtRes!AK108, 2)</f>
        <v>0</v>
      </c>
      <c r="U71">
        <f>SmtRes!X108</f>
        <v>-1610909561</v>
      </c>
      <c r="V71">
        <v>2001392356</v>
      </c>
      <c r="W71">
        <v>2001392356</v>
      </c>
    </row>
    <row r="72" spans="1:23">
      <c r="A72">
        <f>Source!A225</f>
        <v>17</v>
      </c>
      <c r="C72">
        <v>3</v>
      </c>
      <c r="D72">
        <v>0</v>
      </c>
      <c r="E72">
        <f>SmtRes!AV107</f>
        <v>0</v>
      </c>
      <c r="F72" t="str">
        <f>SmtRes!I107</f>
        <v>21.1-12-61</v>
      </c>
      <c r="G72" t="str">
        <f>SmtRes!K107</f>
        <v>Камень природный окатанный (галька речная), размер 50-350 мм</v>
      </c>
      <c r="H72" t="str">
        <f>SmtRes!O107</f>
        <v>т</v>
      </c>
      <c r="I72">
        <f>SmtRes!Y107*Source!I225</f>
        <v>0.73</v>
      </c>
      <c r="J72">
        <f>SmtRes!AO107</f>
        <v>1</v>
      </c>
      <c r="K72">
        <f>SmtRes!AE107</f>
        <v>9548.1200000000008</v>
      </c>
      <c r="L72">
        <f>SmtRes!DB107</f>
        <v>13940.26</v>
      </c>
      <c r="M72">
        <f>ROUND(ROUND(L72*Source!I225, 6)*1, 2)</f>
        <v>6970.13</v>
      </c>
      <c r="N72">
        <f>SmtRes!AA107</f>
        <v>9548.1200000000008</v>
      </c>
      <c r="O72">
        <f>ROUND(ROUND(L72*Source!I225, 6)*SmtRes!DA107, 2)</f>
        <v>6970.13</v>
      </c>
      <c r="P72">
        <f>SmtRes!AG107</f>
        <v>0</v>
      </c>
      <c r="Q72">
        <f>SmtRes!DC107</f>
        <v>0</v>
      </c>
      <c r="R72">
        <f>ROUND(ROUND(Q72*Source!I225, 6)*1, 2)</f>
        <v>0</v>
      </c>
      <c r="S72">
        <f>SmtRes!AC107</f>
        <v>0</v>
      </c>
      <c r="T72">
        <f>ROUND(ROUND(Q72*Source!I225, 6)*SmtRes!AK107, 2)</f>
        <v>0</v>
      </c>
      <c r="U72">
        <f>SmtRes!X107</f>
        <v>-750171961</v>
      </c>
      <c r="V72">
        <v>-1688624076</v>
      </c>
      <c r="W72">
        <v>-1688624076</v>
      </c>
    </row>
    <row r="73" spans="1:23">
      <c r="A73">
        <f>Source!A225</f>
        <v>17</v>
      </c>
      <c r="C73">
        <v>3</v>
      </c>
      <c r="D73">
        <v>0</v>
      </c>
      <c r="E73">
        <f>SmtRes!AV106</f>
        <v>0</v>
      </c>
      <c r="F73" t="str">
        <f>SmtRes!I106</f>
        <v>21.1-12-29</v>
      </c>
      <c r="G73" t="str">
        <f>SmtRes!K106</f>
        <v>Щебень из естественного камня для строительных работ, марка 600-400, фракция 5-10 мм</v>
      </c>
      <c r="H73" t="str">
        <f>SmtRes!O106</f>
        <v>м3</v>
      </c>
      <c r="I73">
        <f>SmtRes!Y106*Source!I225</f>
        <v>1.7</v>
      </c>
      <c r="J73">
        <f>SmtRes!AO106</f>
        <v>1</v>
      </c>
      <c r="K73">
        <f>SmtRes!AE106</f>
        <v>1436.5</v>
      </c>
      <c r="L73">
        <f>SmtRes!DB106</f>
        <v>4884.1000000000004</v>
      </c>
      <c r="M73">
        <f>ROUND(ROUND(L73*Source!I225, 6)*1, 2)</f>
        <v>2442.0500000000002</v>
      </c>
      <c r="N73">
        <f>SmtRes!AA106</f>
        <v>1436.5</v>
      </c>
      <c r="O73">
        <f>ROUND(ROUND(L73*Source!I225, 6)*SmtRes!DA106, 2)</f>
        <v>2442.0500000000002</v>
      </c>
      <c r="P73">
        <f>SmtRes!AG106</f>
        <v>0</v>
      </c>
      <c r="Q73">
        <f>SmtRes!DC106</f>
        <v>0</v>
      </c>
      <c r="R73">
        <f>ROUND(ROUND(Q73*Source!I225, 6)*1, 2)</f>
        <v>0</v>
      </c>
      <c r="S73">
        <f>SmtRes!AC106</f>
        <v>0</v>
      </c>
      <c r="T73">
        <f>ROUND(ROUND(Q73*Source!I225, 6)*SmtRes!AK106, 2)</f>
        <v>0</v>
      </c>
      <c r="U73">
        <f>SmtRes!X106</f>
        <v>-1412128106</v>
      </c>
      <c r="V73">
        <v>-1342251475</v>
      </c>
      <c r="W73">
        <v>-1342251475</v>
      </c>
    </row>
    <row r="74" spans="1:23">
      <c r="A74">
        <f>Source!A225</f>
        <v>17</v>
      </c>
      <c r="C74">
        <v>3</v>
      </c>
      <c r="D74">
        <v>0</v>
      </c>
      <c r="E74">
        <f>SmtRes!AV105</f>
        <v>0</v>
      </c>
      <c r="F74" t="str">
        <f>SmtRes!I105</f>
        <v>21.1-12-11</v>
      </c>
      <c r="G74" t="str">
        <f>SmtRes!K105</f>
        <v>Песок для строительных работ, рядовой</v>
      </c>
      <c r="H74" t="str">
        <f>SmtRes!O105</f>
        <v>м3</v>
      </c>
      <c r="I74">
        <f>SmtRes!Y105*Source!I225</f>
        <v>1.7</v>
      </c>
      <c r="J74">
        <f>SmtRes!AO105</f>
        <v>1</v>
      </c>
      <c r="K74">
        <f>SmtRes!AE105</f>
        <v>590.78</v>
      </c>
      <c r="L74">
        <f>SmtRes!DB105</f>
        <v>2008.65</v>
      </c>
      <c r="M74">
        <f>ROUND(ROUND(L74*Source!I225, 6)*1, 2)</f>
        <v>1004.33</v>
      </c>
      <c r="N74">
        <f>SmtRes!AA105</f>
        <v>590.78</v>
      </c>
      <c r="O74">
        <f>ROUND(ROUND(L74*Source!I225, 6)*SmtRes!DA105, 2)</f>
        <v>1004.33</v>
      </c>
      <c r="P74">
        <f>SmtRes!AG105</f>
        <v>0</v>
      </c>
      <c r="Q74">
        <f>SmtRes!DC105</f>
        <v>0</v>
      </c>
      <c r="R74">
        <f>ROUND(ROUND(Q74*Source!I225, 6)*1, 2)</f>
        <v>0</v>
      </c>
      <c r="S74">
        <f>SmtRes!AC105</f>
        <v>0</v>
      </c>
      <c r="T74">
        <f>ROUND(ROUND(Q74*Source!I225, 6)*SmtRes!AK105, 2)</f>
        <v>0</v>
      </c>
      <c r="U74">
        <f>SmtRes!X105</f>
        <v>909340900</v>
      </c>
      <c r="V74">
        <v>339149647</v>
      </c>
      <c r="W74">
        <v>339149647</v>
      </c>
    </row>
    <row r="75" spans="1:23">
      <c r="A75">
        <f>Source!A225</f>
        <v>17</v>
      </c>
      <c r="C75">
        <v>3</v>
      </c>
      <c r="D75">
        <v>0</v>
      </c>
      <c r="E75">
        <f>SmtRes!AV104</f>
        <v>0</v>
      </c>
      <c r="F75" t="str">
        <f>SmtRes!I104</f>
        <v>21.1-10-167</v>
      </c>
      <c r="G75" t="str">
        <f>SmtRes!K104</f>
        <v>Сталь листовая, оцинкованная, толщина 0,7-0,8 мм</v>
      </c>
      <c r="H75" t="str">
        <f>SmtRes!O104</f>
        <v>т</v>
      </c>
      <c r="I75">
        <f>SmtRes!Y104*Source!I225</f>
        <v>5.5E-2</v>
      </c>
      <c r="J75">
        <f>SmtRes!AO104</f>
        <v>1</v>
      </c>
      <c r="K75">
        <f>SmtRes!AE104</f>
        <v>53313.54</v>
      </c>
      <c r="L75">
        <f>SmtRes!DB104</f>
        <v>5864.49</v>
      </c>
      <c r="M75">
        <f>ROUND(ROUND(L75*Source!I225, 6)*1, 2)</f>
        <v>2932.25</v>
      </c>
      <c r="N75">
        <f>SmtRes!AA104</f>
        <v>53313.54</v>
      </c>
      <c r="O75">
        <f>ROUND(ROUND(L75*Source!I225, 6)*SmtRes!DA104, 2)</f>
        <v>2932.25</v>
      </c>
      <c r="P75">
        <f>SmtRes!AG104</f>
        <v>0</v>
      </c>
      <c r="Q75">
        <f>SmtRes!DC104</f>
        <v>0</v>
      </c>
      <c r="R75">
        <f>ROUND(ROUND(Q75*Source!I225, 6)*1, 2)</f>
        <v>0</v>
      </c>
      <c r="S75">
        <f>SmtRes!AC104</f>
        <v>0</v>
      </c>
      <c r="T75">
        <f>ROUND(ROUND(Q75*Source!I225, 6)*SmtRes!AK104, 2)</f>
        <v>0</v>
      </c>
      <c r="U75">
        <f>SmtRes!X104</f>
        <v>1130308456</v>
      </c>
      <c r="V75">
        <v>-1954327797</v>
      </c>
      <c r="W75">
        <v>-1954327797</v>
      </c>
    </row>
    <row r="76" spans="1:23">
      <c r="A76">
        <f>Source!A259</f>
        <v>4</v>
      </c>
      <c r="B76">
        <v>259</v>
      </c>
      <c r="G76" t="str">
        <f>Source!G259</f>
        <v>Ремонт газона (посевной) - 550м2 ( вокруг цветника с кустами и деревьями)</v>
      </c>
    </row>
    <row r="77" spans="1:23">
      <c r="A77">
        <f>Source!A263</f>
        <v>17</v>
      </c>
      <c r="C77">
        <v>3</v>
      </c>
      <c r="D77">
        <v>0</v>
      </c>
      <c r="E77">
        <f>SmtRes!AV115</f>
        <v>0</v>
      </c>
      <c r="F77" t="str">
        <f>SmtRes!I115</f>
        <v>21.4-6-5</v>
      </c>
      <c r="G77" t="str">
        <f>SmtRes!K115</f>
        <v>Земля растительная</v>
      </c>
      <c r="H77" t="str">
        <f>SmtRes!O115</f>
        <v>м3</v>
      </c>
      <c r="I77">
        <f>SmtRes!Y115*Source!I263</f>
        <v>61.875</v>
      </c>
      <c r="J77">
        <f>SmtRes!AO115</f>
        <v>1</v>
      </c>
      <c r="K77">
        <f>SmtRes!AE115</f>
        <v>753.67</v>
      </c>
      <c r="L77">
        <f>SmtRes!DB115</f>
        <v>11305.05</v>
      </c>
      <c r="M77">
        <f>ROUND(ROUND(L77*Source!I263, 6)*1, 2)</f>
        <v>46633.33</v>
      </c>
      <c r="N77">
        <f>SmtRes!AA115</f>
        <v>753.67</v>
      </c>
      <c r="O77">
        <f>ROUND(ROUND(L77*Source!I263, 6)*SmtRes!DA115, 2)</f>
        <v>46633.33</v>
      </c>
      <c r="P77">
        <f>SmtRes!AG115</f>
        <v>0</v>
      </c>
      <c r="Q77">
        <f>SmtRes!DC115</f>
        <v>0</v>
      </c>
      <c r="R77">
        <f>ROUND(ROUND(Q77*Source!I263, 6)*1, 2)</f>
        <v>0</v>
      </c>
      <c r="S77">
        <f>SmtRes!AC115</f>
        <v>0</v>
      </c>
      <c r="T77">
        <f>ROUND(ROUND(Q77*Source!I263, 6)*SmtRes!AK115, 2)</f>
        <v>0</v>
      </c>
      <c r="U77">
        <f>SmtRes!X115</f>
        <v>-1172857595</v>
      </c>
      <c r="V77">
        <v>-353567041</v>
      </c>
      <c r="W77">
        <v>-353567041</v>
      </c>
    </row>
    <row r="78" spans="1:23">
      <c r="A78">
        <f>Source!A264</f>
        <v>17</v>
      </c>
      <c r="C78">
        <v>3</v>
      </c>
      <c r="D78">
        <v>0</v>
      </c>
      <c r="E78">
        <f>SmtRes!AV117</f>
        <v>0</v>
      </c>
      <c r="F78" t="str">
        <f>SmtRes!I117</f>
        <v>21.4-6-5</v>
      </c>
      <c r="G78" t="str">
        <f>SmtRes!K117</f>
        <v>Земля растительная</v>
      </c>
      <c r="H78" t="str">
        <f>SmtRes!O117</f>
        <v>м3</v>
      </c>
      <c r="I78">
        <f>SmtRes!Y117*Source!I264</f>
        <v>20.625</v>
      </c>
      <c r="J78">
        <f>SmtRes!AO117</f>
        <v>1</v>
      </c>
      <c r="K78">
        <f>SmtRes!AE117</f>
        <v>753.67</v>
      </c>
      <c r="L78">
        <f>SmtRes!DB117</f>
        <v>11305.05</v>
      </c>
      <c r="M78">
        <f>ROUND(ROUND(L78*Source!I264, 6)*1, 2)</f>
        <v>15544.44</v>
      </c>
      <c r="N78">
        <f>SmtRes!AA117</f>
        <v>753.67</v>
      </c>
      <c r="O78">
        <f>ROUND(ROUND(L78*Source!I264, 6)*SmtRes!DA117, 2)</f>
        <v>15544.44</v>
      </c>
      <c r="P78">
        <f>SmtRes!AG117</f>
        <v>0</v>
      </c>
      <c r="Q78">
        <f>SmtRes!DC117</f>
        <v>0</v>
      </c>
      <c r="R78">
        <f>ROUND(ROUND(Q78*Source!I264, 6)*1, 2)</f>
        <v>0</v>
      </c>
      <c r="S78">
        <f>SmtRes!AC117</f>
        <v>0</v>
      </c>
      <c r="T78">
        <f>ROUND(ROUND(Q78*Source!I264, 6)*SmtRes!AK117, 2)</f>
        <v>0</v>
      </c>
      <c r="U78">
        <f>SmtRes!X117</f>
        <v>-1172857595</v>
      </c>
      <c r="V78">
        <v>-353567041</v>
      </c>
      <c r="W78">
        <v>-353567041</v>
      </c>
    </row>
    <row r="79" spans="1:23">
      <c r="A79">
        <f>Source!A265</f>
        <v>17</v>
      </c>
      <c r="C79">
        <v>3</v>
      </c>
      <c r="D79">
        <v>0</v>
      </c>
      <c r="E79">
        <f>SmtRes!AV119</f>
        <v>0</v>
      </c>
      <c r="F79" t="str">
        <f>SmtRes!I119</f>
        <v>21.4-6-5</v>
      </c>
      <c r="G79" t="str">
        <f>SmtRes!K119</f>
        <v>Земля растительная</v>
      </c>
      <c r="H79" t="str">
        <f>SmtRes!O119</f>
        <v>м3</v>
      </c>
      <c r="I79">
        <f>SmtRes!Y119*Source!I265</f>
        <v>-27.5</v>
      </c>
      <c r="J79">
        <f>SmtRes!AO119</f>
        <v>1</v>
      </c>
      <c r="K79">
        <f>SmtRes!AE119</f>
        <v>753.67</v>
      </c>
      <c r="L79">
        <f>SmtRes!DB119</f>
        <v>3768.35</v>
      </c>
      <c r="M79">
        <f>ROUND(ROUND(L79*Source!I265, 6)*1, 2)</f>
        <v>-20725.93</v>
      </c>
      <c r="N79">
        <f>SmtRes!AA119</f>
        <v>753.67</v>
      </c>
      <c r="O79">
        <f>ROUND(ROUND(L79*Source!I265, 6)*SmtRes!DA119, 2)</f>
        <v>-20725.93</v>
      </c>
      <c r="P79">
        <f>SmtRes!AG119</f>
        <v>0</v>
      </c>
      <c r="Q79">
        <f>SmtRes!DC119</f>
        <v>0</v>
      </c>
      <c r="R79">
        <f>ROUND(ROUND(Q79*Source!I265, 6)*1, 2)</f>
        <v>0</v>
      </c>
      <c r="S79">
        <f>SmtRes!AC119</f>
        <v>0</v>
      </c>
      <c r="T79">
        <f>ROUND(ROUND(Q79*Source!I265, 6)*SmtRes!AK119, 2)</f>
        <v>0</v>
      </c>
      <c r="U79">
        <f>SmtRes!X119</f>
        <v>-1172857595</v>
      </c>
      <c r="V79">
        <v>-353567041</v>
      </c>
      <c r="W79">
        <v>-353567041</v>
      </c>
    </row>
    <row r="80" spans="1:23">
      <c r="A80">
        <f>Source!A266</f>
        <v>17</v>
      </c>
      <c r="C80">
        <v>3</v>
      </c>
      <c r="D80">
        <v>0</v>
      </c>
      <c r="E80">
        <f>SmtRes!AV122</f>
        <v>0</v>
      </c>
      <c r="F80" t="str">
        <f>SmtRes!I122</f>
        <v>21.4-6-11</v>
      </c>
      <c r="G80" t="str">
        <f>SmtRes!K122</f>
        <v>Семена (смесь универсальная) газонных трав</v>
      </c>
      <c r="H80" t="str">
        <f>SmtRes!O122</f>
        <v>кг</v>
      </c>
      <c r="I80">
        <f>SmtRes!Y122*Source!I266</f>
        <v>22</v>
      </c>
      <c r="J80">
        <f>SmtRes!AO122</f>
        <v>1</v>
      </c>
      <c r="K80">
        <f>SmtRes!AE122</f>
        <v>303.08999999999997</v>
      </c>
      <c r="L80">
        <f>SmtRes!DB122</f>
        <v>1212.3599999999999</v>
      </c>
      <c r="M80">
        <f>ROUND(ROUND(L80*Source!I266, 6)*1, 2)</f>
        <v>6667.98</v>
      </c>
      <c r="N80">
        <f>SmtRes!AA122</f>
        <v>303.08999999999997</v>
      </c>
      <c r="O80">
        <f>ROUND(ROUND(L80*Source!I266, 6)*SmtRes!DA122, 2)</f>
        <v>6667.98</v>
      </c>
      <c r="P80">
        <f>SmtRes!AG122</f>
        <v>0</v>
      </c>
      <c r="Q80">
        <f>SmtRes!DC122</f>
        <v>0</v>
      </c>
      <c r="R80">
        <f>ROUND(ROUND(Q80*Source!I266, 6)*1, 2)</f>
        <v>0</v>
      </c>
      <c r="S80">
        <f>SmtRes!AC122</f>
        <v>0</v>
      </c>
      <c r="T80">
        <f>ROUND(ROUND(Q80*Source!I266, 6)*SmtRes!AK122, 2)</f>
        <v>0</v>
      </c>
      <c r="U80">
        <f>SmtRes!X122</f>
        <v>-835995803</v>
      </c>
      <c r="V80">
        <v>-431507376</v>
      </c>
      <c r="W80">
        <v>-431507376</v>
      </c>
    </row>
    <row r="81" spans="1:23">
      <c r="A81">
        <f>Source!A266</f>
        <v>17</v>
      </c>
      <c r="C81">
        <v>3</v>
      </c>
      <c r="D81">
        <v>0</v>
      </c>
      <c r="E81">
        <f>SmtRes!AV121</f>
        <v>0</v>
      </c>
      <c r="F81" t="str">
        <f>SmtRes!I121</f>
        <v>21.1-25-13</v>
      </c>
      <c r="G81" t="str">
        <f>SmtRes!K121</f>
        <v>Вода</v>
      </c>
      <c r="H81" t="str">
        <f>SmtRes!O121</f>
        <v>м3</v>
      </c>
      <c r="I81">
        <f>SmtRes!Y121*Source!I266</f>
        <v>55</v>
      </c>
      <c r="J81">
        <f>SmtRes!AO121</f>
        <v>1</v>
      </c>
      <c r="K81">
        <f>SmtRes!AE121</f>
        <v>35.25</v>
      </c>
      <c r="L81">
        <f>SmtRes!DB121</f>
        <v>352.5</v>
      </c>
      <c r="M81">
        <f>ROUND(ROUND(L81*Source!I266, 6)*1, 2)</f>
        <v>1938.75</v>
      </c>
      <c r="N81">
        <f>SmtRes!AA121</f>
        <v>35.25</v>
      </c>
      <c r="O81">
        <f>ROUND(ROUND(L81*Source!I266, 6)*SmtRes!DA121, 2)</f>
        <v>1938.75</v>
      </c>
      <c r="P81">
        <f>SmtRes!AG121</f>
        <v>0</v>
      </c>
      <c r="Q81">
        <f>SmtRes!DC121</f>
        <v>0</v>
      </c>
      <c r="R81">
        <f>ROUND(ROUND(Q81*Source!I266, 6)*1, 2)</f>
        <v>0</v>
      </c>
      <c r="S81">
        <f>SmtRes!AC121</f>
        <v>0</v>
      </c>
      <c r="T81">
        <f>ROUND(ROUND(Q81*Source!I266, 6)*SmtRes!AK121, 2)</f>
        <v>0</v>
      </c>
      <c r="U81">
        <f>SmtRes!X121</f>
        <v>1927597627</v>
      </c>
      <c r="V81">
        <v>-1829664509</v>
      </c>
      <c r="W81">
        <v>-1829664509</v>
      </c>
    </row>
    <row r="82" spans="1:23">
      <c r="A82">
        <f>Source!A300</f>
        <v>4</v>
      </c>
      <c r="B82">
        <v>300</v>
      </c>
      <c r="G82" t="str">
        <f>Source!G300</f>
        <v>Стелла " Чертаново Центральное"</v>
      </c>
    </row>
    <row r="83" spans="1:23">
      <c r="A83">
        <f>Source!A308</f>
        <v>17</v>
      </c>
      <c r="C83">
        <v>3</v>
      </c>
      <c r="D83">
        <v>0</v>
      </c>
      <c r="E83">
        <f>SmtRes!AV136</f>
        <v>0</v>
      </c>
      <c r="F83" t="str">
        <f>SmtRes!I136</f>
        <v>21.1-25-13</v>
      </c>
      <c r="G83" t="str">
        <f>SmtRes!K136</f>
        <v>Вода</v>
      </c>
      <c r="H83" t="str">
        <f>SmtRes!O136</f>
        <v>м3</v>
      </c>
      <c r="I83">
        <f>SmtRes!Y136*Source!I308</f>
        <v>1.2999999999999999E-2</v>
      </c>
      <c r="J83">
        <f>SmtRes!AO136</f>
        <v>1</v>
      </c>
      <c r="K83">
        <f>SmtRes!AE136</f>
        <v>35.25</v>
      </c>
      <c r="L83">
        <f>SmtRes!DB136</f>
        <v>176.25</v>
      </c>
      <c r="M83">
        <f>ROUND(ROUND(L83*Source!I308, 6)*1, 2)</f>
        <v>0.46</v>
      </c>
      <c r="N83">
        <f>SmtRes!AA136</f>
        <v>35.25</v>
      </c>
      <c r="O83">
        <f>ROUND(ROUND(L83*Source!I308, 6)*SmtRes!DA136, 2)</f>
        <v>0.46</v>
      </c>
      <c r="P83">
        <f>SmtRes!AG136</f>
        <v>0</v>
      </c>
      <c r="Q83">
        <f>SmtRes!DC136</f>
        <v>0</v>
      </c>
      <c r="R83">
        <f>ROUND(ROUND(Q83*Source!I308, 6)*1, 2)</f>
        <v>0</v>
      </c>
      <c r="S83">
        <f>SmtRes!AC136</f>
        <v>0</v>
      </c>
      <c r="T83">
        <f>ROUND(ROUND(Q83*Source!I308, 6)*SmtRes!AK136, 2)</f>
        <v>0</v>
      </c>
      <c r="U83">
        <f>SmtRes!X136</f>
        <v>2028445372</v>
      </c>
      <c r="V83">
        <v>1411454429</v>
      </c>
      <c r="W83">
        <v>1411454429</v>
      </c>
    </row>
    <row r="84" spans="1:23">
      <c r="A84">
        <f>Source!A308</f>
        <v>17</v>
      </c>
      <c r="C84">
        <v>3</v>
      </c>
      <c r="D84">
        <v>0</v>
      </c>
      <c r="E84">
        <f>SmtRes!AV135</f>
        <v>0</v>
      </c>
      <c r="F84" t="str">
        <f>SmtRes!I135</f>
        <v>21.1-12-10</v>
      </c>
      <c r="G84" t="str">
        <f>SmtRes!K135</f>
        <v>Песок для дорожных работ, рядовой</v>
      </c>
      <c r="H84" t="str">
        <f>SmtRes!O135</f>
        <v>м3</v>
      </c>
      <c r="I84">
        <f>SmtRes!Y135*Source!I308</f>
        <v>0.28599999999999998</v>
      </c>
      <c r="J84">
        <f>SmtRes!AO135</f>
        <v>1</v>
      </c>
      <c r="K84">
        <f>SmtRes!AE135</f>
        <v>590.78</v>
      </c>
      <c r="L84">
        <f>SmtRes!DB135</f>
        <v>64985.8</v>
      </c>
      <c r="M84">
        <f>ROUND(ROUND(L84*Source!I308, 6)*1, 2)</f>
        <v>168.96</v>
      </c>
      <c r="N84">
        <f>SmtRes!AA135</f>
        <v>590.78</v>
      </c>
      <c r="O84">
        <f>ROUND(ROUND(L84*Source!I308, 6)*SmtRes!DA135, 2)</f>
        <v>168.96</v>
      </c>
      <c r="P84">
        <f>SmtRes!AG135</f>
        <v>0</v>
      </c>
      <c r="Q84">
        <f>SmtRes!DC135</f>
        <v>0</v>
      </c>
      <c r="R84">
        <f>ROUND(ROUND(Q84*Source!I308, 6)*1, 2)</f>
        <v>0</v>
      </c>
      <c r="S84">
        <f>SmtRes!AC135</f>
        <v>0</v>
      </c>
      <c r="T84">
        <f>ROUND(ROUND(Q84*Source!I308, 6)*SmtRes!AK135, 2)</f>
        <v>0</v>
      </c>
      <c r="U84">
        <f>SmtRes!X135</f>
        <v>-840107338</v>
      </c>
      <c r="V84">
        <v>1585412624</v>
      </c>
      <c r="W84">
        <v>1585412624</v>
      </c>
    </row>
    <row r="85" spans="1:23">
      <c r="A85">
        <f>Source!A309</f>
        <v>17</v>
      </c>
      <c r="C85">
        <v>3</v>
      </c>
      <c r="D85">
        <v>0</v>
      </c>
      <c r="E85">
        <f>SmtRes!AV145</f>
        <v>0</v>
      </c>
      <c r="F85" t="str">
        <f>SmtRes!I145</f>
        <v>21.1-25-13</v>
      </c>
      <c r="G85" t="str">
        <f>SmtRes!K145</f>
        <v>Вода</v>
      </c>
      <c r="H85" t="str">
        <f>SmtRes!O145</f>
        <v>м3</v>
      </c>
      <c r="I85">
        <f>SmtRes!Y145*Source!I309</f>
        <v>2.7299999999999998E-2</v>
      </c>
      <c r="J85">
        <f>SmtRes!AO145</f>
        <v>1</v>
      </c>
      <c r="K85">
        <f>SmtRes!AE145</f>
        <v>35.25</v>
      </c>
      <c r="L85">
        <f>SmtRes!DB145</f>
        <v>246.75</v>
      </c>
      <c r="M85">
        <f>ROUND(ROUND(L85*Source!I309, 6)*1, 2)</f>
        <v>0.96</v>
      </c>
      <c r="N85">
        <f>SmtRes!AA145</f>
        <v>35.25</v>
      </c>
      <c r="O85">
        <f>ROUND(ROUND(L85*Source!I309, 6)*SmtRes!DA145, 2)</f>
        <v>0.96</v>
      </c>
      <c r="P85">
        <f>SmtRes!AG145</f>
        <v>0</v>
      </c>
      <c r="Q85">
        <f>SmtRes!DC145</f>
        <v>0</v>
      </c>
      <c r="R85">
        <f>ROUND(ROUND(Q85*Source!I309, 6)*1, 2)</f>
        <v>0</v>
      </c>
      <c r="S85">
        <f>SmtRes!AC145</f>
        <v>0</v>
      </c>
      <c r="T85">
        <f>ROUND(ROUND(Q85*Source!I309, 6)*SmtRes!AK145, 2)</f>
        <v>0</v>
      </c>
      <c r="U85">
        <f>SmtRes!X145</f>
        <v>2028445372</v>
      </c>
      <c r="V85">
        <v>1411454429</v>
      </c>
      <c r="W85">
        <v>1411454429</v>
      </c>
    </row>
    <row r="86" spans="1:23">
      <c r="A86">
        <f>Source!A309</f>
        <v>17</v>
      </c>
      <c r="C86">
        <v>3</v>
      </c>
      <c r="D86">
        <v>0</v>
      </c>
      <c r="E86">
        <f>SmtRes!AV144</f>
        <v>0</v>
      </c>
      <c r="F86" t="str">
        <f>SmtRes!I144</f>
        <v>21.1-12-36</v>
      </c>
      <c r="G86" t="str">
        <f>SmtRes!K144</f>
        <v>Щебень из естественного камня для строительных работ, марка 1200-800, фракция 20-40 мм</v>
      </c>
      <c r="H86" t="str">
        <f>SmtRes!O144</f>
        <v>м3</v>
      </c>
      <c r="I86">
        <f>SmtRes!Y144*Source!I309</f>
        <v>0.4914</v>
      </c>
      <c r="J86">
        <f>SmtRes!AO144</f>
        <v>1</v>
      </c>
      <c r="K86">
        <f>SmtRes!AE144</f>
        <v>1763.75</v>
      </c>
      <c r="L86">
        <f>SmtRes!DB144</f>
        <v>222232.5</v>
      </c>
      <c r="M86">
        <f>ROUND(ROUND(L86*Source!I309, 6)*1, 2)</f>
        <v>866.71</v>
      </c>
      <c r="N86">
        <f>SmtRes!AA144</f>
        <v>1763.75</v>
      </c>
      <c r="O86">
        <f>ROUND(ROUND(L86*Source!I309, 6)*SmtRes!DA144, 2)</f>
        <v>866.71</v>
      </c>
      <c r="P86">
        <f>SmtRes!AG144</f>
        <v>0</v>
      </c>
      <c r="Q86">
        <f>SmtRes!DC144</f>
        <v>0</v>
      </c>
      <c r="R86">
        <f>ROUND(ROUND(Q86*Source!I309, 6)*1, 2)</f>
        <v>0</v>
      </c>
      <c r="S86">
        <f>SmtRes!AC144</f>
        <v>0</v>
      </c>
      <c r="T86">
        <f>ROUND(ROUND(Q86*Source!I309, 6)*SmtRes!AK144, 2)</f>
        <v>0</v>
      </c>
      <c r="U86">
        <f>SmtRes!X144</f>
        <v>811973350</v>
      </c>
      <c r="V86">
        <v>-100050385</v>
      </c>
      <c r="W86">
        <v>-100050385</v>
      </c>
    </row>
    <row r="87" spans="1:23">
      <c r="A87">
        <f>Source!A310</f>
        <v>17</v>
      </c>
      <c r="C87">
        <v>3</v>
      </c>
      <c r="D87">
        <v>0</v>
      </c>
      <c r="E87">
        <f>SmtRes!AV156</f>
        <v>0</v>
      </c>
      <c r="F87" t="str">
        <f>SmtRes!I156</f>
        <v>21.9-11-3</v>
      </c>
      <c r="G87" t="str">
        <f>SmtRes!K156</f>
        <v>Щиты деревянные для фундаментов, колонн, балок, перекрытий, стен, перегородок и других конструкций из досок, толщина 40мм</v>
      </c>
      <c r="H87" t="str">
        <f>SmtRes!O156</f>
        <v>м2</v>
      </c>
      <c r="I87">
        <f>SmtRes!Y156*Source!I310</f>
        <v>1.404E-2</v>
      </c>
      <c r="J87">
        <f>SmtRes!AO156</f>
        <v>1</v>
      </c>
      <c r="K87">
        <f>SmtRes!AE156</f>
        <v>473.82</v>
      </c>
      <c r="L87">
        <f>SmtRes!DB156</f>
        <v>1705.75</v>
      </c>
      <c r="M87">
        <f>ROUND(ROUND(L87*Source!I310, 6)*1, 2)</f>
        <v>6.65</v>
      </c>
      <c r="N87">
        <f>SmtRes!AA156</f>
        <v>473.82</v>
      </c>
      <c r="O87">
        <f>ROUND(ROUND(L87*Source!I310, 6)*SmtRes!DA156, 2)</f>
        <v>6.65</v>
      </c>
      <c r="P87">
        <f>SmtRes!AG156</f>
        <v>0</v>
      </c>
      <c r="Q87">
        <f>SmtRes!DC156</f>
        <v>0</v>
      </c>
      <c r="R87">
        <f>ROUND(ROUND(Q87*Source!I310, 6)*1, 2)</f>
        <v>0</v>
      </c>
      <c r="S87">
        <f>SmtRes!AC156</f>
        <v>0</v>
      </c>
      <c r="T87">
        <f>ROUND(ROUND(Q87*Source!I310, 6)*SmtRes!AK156, 2)</f>
        <v>0</v>
      </c>
      <c r="U87">
        <f>SmtRes!X156</f>
        <v>1680411856</v>
      </c>
      <c r="V87">
        <v>-334664347</v>
      </c>
      <c r="W87">
        <v>-334664347</v>
      </c>
    </row>
    <row r="88" spans="1:23">
      <c r="A88">
        <f>Source!A310</f>
        <v>17</v>
      </c>
      <c r="C88">
        <v>3</v>
      </c>
      <c r="D88">
        <v>0</v>
      </c>
      <c r="E88">
        <f>SmtRes!AV155</f>
        <v>0</v>
      </c>
      <c r="F88" t="str">
        <f>SmtRes!I155</f>
        <v>21.3-1-64</v>
      </c>
      <c r="G88" t="str">
        <f>SmtRes!K155</f>
        <v>Смеси бетонные, БСГ, тяжелого бетона на гранитном щебне, класс прочности: В7,5 (М100); П3, фракция 5-20</v>
      </c>
      <c r="H88" t="str">
        <f>SmtRes!O155</f>
        <v>м3</v>
      </c>
      <c r="I88">
        <f>SmtRes!Y155*Source!I310</f>
        <v>0.39779999999999999</v>
      </c>
      <c r="J88">
        <f>SmtRes!AO155</f>
        <v>1</v>
      </c>
      <c r="K88">
        <f>SmtRes!AE155</f>
        <v>3247.23</v>
      </c>
      <c r="L88">
        <f>SmtRes!DB155</f>
        <v>331217.46000000002</v>
      </c>
      <c r="M88">
        <f>ROUND(ROUND(L88*Source!I310, 6)*1, 2)</f>
        <v>1291.75</v>
      </c>
      <c r="N88">
        <f>SmtRes!AA155</f>
        <v>3247.23</v>
      </c>
      <c r="O88">
        <f>ROUND(ROUND(L88*Source!I310, 6)*SmtRes!DA155, 2)</f>
        <v>1291.75</v>
      </c>
      <c r="P88">
        <f>SmtRes!AG155</f>
        <v>0</v>
      </c>
      <c r="Q88">
        <f>SmtRes!DC155</f>
        <v>0</v>
      </c>
      <c r="R88">
        <f>ROUND(ROUND(Q88*Source!I310, 6)*1, 2)</f>
        <v>0</v>
      </c>
      <c r="S88">
        <f>SmtRes!AC155</f>
        <v>0</v>
      </c>
      <c r="T88">
        <f>ROUND(ROUND(Q88*Source!I310, 6)*SmtRes!AK155, 2)</f>
        <v>0</v>
      </c>
      <c r="U88">
        <f>SmtRes!X155</f>
        <v>1860113861</v>
      </c>
      <c r="V88">
        <v>1007544638</v>
      </c>
      <c r="W88">
        <v>1007544638</v>
      </c>
    </row>
    <row r="89" spans="1:23">
      <c r="A89">
        <f>Source!A310</f>
        <v>17</v>
      </c>
      <c r="C89">
        <v>3</v>
      </c>
      <c r="D89">
        <v>0</v>
      </c>
      <c r="E89">
        <f>SmtRes!AV154</f>
        <v>0</v>
      </c>
      <c r="F89" t="str">
        <f>SmtRes!I154</f>
        <v>21.1-9-57</v>
      </c>
      <c r="G89" t="str">
        <f>SmtRes!K154</f>
        <v>Доски хвойных пород, обрезные, длина 2-6,5 м, сорт III, толщина 40-60 мм</v>
      </c>
      <c r="H89" t="str">
        <f>SmtRes!O154</f>
        <v>м3</v>
      </c>
      <c r="I89">
        <f>SmtRes!Y154*Source!I310</f>
        <v>1.56E-4</v>
      </c>
      <c r="J89">
        <f>SmtRes!AO154</f>
        <v>1</v>
      </c>
      <c r="K89">
        <f>SmtRes!AE154</f>
        <v>7098.7</v>
      </c>
      <c r="L89">
        <f>SmtRes!DB154</f>
        <v>283.95</v>
      </c>
      <c r="M89">
        <f>ROUND(ROUND(L89*Source!I310, 6)*1, 2)</f>
        <v>1.1100000000000001</v>
      </c>
      <c r="N89">
        <f>SmtRes!AA154</f>
        <v>7098.7</v>
      </c>
      <c r="O89">
        <f>ROUND(ROUND(L89*Source!I310, 6)*SmtRes!DA154, 2)</f>
        <v>1.1100000000000001</v>
      </c>
      <c r="P89">
        <f>SmtRes!AG154</f>
        <v>0</v>
      </c>
      <c r="Q89">
        <f>SmtRes!DC154</f>
        <v>0</v>
      </c>
      <c r="R89">
        <f>ROUND(ROUND(Q89*Source!I310, 6)*1, 2)</f>
        <v>0</v>
      </c>
      <c r="S89">
        <f>SmtRes!AC154</f>
        <v>0</v>
      </c>
      <c r="T89">
        <f>ROUND(ROUND(Q89*Source!I310, 6)*SmtRes!AK154, 2)</f>
        <v>0</v>
      </c>
      <c r="U89">
        <f>SmtRes!X154</f>
        <v>538447250</v>
      </c>
      <c r="V89">
        <v>1167723416</v>
      </c>
      <c r="W89">
        <v>1167723416</v>
      </c>
    </row>
    <row r="90" spans="1:23">
      <c r="A90">
        <f>Source!A310</f>
        <v>17</v>
      </c>
      <c r="C90">
        <v>3</v>
      </c>
      <c r="D90">
        <v>0</v>
      </c>
      <c r="E90">
        <f>SmtRes!AV153</f>
        <v>0</v>
      </c>
      <c r="F90" t="str">
        <f>SmtRes!I153</f>
        <v>21.1-25-13</v>
      </c>
      <c r="G90" t="str">
        <f>SmtRes!K153</f>
        <v>Вода</v>
      </c>
      <c r="H90" t="str">
        <f>SmtRes!O153</f>
        <v>м3</v>
      </c>
      <c r="I90">
        <f>SmtRes!Y153*Source!I310</f>
        <v>2.8469999999999997E-3</v>
      </c>
      <c r="J90">
        <f>SmtRes!AO153</f>
        <v>1</v>
      </c>
      <c r="K90">
        <f>SmtRes!AE153</f>
        <v>35.25</v>
      </c>
      <c r="L90">
        <f>SmtRes!DB153</f>
        <v>25.73</v>
      </c>
      <c r="M90">
        <f>ROUND(ROUND(L90*Source!I310, 6)*1, 2)</f>
        <v>0.1</v>
      </c>
      <c r="N90">
        <f>SmtRes!AA153</f>
        <v>35.25</v>
      </c>
      <c r="O90">
        <f>ROUND(ROUND(L90*Source!I310, 6)*SmtRes!DA153, 2)</f>
        <v>0.1</v>
      </c>
      <c r="P90">
        <f>SmtRes!AG153</f>
        <v>0</v>
      </c>
      <c r="Q90">
        <f>SmtRes!DC153</f>
        <v>0</v>
      </c>
      <c r="R90">
        <f>ROUND(ROUND(Q90*Source!I310, 6)*1, 2)</f>
        <v>0</v>
      </c>
      <c r="S90">
        <f>SmtRes!AC153</f>
        <v>0</v>
      </c>
      <c r="T90">
        <f>ROUND(ROUND(Q90*Source!I310, 6)*SmtRes!AK153, 2)</f>
        <v>0</v>
      </c>
      <c r="U90">
        <f>SmtRes!X153</f>
        <v>1927597627</v>
      </c>
      <c r="V90">
        <v>-1829664509</v>
      </c>
      <c r="W90">
        <v>-1829664509</v>
      </c>
    </row>
    <row r="91" spans="1:23">
      <c r="A91">
        <f>Source!A310</f>
        <v>17</v>
      </c>
      <c r="C91">
        <v>3</v>
      </c>
      <c r="D91">
        <v>0</v>
      </c>
      <c r="E91">
        <f>SmtRes!AV152</f>
        <v>0</v>
      </c>
      <c r="F91" t="str">
        <f>SmtRes!I152</f>
        <v>21.1-2-4</v>
      </c>
      <c r="G91" t="str">
        <f>SmtRes!K152</f>
        <v>Известь негашеная комовая</v>
      </c>
      <c r="H91" t="str">
        <f>SmtRes!O152</f>
        <v>т</v>
      </c>
      <c r="I91">
        <f>SmtRes!Y152*Source!I310</f>
        <v>3.8999999999999999E-5</v>
      </c>
      <c r="J91">
        <f>SmtRes!AO152</f>
        <v>1</v>
      </c>
      <c r="K91">
        <f>SmtRes!AE152</f>
        <v>4752.34</v>
      </c>
      <c r="L91">
        <f>SmtRes!DB152</f>
        <v>47.52</v>
      </c>
      <c r="M91">
        <f>ROUND(ROUND(L91*Source!I310, 6)*1, 2)</f>
        <v>0.19</v>
      </c>
      <c r="N91">
        <f>SmtRes!AA152</f>
        <v>4752.34</v>
      </c>
      <c r="O91">
        <f>ROUND(ROUND(L91*Source!I310, 6)*SmtRes!DA152, 2)</f>
        <v>0.19</v>
      </c>
      <c r="P91">
        <f>SmtRes!AG152</f>
        <v>0</v>
      </c>
      <c r="Q91">
        <f>SmtRes!DC152</f>
        <v>0</v>
      </c>
      <c r="R91">
        <f>ROUND(ROUND(Q91*Source!I310, 6)*1, 2)</f>
        <v>0</v>
      </c>
      <c r="S91">
        <f>SmtRes!AC152</f>
        <v>0</v>
      </c>
      <c r="T91">
        <f>ROUND(ROUND(Q91*Source!I310, 6)*SmtRes!AK152, 2)</f>
        <v>0</v>
      </c>
      <c r="U91">
        <f>SmtRes!X152</f>
        <v>-459844717</v>
      </c>
      <c r="V91">
        <v>-928026910</v>
      </c>
      <c r="W91">
        <v>-928026910</v>
      </c>
    </row>
    <row r="92" spans="1:23">
      <c r="A92">
        <f>Source!A310</f>
        <v>17</v>
      </c>
      <c r="C92">
        <v>3</v>
      </c>
      <c r="D92">
        <v>0</v>
      </c>
      <c r="E92">
        <f>SmtRes!AV151</f>
        <v>0</v>
      </c>
      <c r="F92" t="str">
        <f>SmtRes!I151</f>
        <v>21.1-20-17</v>
      </c>
      <c r="G92" t="str">
        <f>SmtRes!K151</f>
        <v>Мешковина</v>
      </c>
      <c r="H92" t="str">
        <f>SmtRes!O151</f>
        <v>м2</v>
      </c>
      <c r="I92">
        <f>SmtRes!Y151*Source!I310</f>
        <v>0.11699999999999999</v>
      </c>
      <c r="J92">
        <f>SmtRes!AO151</f>
        <v>1</v>
      </c>
      <c r="K92">
        <f>SmtRes!AE151</f>
        <v>91.89</v>
      </c>
      <c r="L92">
        <f>SmtRes!DB151</f>
        <v>2756.7</v>
      </c>
      <c r="M92">
        <f>ROUND(ROUND(L92*Source!I310, 6)*1, 2)</f>
        <v>10.75</v>
      </c>
      <c r="N92">
        <f>SmtRes!AA151</f>
        <v>91.89</v>
      </c>
      <c r="O92">
        <f>ROUND(ROUND(L92*Source!I310, 6)*SmtRes!DA151, 2)</f>
        <v>10.75</v>
      </c>
      <c r="P92">
        <f>SmtRes!AG151</f>
        <v>0</v>
      </c>
      <c r="Q92">
        <f>SmtRes!DC151</f>
        <v>0</v>
      </c>
      <c r="R92">
        <f>ROUND(ROUND(Q92*Source!I310, 6)*1, 2)</f>
        <v>0</v>
      </c>
      <c r="S92">
        <f>SmtRes!AC151</f>
        <v>0</v>
      </c>
      <c r="T92">
        <f>ROUND(ROUND(Q92*Source!I310, 6)*SmtRes!AK151, 2)</f>
        <v>0</v>
      </c>
      <c r="U92">
        <f>SmtRes!X151</f>
        <v>-2047649341</v>
      </c>
      <c r="V92">
        <v>-1336012766</v>
      </c>
      <c r="W92">
        <v>-1336012766</v>
      </c>
    </row>
    <row r="93" spans="1:23">
      <c r="A93">
        <f>Source!A310</f>
        <v>17</v>
      </c>
      <c r="C93">
        <v>3</v>
      </c>
      <c r="D93">
        <v>0</v>
      </c>
      <c r="E93">
        <f>SmtRes!AV150</f>
        <v>0</v>
      </c>
      <c r="F93" t="str">
        <f>SmtRes!I150</f>
        <v>21.1-11-46</v>
      </c>
      <c r="G93" t="str">
        <f>SmtRes!K150</f>
        <v>Гвозди строительные</v>
      </c>
      <c r="H93" t="str">
        <f>SmtRes!O150</f>
        <v>т</v>
      </c>
      <c r="I93">
        <f>SmtRes!Y150*Source!I310</f>
        <v>7.7999999999999999E-6</v>
      </c>
      <c r="J93">
        <f>SmtRes!AO150</f>
        <v>1</v>
      </c>
      <c r="K93">
        <f>SmtRes!AE150</f>
        <v>49736.04</v>
      </c>
      <c r="L93">
        <f>SmtRes!DB150</f>
        <v>99.47</v>
      </c>
      <c r="M93">
        <f>ROUND(ROUND(L93*Source!I310, 6)*1, 2)</f>
        <v>0.39</v>
      </c>
      <c r="N93">
        <f>SmtRes!AA150</f>
        <v>49736.04</v>
      </c>
      <c r="O93">
        <f>ROUND(ROUND(L93*Source!I310, 6)*SmtRes!DA150, 2)</f>
        <v>0.39</v>
      </c>
      <c r="P93">
        <f>SmtRes!AG150</f>
        <v>0</v>
      </c>
      <c r="Q93">
        <f>SmtRes!DC150</f>
        <v>0</v>
      </c>
      <c r="R93">
        <f>ROUND(ROUND(Q93*Source!I310, 6)*1, 2)</f>
        <v>0</v>
      </c>
      <c r="S93">
        <f>SmtRes!AC150</f>
        <v>0</v>
      </c>
      <c r="T93">
        <f>ROUND(ROUND(Q93*Source!I310, 6)*SmtRes!AK150, 2)</f>
        <v>0</v>
      </c>
      <c r="U93">
        <f>SmtRes!X150</f>
        <v>1959613851</v>
      </c>
      <c r="V93">
        <v>-547263076</v>
      </c>
      <c r="W93">
        <v>-547263076</v>
      </c>
    </row>
    <row r="94" spans="1:23">
      <c r="A94">
        <f>Source!A311</f>
        <v>17</v>
      </c>
      <c r="C94">
        <v>3</v>
      </c>
      <c r="D94">
        <v>0</v>
      </c>
      <c r="E94">
        <f>SmtRes!AV161</f>
        <v>0</v>
      </c>
      <c r="F94" t="str">
        <f>SmtRes!I161</f>
        <v>21.1-4-9</v>
      </c>
      <c r="G94" t="str">
        <f>SmtRes!K161</f>
        <v>Керосин</v>
      </c>
      <c r="H94" t="str">
        <f>SmtRes!O161</f>
        <v>т</v>
      </c>
      <c r="I94">
        <f>SmtRes!Y161*Source!I311</f>
        <v>1.0560000000000001E-4</v>
      </c>
      <c r="J94">
        <f>SmtRes!AO161</f>
        <v>1</v>
      </c>
      <c r="K94">
        <f>SmtRes!AE161</f>
        <v>77719.73</v>
      </c>
      <c r="L94">
        <f>SmtRes!DB161</f>
        <v>1865.27</v>
      </c>
      <c r="M94">
        <f>ROUND(ROUND(L94*Source!I311, 6)*1, 2)</f>
        <v>8.2100000000000009</v>
      </c>
      <c r="N94">
        <f>SmtRes!AA161</f>
        <v>77719.73</v>
      </c>
      <c r="O94">
        <f>ROUND(ROUND(L94*Source!I311, 6)*SmtRes!DA161, 2)</f>
        <v>8.2100000000000009</v>
      </c>
      <c r="P94">
        <f>SmtRes!AG161</f>
        <v>0</v>
      </c>
      <c r="Q94">
        <f>SmtRes!DC161</f>
        <v>0</v>
      </c>
      <c r="R94">
        <f>ROUND(ROUND(Q94*Source!I311, 6)*1, 2)</f>
        <v>0</v>
      </c>
      <c r="S94">
        <f>SmtRes!AC161</f>
        <v>0</v>
      </c>
      <c r="T94">
        <f>ROUND(ROUND(Q94*Source!I311, 6)*SmtRes!AK161, 2)</f>
        <v>0</v>
      </c>
      <c r="U94">
        <f>SmtRes!X161</f>
        <v>1016728886</v>
      </c>
      <c r="V94">
        <v>19394604</v>
      </c>
      <c r="W94">
        <v>19394604</v>
      </c>
    </row>
    <row r="95" spans="1:23">
      <c r="A95">
        <f>Source!A311</f>
        <v>17</v>
      </c>
      <c r="C95">
        <v>3</v>
      </c>
      <c r="D95">
        <v>0</v>
      </c>
      <c r="E95">
        <f>SmtRes!AV160</f>
        <v>0</v>
      </c>
      <c r="F95" t="str">
        <f>SmtRes!I160</f>
        <v>21.1-20-7</v>
      </c>
      <c r="G95" t="str">
        <f>SmtRes!K160</f>
        <v>Ветошь</v>
      </c>
      <c r="H95" t="str">
        <f>SmtRes!O160</f>
        <v>кг</v>
      </c>
      <c r="I95">
        <f>SmtRes!Y160*Source!I311</f>
        <v>4.4000000000000007E-4</v>
      </c>
      <c r="J95">
        <f>SmtRes!AO160</f>
        <v>1</v>
      </c>
      <c r="K95">
        <f>SmtRes!AE160</f>
        <v>28.41</v>
      </c>
      <c r="L95">
        <f>SmtRes!DB160</f>
        <v>2.84</v>
      </c>
      <c r="M95">
        <f>ROUND(ROUND(L95*Source!I311, 6)*1, 2)</f>
        <v>0.01</v>
      </c>
      <c r="N95">
        <f>SmtRes!AA160</f>
        <v>28.41</v>
      </c>
      <c r="O95">
        <f>ROUND(ROUND(L95*Source!I311, 6)*SmtRes!DA160, 2)</f>
        <v>0.01</v>
      </c>
      <c r="P95">
        <f>SmtRes!AG160</f>
        <v>0</v>
      </c>
      <c r="Q95">
        <f>SmtRes!DC160</f>
        <v>0</v>
      </c>
      <c r="R95">
        <f>ROUND(ROUND(Q95*Source!I311, 6)*1, 2)</f>
        <v>0</v>
      </c>
      <c r="S95">
        <f>SmtRes!AC160</f>
        <v>0</v>
      </c>
      <c r="T95">
        <f>ROUND(ROUND(Q95*Source!I311, 6)*SmtRes!AK160, 2)</f>
        <v>0</v>
      </c>
      <c r="U95">
        <f>SmtRes!X160</f>
        <v>44890498</v>
      </c>
      <c r="V95">
        <v>1909301085</v>
      </c>
      <c r="W95">
        <v>1909301085</v>
      </c>
    </row>
    <row r="96" spans="1:23">
      <c r="A96">
        <f>Source!A311</f>
        <v>17</v>
      </c>
      <c r="C96">
        <v>3</v>
      </c>
      <c r="D96">
        <v>0</v>
      </c>
      <c r="E96">
        <f>SmtRes!AV159</f>
        <v>0</v>
      </c>
      <c r="F96" t="str">
        <f>SmtRes!I159</f>
        <v>21.1-1-75</v>
      </c>
      <c r="G96" t="str">
        <f>SmtRes!K159</f>
        <v>Мастика клеящая морозостойкая, марка МБ-50, битумно-масляная</v>
      </c>
      <c r="H96" t="str">
        <f>SmtRes!O159</f>
        <v>т</v>
      </c>
      <c r="I96">
        <f>SmtRes!Y159*Source!I311</f>
        <v>1.0560000000000001E-3</v>
      </c>
      <c r="J96">
        <f>SmtRes!AO159</f>
        <v>1</v>
      </c>
      <c r="K96">
        <f>SmtRes!AE159</f>
        <v>142619.79999999999</v>
      </c>
      <c r="L96">
        <f>SmtRes!DB159</f>
        <v>34228.75</v>
      </c>
      <c r="M96">
        <f>ROUND(ROUND(L96*Source!I311, 6)*1, 2)</f>
        <v>150.61000000000001</v>
      </c>
      <c r="N96">
        <f>SmtRes!AA159</f>
        <v>142619.79999999999</v>
      </c>
      <c r="O96">
        <f>ROUND(ROUND(L96*Source!I311, 6)*SmtRes!DA159, 2)</f>
        <v>150.61000000000001</v>
      </c>
      <c r="P96">
        <f>SmtRes!AG159</f>
        <v>0</v>
      </c>
      <c r="Q96">
        <f>SmtRes!DC159</f>
        <v>0</v>
      </c>
      <c r="R96">
        <f>ROUND(ROUND(Q96*Source!I311, 6)*1, 2)</f>
        <v>0</v>
      </c>
      <c r="S96">
        <f>SmtRes!AC159</f>
        <v>0</v>
      </c>
      <c r="T96">
        <f>ROUND(ROUND(Q96*Source!I311, 6)*SmtRes!AK159, 2)</f>
        <v>0</v>
      </c>
      <c r="U96">
        <f>SmtRes!X159</f>
        <v>-701540622</v>
      </c>
      <c r="V96">
        <v>-544243599</v>
      </c>
      <c r="W96">
        <v>-544243599</v>
      </c>
    </row>
    <row r="97" spans="1:23">
      <c r="A97">
        <f>Source!A311</f>
        <v>17</v>
      </c>
      <c r="C97">
        <v>3</v>
      </c>
      <c r="D97">
        <v>0</v>
      </c>
      <c r="E97">
        <f>SmtRes!AV158</f>
        <v>0</v>
      </c>
      <c r="F97" t="str">
        <f>SmtRes!I158</f>
        <v>21.1-1-5</v>
      </c>
      <c r="G97" t="str">
        <f>SmtRes!K158</f>
        <v>Битумы нефтяные, строительные марка БН, БНСК</v>
      </c>
      <c r="H97" t="str">
        <f>SmtRes!O158</f>
        <v>т</v>
      </c>
      <c r="I97">
        <f>SmtRes!Y158*Source!I311</f>
        <v>7.0400000000000004E-5</v>
      </c>
      <c r="J97">
        <f>SmtRes!AO158</f>
        <v>1</v>
      </c>
      <c r="K97">
        <f>SmtRes!AE158</f>
        <v>18737.900000000001</v>
      </c>
      <c r="L97">
        <f>SmtRes!DB158</f>
        <v>299.81</v>
      </c>
      <c r="M97">
        <f>ROUND(ROUND(L97*Source!I311, 6)*1, 2)</f>
        <v>1.32</v>
      </c>
      <c r="N97">
        <f>SmtRes!AA158</f>
        <v>18737.900000000001</v>
      </c>
      <c r="O97">
        <f>ROUND(ROUND(L97*Source!I311, 6)*SmtRes!DA158, 2)</f>
        <v>1.32</v>
      </c>
      <c r="P97">
        <f>SmtRes!AG158</f>
        <v>0</v>
      </c>
      <c r="Q97">
        <f>SmtRes!DC158</f>
        <v>0</v>
      </c>
      <c r="R97">
        <f>ROUND(ROUND(Q97*Source!I311, 6)*1, 2)</f>
        <v>0</v>
      </c>
      <c r="S97">
        <f>SmtRes!AC158</f>
        <v>0</v>
      </c>
      <c r="T97">
        <f>ROUND(ROUND(Q97*Source!I311, 6)*SmtRes!AK158, 2)</f>
        <v>0</v>
      </c>
      <c r="U97">
        <f>SmtRes!X158</f>
        <v>533679429</v>
      </c>
      <c r="V97">
        <v>803156559</v>
      </c>
      <c r="W97">
        <v>803156559</v>
      </c>
    </row>
    <row r="98" spans="1:23">
      <c r="A98">
        <f>Source!A312</f>
        <v>17</v>
      </c>
      <c r="C98">
        <v>3</v>
      </c>
      <c r="D98">
        <v>0</v>
      </c>
      <c r="E98">
        <f>SmtRes!AV167</f>
        <v>0</v>
      </c>
      <c r="F98" t="str">
        <f>SmtRes!I167</f>
        <v>21.3-2-99</v>
      </c>
      <c r="G98" t="str">
        <f>SmtRes!K167</f>
        <v>Смеси сухие штукатурные цементно-песчаные для внутренних и наружных работ, бездобавочные: В12,5 (М150), F50, крупность заполнителя не более 0,5 мм</v>
      </c>
      <c r="H98" t="str">
        <f>SmtRes!O167</f>
        <v>т</v>
      </c>
      <c r="I98">
        <f>SmtRes!Y167*Source!I312</f>
        <v>1.8375000000000002E-3</v>
      </c>
      <c r="J98">
        <f>SmtRes!AO167</f>
        <v>1</v>
      </c>
      <c r="K98">
        <f>SmtRes!AE167</f>
        <v>4664.17</v>
      </c>
      <c r="L98">
        <f>SmtRes!DB167</f>
        <v>244.87</v>
      </c>
      <c r="M98">
        <f>ROUND(ROUND(L98*Source!I312, 6)*1, 2)</f>
        <v>8.57</v>
      </c>
      <c r="N98">
        <f>SmtRes!AA167</f>
        <v>4664.17</v>
      </c>
      <c r="O98">
        <f>ROUND(ROUND(L98*Source!I312, 6)*SmtRes!DA167, 2)</f>
        <v>8.57</v>
      </c>
      <c r="P98">
        <f>SmtRes!AG167</f>
        <v>0</v>
      </c>
      <c r="Q98">
        <f>SmtRes!DC167</f>
        <v>0</v>
      </c>
      <c r="R98">
        <f>ROUND(ROUND(Q98*Source!I312, 6)*1, 2)</f>
        <v>0</v>
      </c>
      <c r="S98">
        <f>SmtRes!AC167</f>
        <v>0</v>
      </c>
      <c r="T98">
        <f>ROUND(ROUND(Q98*Source!I312, 6)*SmtRes!AK167, 2)</f>
        <v>0</v>
      </c>
      <c r="U98">
        <f>SmtRes!X167</f>
        <v>-590465792</v>
      </c>
      <c r="V98">
        <v>-2082165412</v>
      </c>
      <c r="W98">
        <v>-2082165412</v>
      </c>
    </row>
    <row r="99" spans="1:23">
      <c r="A99">
        <f>Source!A312</f>
        <v>17</v>
      </c>
      <c r="C99">
        <v>3</v>
      </c>
      <c r="D99">
        <v>0</v>
      </c>
      <c r="E99">
        <f>SmtRes!AV166</f>
        <v>0</v>
      </c>
      <c r="F99" t="str">
        <f>SmtRes!I166</f>
        <v>21.1-6-8</v>
      </c>
      <c r="G99" t="str">
        <f>SmtRes!K166</f>
        <v>Грунтовка "Акриал"</v>
      </c>
      <c r="H99" t="str">
        <f>SmtRes!O166</f>
        <v>т</v>
      </c>
      <c r="I99">
        <f>SmtRes!Y166*Source!I312</f>
        <v>8.470000000000001E-4</v>
      </c>
      <c r="J99">
        <f>SmtRes!AO166</f>
        <v>1</v>
      </c>
      <c r="K99">
        <f>SmtRes!AE166</f>
        <v>104930.55</v>
      </c>
      <c r="L99">
        <f>SmtRes!DB166</f>
        <v>2539.3200000000002</v>
      </c>
      <c r="M99">
        <f>ROUND(ROUND(L99*Source!I312, 6)*1, 2)</f>
        <v>88.88</v>
      </c>
      <c r="N99">
        <f>SmtRes!AA166</f>
        <v>104930.55</v>
      </c>
      <c r="O99">
        <f>ROUND(ROUND(L99*Source!I312, 6)*SmtRes!DA166, 2)</f>
        <v>88.88</v>
      </c>
      <c r="P99">
        <f>SmtRes!AG166</f>
        <v>0</v>
      </c>
      <c r="Q99">
        <f>SmtRes!DC166</f>
        <v>0</v>
      </c>
      <c r="R99">
        <f>ROUND(ROUND(Q99*Source!I312, 6)*1, 2)</f>
        <v>0</v>
      </c>
      <c r="S99">
        <f>SmtRes!AC166</f>
        <v>0</v>
      </c>
      <c r="T99">
        <f>ROUND(ROUND(Q99*Source!I312, 6)*SmtRes!AK166, 2)</f>
        <v>0</v>
      </c>
      <c r="U99">
        <f>SmtRes!X166</f>
        <v>-744236664</v>
      </c>
      <c r="V99">
        <v>-1900597122</v>
      </c>
      <c r="W99">
        <v>-1900597122</v>
      </c>
    </row>
    <row r="100" spans="1:23">
      <c r="A100">
        <f>Source!A312</f>
        <v>17</v>
      </c>
      <c r="C100">
        <v>3</v>
      </c>
      <c r="D100">
        <v>0</v>
      </c>
      <c r="E100">
        <f>SmtRes!AV165</f>
        <v>0</v>
      </c>
      <c r="F100" t="str">
        <f>SmtRes!I165</f>
        <v>21.1-6-60</v>
      </c>
      <c r="G100" t="str">
        <f>SmtRes!K165</f>
        <v>Краски фасадные, марка "Акриал"</v>
      </c>
      <c r="H100" t="str">
        <f>SmtRes!O165</f>
        <v>т</v>
      </c>
      <c r="I100">
        <f>SmtRes!Y165*Source!I312</f>
        <v>1.7885000000000002E-3</v>
      </c>
      <c r="J100">
        <f>SmtRes!AO165</f>
        <v>1</v>
      </c>
      <c r="K100">
        <f>SmtRes!AE165</f>
        <v>103392.57</v>
      </c>
      <c r="L100">
        <f>SmtRes!DB165</f>
        <v>5283.36</v>
      </c>
      <c r="M100">
        <f>ROUND(ROUND(L100*Source!I312, 6)*1, 2)</f>
        <v>184.92</v>
      </c>
      <c r="N100">
        <f>SmtRes!AA165</f>
        <v>103392.57</v>
      </c>
      <c r="O100">
        <f>ROUND(ROUND(L100*Source!I312, 6)*SmtRes!DA165, 2)</f>
        <v>184.92</v>
      </c>
      <c r="P100">
        <f>SmtRes!AG165</f>
        <v>0</v>
      </c>
      <c r="Q100">
        <f>SmtRes!DC165</f>
        <v>0</v>
      </c>
      <c r="R100">
        <f>ROUND(ROUND(Q100*Source!I312, 6)*1, 2)</f>
        <v>0</v>
      </c>
      <c r="S100">
        <f>SmtRes!AC165</f>
        <v>0</v>
      </c>
      <c r="T100">
        <f>ROUND(ROUND(Q100*Source!I312, 6)*SmtRes!AK165, 2)</f>
        <v>0</v>
      </c>
      <c r="U100">
        <f>SmtRes!X165</f>
        <v>-1711427454</v>
      </c>
      <c r="V100">
        <v>-661352614</v>
      </c>
      <c r="W100">
        <v>-661352614</v>
      </c>
    </row>
    <row r="101" spans="1:23">
      <c r="A101">
        <f>Source!A312</f>
        <v>17</v>
      </c>
      <c r="C101">
        <v>3</v>
      </c>
      <c r="D101">
        <v>0</v>
      </c>
      <c r="E101">
        <f>SmtRes!AV164</f>
        <v>0</v>
      </c>
      <c r="F101" t="str">
        <f>SmtRes!I164</f>
        <v>21.1-6-21</v>
      </c>
      <c r="G101" t="str">
        <f>SmtRes!K164</f>
        <v>Дисперсия поливинилацетатная, гомополимерная, грубодисперсная, пластифицированная, (эмульсия поливинилацетатная), марка ДБ</v>
      </c>
      <c r="H101" t="str">
        <f>SmtRes!O164</f>
        <v>т</v>
      </c>
      <c r="I101">
        <f>SmtRes!Y164*Source!I312</f>
        <v>6.58E-5</v>
      </c>
      <c r="J101">
        <f>SmtRes!AO164</f>
        <v>1</v>
      </c>
      <c r="K101">
        <f>SmtRes!AE164</f>
        <v>119906.53</v>
      </c>
      <c r="L101">
        <f>SmtRes!DB164</f>
        <v>225.42</v>
      </c>
      <c r="M101">
        <f>ROUND(ROUND(L101*Source!I312, 6)*1, 2)</f>
        <v>7.89</v>
      </c>
      <c r="N101">
        <f>SmtRes!AA164</f>
        <v>119906.53</v>
      </c>
      <c r="O101">
        <f>ROUND(ROUND(L101*Source!I312, 6)*SmtRes!DA164, 2)</f>
        <v>7.89</v>
      </c>
      <c r="P101">
        <f>SmtRes!AG164</f>
        <v>0</v>
      </c>
      <c r="Q101">
        <f>SmtRes!DC164</f>
        <v>0</v>
      </c>
      <c r="R101">
        <f>ROUND(ROUND(Q101*Source!I312, 6)*1, 2)</f>
        <v>0</v>
      </c>
      <c r="S101">
        <f>SmtRes!AC164</f>
        <v>0</v>
      </c>
      <c r="T101">
        <f>ROUND(ROUND(Q101*Source!I312, 6)*SmtRes!AK164, 2)</f>
        <v>0</v>
      </c>
      <c r="U101">
        <f>SmtRes!X164</f>
        <v>-97956853</v>
      </c>
      <c r="V101">
        <v>-1372109113</v>
      </c>
      <c r="W101">
        <v>-1372109113</v>
      </c>
    </row>
    <row r="102" spans="1:23">
      <c r="A102">
        <f>Source!A312</f>
        <v>17</v>
      </c>
      <c r="C102">
        <v>3</v>
      </c>
      <c r="D102">
        <v>0</v>
      </c>
      <c r="E102">
        <f>SmtRes!AV163</f>
        <v>0</v>
      </c>
      <c r="F102" t="str">
        <f>SmtRes!I163</f>
        <v>21.1-25-407</v>
      </c>
      <c r="G102" t="str">
        <f>SmtRes!K163</f>
        <v>Шпатлевка масляно-клеевая универсальная</v>
      </c>
      <c r="H102" t="str">
        <f>SmtRes!O163</f>
        <v>т</v>
      </c>
      <c r="I102">
        <f>SmtRes!Y163*Source!I312</f>
        <v>3.5000000000000004E-5</v>
      </c>
      <c r="J102">
        <f>SmtRes!AO163</f>
        <v>1</v>
      </c>
      <c r="K102">
        <f>SmtRes!AE163</f>
        <v>26071.29</v>
      </c>
      <c r="L102">
        <f>SmtRes!DB163</f>
        <v>26.07</v>
      </c>
      <c r="M102">
        <f>ROUND(ROUND(L102*Source!I312, 6)*1, 2)</f>
        <v>0.91</v>
      </c>
      <c r="N102">
        <f>SmtRes!AA163</f>
        <v>26071.29</v>
      </c>
      <c r="O102">
        <f>ROUND(ROUND(L102*Source!I312, 6)*SmtRes!DA163, 2)</f>
        <v>0.91</v>
      </c>
      <c r="P102">
        <f>SmtRes!AG163</f>
        <v>0</v>
      </c>
      <c r="Q102">
        <f>SmtRes!DC163</f>
        <v>0</v>
      </c>
      <c r="R102">
        <f>ROUND(ROUND(Q102*Source!I312, 6)*1, 2)</f>
        <v>0</v>
      </c>
      <c r="S102">
        <f>SmtRes!AC163</f>
        <v>0</v>
      </c>
      <c r="T102">
        <f>ROUND(ROUND(Q102*Source!I312, 6)*SmtRes!AK163, 2)</f>
        <v>0</v>
      </c>
      <c r="U102">
        <f>SmtRes!X163</f>
        <v>-1681382372</v>
      </c>
      <c r="V102">
        <v>1621356544</v>
      </c>
      <c r="W102">
        <v>1621356544</v>
      </c>
    </row>
    <row r="103" spans="1:23">
      <c r="A103">
        <f>Source!A313</f>
        <v>17</v>
      </c>
      <c r="C103">
        <v>3</v>
      </c>
      <c r="D103">
        <v>0</v>
      </c>
      <c r="E103">
        <f>SmtRes!AV169</f>
        <v>0</v>
      </c>
      <c r="F103" t="str">
        <f>SmtRes!I169</f>
        <v>21.3-4-24</v>
      </c>
      <c r="G103" t="str">
        <f>SmtRes!K169</f>
        <v>Арматурные заготовки (стержни, хомуты и т.п.), не собранные в каркасы или сетки, закладные и накладные детали, со сваркой</v>
      </c>
      <c r="H103" t="str">
        <f>SmtRes!O169</f>
        <v>т</v>
      </c>
      <c r="I103">
        <f>SmtRes!Y169*Source!I313</f>
        <v>0.86399999999999999</v>
      </c>
      <c r="J103">
        <f>SmtRes!AO169</f>
        <v>1</v>
      </c>
      <c r="K103">
        <f>SmtRes!AE169</f>
        <v>53233.52</v>
      </c>
      <c r="L103">
        <f>SmtRes!DB169</f>
        <v>53233.52</v>
      </c>
      <c r="M103">
        <f>ROUND(ROUND(L103*Source!I313, 6)*1, 2)</f>
        <v>45993.760000000002</v>
      </c>
      <c r="N103">
        <f>SmtRes!AA169</f>
        <v>53233.52</v>
      </c>
      <c r="O103">
        <f>ROUND(ROUND(L103*Source!I313, 6)*SmtRes!DA169, 2)</f>
        <v>45993.760000000002</v>
      </c>
      <c r="P103">
        <f>SmtRes!AG169</f>
        <v>0</v>
      </c>
      <c r="Q103">
        <f>SmtRes!DC169</f>
        <v>0</v>
      </c>
      <c r="R103">
        <f>ROUND(ROUND(Q103*Source!I313, 6)*1, 2)</f>
        <v>0</v>
      </c>
      <c r="S103">
        <f>SmtRes!AC169</f>
        <v>0</v>
      </c>
      <c r="T103">
        <f>ROUND(ROUND(Q103*Source!I313, 6)*SmtRes!AK169, 2)</f>
        <v>0</v>
      </c>
      <c r="U103">
        <f>SmtRes!X169</f>
        <v>-1958973042</v>
      </c>
      <c r="V103">
        <v>-593828415</v>
      </c>
      <c r="W103">
        <v>-593828415</v>
      </c>
    </row>
    <row r="104" spans="1:23">
      <c r="A104">
        <f>Source!A314</f>
        <v>17</v>
      </c>
      <c r="C104">
        <v>3</v>
      </c>
      <c r="D104">
        <v>0</v>
      </c>
      <c r="E104">
        <f>SmtRes!AV175</f>
        <v>0</v>
      </c>
      <c r="F104" t="str">
        <f>SmtRes!I175</f>
        <v>21.3-4-24</v>
      </c>
      <c r="G104" t="str">
        <f>SmtRes!K175</f>
        <v>Арматурные заготовки (стержни, хомуты и т.п.), не собранные в каркасы или сетки, закладные и накладные детали, со сваркой</v>
      </c>
      <c r="H104" t="str">
        <f>SmtRes!O175</f>
        <v>т</v>
      </c>
      <c r="I104">
        <f>SmtRes!Y175*Source!I314</f>
        <v>0.94499999999999995</v>
      </c>
      <c r="J104">
        <f>SmtRes!AO175</f>
        <v>1</v>
      </c>
      <c r="K104">
        <f>SmtRes!AE175</f>
        <v>53233.52</v>
      </c>
      <c r="L104">
        <f>SmtRes!DB175</f>
        <v>53233.52</v>
      </c>
      <c r="M104">
        <f>ROUND(ROUND(L104*Source!I314, 6)*1, 2)</f>
        <v>50305.68</v>
      </c>
      <c r="N104">
        <f>SmtRes!AA175</f>
        <v>53233.52</v>
      </c>
      <c r="O104">
        <f>ROUND(ROUND(L104*Source!I314, 6)*SmtRes!DA175, 2)</f>
        <v>50305.68</v>
      </c>
      <c r="P104">
        <f>SmtRes!AG175</f>
        <v>0</v>
      </c>
      <c r="Q104">
        <f>SmtRes!DC175</f>
        <v>0</v>
      </c>
      <c r="R104">
        <f>ROUND(ROUND(Q104*Source!I314, 6)*1, 2)</f>
        <v>0</v>
      </c>
      <c r="S104">
        <f>SmtRes!AC175</f>
        <v>0</v>
      </c>
      <c r="T104">
        <f>ROUND(ROUND(Q104*Source!I314, 6)*SmtRes!AK175, 2)</f>
        <v>0</v>
      </c>
      <c r="U104">
        <f>SmtRes!X175</f>
        <v>-1958973042</v>
      </c>
      <c r="V104">
        <v>-593828415</v>
      </c>
      <c r="W104">
        <v>-593828415</v>
      </c>
    </row>
    <row r="105" spans="1:23">
      <c r="A105">
        <f>Source!A314</f>
        <v>17</v>
      </c>
      <c r="C105">
        <v>3</v>
      </c>
      <c r="D105">
        <v>0</v>
      </c>
      <c r="E105">
        <f>SmtRes!AV174</f>
        <v>0</v>
      </c>
      <c r="F105" t="str">
        <f>SmtRes!I174</f>
        <v>21.1-23-9</v>
      </c>
      <c r="G105" t="str">
        <f>SmtRes!K174</f>
        <v>Электроды, тип Э-42, 46, 50, диаметр 4 - 6 мм</v>
      </c>
      <c r="H105" t="str">
        <f>SmtRes!O174</f>
        <v>т</v>
      </c>
      <c r="I105">
        <f>SmtRes!Y174*Source!I314</f>
        <v>2.8349999999999997E-2</v>
      </c>
      <c r="J105">
        <f>SmtRes!AO174</f>
        <v>1</v>
      </c>
      <c r="K105">
        <f>SmtRes!AE174</f>
        <v>110781.14</v>
      </c>
      <c r="L105">
        <f>SmtRes!DB174</f>
        <v>3323.43</v>
      </c>
      <c r="M105">
        <f>ROUND(ROUND(L105*Source!I314, 6)*1, 2)</f>
        <v>3140.64</v>
      </c>
      <c r="N105">
        <f>SmtRes!AA174</f>
        <v>110781.14</v>
      </c>
      <c r="O105">
        <f>ROUND(ROUND(L105*Source!I314, 6)*SmtRes!DA174, 2)</f>
        <v>3140.64</v>
      </c>
      <c r="P105">
        <f>SmtRes!AG174</f>
        <v>0</v>
      </c>
      <c r="Q105">
        <f>SmtRes!DC174</f>
        <v>0</v>
      </c>
      <c r="R105">
        <f>ROUND(ROUND(Q105*Source!I314, 6)*1, 2)</f>
        <v>0</v>
      </c>
      <c r="S105">
        <f>SmtRes!AC174</f>
        <v>0</v>
      </c>
      <c r="T105">
        <f>ROUND(ROUND(Q105*Source!I314, 6)*SmtRes!AK174, 2)</f>
        <v>0</v>
      </c>
      <c r="U105">
        <f>SmtRes!X174</f>
        <v>-672771621</v>
      </c>
      <c r="V105">
        <v>-1526606762</v>
      </c>
      <c r="W105">
        <v>-1526606762</v>
      </c>
    </row>
    <row r="106" spans="1:23">
      <c r="A106">
        <f>Source!A315</f>
        <v>18</v>
      </c>
      <c r="C106">
        <v>3</v>
      </c>
      <c r="D106">
        <f>Source!BI315</f>
        <v>4</v>
      </c>
      <c r="E106">
        <f>Source!FS315</f>
        <v>0</v>
      </c>
      <c r="F106" t="str">
        <f>Source!F315</f>
        <v>21.1-10-111</v>
      </c>
      <c r="G106" t="str">
        <f>Source!G315</f>
        <v>Профили стальные электросварные прямоугольного сечения трубчатые, размер 40х60 мм, толщина стенки 3,0 мм</v>
      </c>
      <c r="H106" t="str">
        <f>Source!H315</f>
        <v>т</v>
      </c>
      <c r="I106">
        <f>Source!I315</f>
        <v>0.61147099999999999</v>
      </c>
      <c r="J106">
        <v>1</v>
      </c>
      <c r="K106">
        <f>Source!AC315</f>
        <v>32819.879999999997</v>
      </c>
      <c r="M106">
        <f>ROUND(K106*I106, 2)</f>
        <v>20068.400000000001</v>
      </c>
      <c r="N106">
        <f>Source!AC315*IF(Source!BC315&lt;&gt; 0, Source!BC315, 1)</f>
        <v>32819.879999999997</v>
      </c>
      <c r="O106">
        <f>ROUND(N106*I106, 2)</f>
        <v>20068.400000000001</v>
      </c>
      <c r="P106">
        <f>Source!AE315</f>
        <v>0</v>
      </c>
      <c r="R106">
        <f>ROUND(P106*I106, 2)</f>
        <v>0</v>
      </c>
      <c r="S106">
        <f>Source!AE315*IF(Source!BS315&lt;&gt; 0, Source!BS315, 1)</f>
        <v>0</v>
      </c>
      <c r="T106">
        <f>ROUND(S106*I106, 2)</f>
        <v>0</v>
      </c>
      <c r="U106">
        <f>Source!GF315</f>
        <v>-1290471652</v>
      </c>
      <c r="V106">
        <v>496270836</v>
      </c>
      <c r="W106">
        <v>496270836</v>
      </c>
    </row>
    <row r="107" spans="1:23">
      <c r="A107">
        <f>Source!A316</f>
        <v>18</v>
      </c>
      <c r="C107">
        <v>3</v>
      </c>
      <c r="D107">
        <f>Source!BI316</f>
        <v>4</v>
      </c>
      <c r="E107">
        <f>Source!FS316</f>
        <v>0</v>
      </c>
      <c r="F107" t="str">
        <f>Source!F316</f>
        <v>21.1-10-172</v>
      </c>
      <c r="G107" t="str">
        <f>Source!G316</f>
        <v>Сталь полосовая, марка Ст1сп - Ст6сп, спокойная</v>
      </c>
      <c r="H107" t="str">
        <f>Source!H316</f>
        <v>т</v>
      </c>
      <c r="I107">
        <f>Source!I316</f>
        <v>0.33352900000000002</v>
      </c>
      <c r="J107">
        <v>1</v>
      </c>
      <c r="K107">
        <f>Source!AC316</f>
        <v>38268.54</v>
      </c>
      <c r="M107">
        <f>ROUND(K107*I107, 2)</f>
        <v>12763.67</v>
      </c>
      <c r="N107">
        <f>Source!AC316*IF(Source!BC316&lt;&gt; 0, Source!BC316, 1)</f>
        <v>38268.54</v>
      </c>
      <c r="O107">
        <f>ROUND(N107*I107, 2)</f>
        <v>12763.67</v>
      </c>
      <c r="P107">
        <f>Source!AE316</f>
        <v>0</v>
      </c>
      <c r="R107">
        <f>ROUND(P107*I107, 2)</f>
        <v>0</v>
      </c>
      <c r="S107">
        <f>Source!AE316*IF(Source!BS316&lt;&gt; 0, Source!BS316, 1)</f>
        <v>0</v>
      </c>
      <c r="T107">
        <f>ROUND(S107*I107, 2)</f>
        <v>0</v>
      </c>
      <c r="U107">
        <f>Source!GF316</f>
        <v>326158175</v>
      </c>
      <c r="V107">
        <v>-387238344</v>
      </c>
      <c r="W107">
        <v>-387238344</v>
      </c>
    </row>
    <row r="108" spans="1:23">
      <c r="A108">
        <f>Source!A317</f>
        <v>17</v>
      </c>
      <c r="C108">
        <v>3</v>
      </c>
      <c r="D108">
        <v>0</v>
      </c>
      <c r="E108">
        <f>SmtRes!AV181</f>
        <v>0</v>
      </c>
      <c r="F108" t="str">
        <f>SmtRes!I181</f>
        <v>21.1-11-74</v>
      </c>
      <c r="G108" t="str">
        <f>SmtRes!K181</f>
        <v>Заклепки комбинированные для соединения профилированного стального настила и разнообразных деталей</v>
      </c>
      <c r="H108" t="str">
        <f>SmtRes!O181</f>
        <v>т</v>
      </c>
      <c r="I108">
        <f>SmtRes!Y181*Source!I317</f>
        <v>9.7199999999999991E-5</v>
      </c>
      <c r="J108">
        <f>SmtRes!AO181</f>
        <v>1</v>
      </c>
      <c r="K108">
        <f>SmtRes!AE181</f>
        <v>205080</v>
      </c>
      <c r="L108">
        <f>SmtRes!DB181</f>
        <v>61.52</v>
      </c>
      <c r="M108">
        <f>ROUND(ROUND(L108*Source!I317, 6)*1, 2)</f>
        <v>19.93</v>
      </c>
      <c r="N108">
        <f>SmtRes!AA181</f>
        <v>205080</v>
      </c>
      <c r="O108">
        <f>ROUND(ROUND(L108*Source!I317, 6)*SmtRes!DA181, 2)</f>
        <v>19.93</v>
      </c>
      <c r="P108">
        <f>SmtRes!AG181</f>
        <v>0</v>
      </c>
      <c r="Q108">
        <f>SmtRes!DC181</f>
        <v>0</v>
      </c>
      <c r="R108">
        <f>ROUND(ROUND(Q108*Source!I317, 6)*1, 2)</f>
        <v>0</v>
      </c>
      <c r="S108">
        <f>SmtRes!AC181</f>
        <v>0</v>
      </c>
      <c r="T108">
        <f>ROUND(ROUND(Q108*Source!I317, 6)*SmtRes!AK181, 2)</f>
        <v>0</v>
      </c>
      <c r="U108">
        <f>SmtRes!X181</f>
        <v>-615900726</v>
      </c>
      <c r="V108">
        <v>1019943244</v>
      </c>
      <c r="W108">
        <v>1019943244</v>
      </c>
    </row>
    <row r="109" spans="1:23">
      <c r="A109">
        <f>Source!A317</f>
        <v>17</v>
      </c>
      <c r="C109">
        <v>3</v>
      </c>
      <c r="D109">
        <v>0</v>
      </c>
      <c r="E109">
        <f>SmtRes!AV180</f>
        <v>0</v>
      </c>
      <c r="F109" t="str">
        <f>SmtRes!I180</f>
        <v>21.1-11-32</v>
      </c>
      <c r="G109" t="str">
        <f>SmtRes!K180</f>
        <v>Винты самонарезающие оцинкованные, длина 25 мм</v>
      </c>
      <c r="H109" t="str">
        <f>SmtRes!O180</f>
        <v>т</v>
      </c>
      <c r="I109">
        <f>SmtRes!Y180*Source!I317</f>
        <v>9.7199999999999991E-5</v>
      </c>
      <c r="J109">
        <f>SmtRes!AO180</f>
        <v>1</v>
      </c>
      <c r="K109">
        <f>SmtRes!AE180</f>
        <v>179560</v>
      </c>
      <c r="L109">
        <f>SmtRes!DB180</f>
        <v>53.87</v>
      </c>
      <c r="M109">
        <f>ROUND(ROUND(L109*Source!I317, 6)*1, 2)</f>
        <v>17.45</v>
      </c>
      <c r="N109">
        <f>SmtRes!AA180</f>
        <v>179560</v>
      </c>
      <c r="O109">
        <f>ROUND(ROUND(L109*Source!I317, 6)*SmtRes!DA180, 2)</f>
        <v>17.45</v>
      </c>
      <c r="P109">
        <f>SmtRes!AG180</f>
        <v>0</v>
      </c>
      <c r="Q109">
        <f>SmtRes!DC180</f>
        <v>0</v>
      </c>
      <c r="R109">
        <f>ROUND(ROUND(Q109*Source!I317, 6)*1, 2)</f>
        <v>0</v>
      </c>
      <c r="S109">
        <f>SmtRes!AC180</f>
        <v>0</v>
      </c>
      <c r="T109">
        <f>ROUND(ROUND(Q109*Source!I317, 6)*SmtRes!AK180, 2)</f>
        <v>0</v>
      </c>
      <c r="U109">
        <f>SmtRes!X180</f>
        <v>-1190824955</v>
      </c>
      <c r="V109">
        <v>152944867</v>
      </c>
      <c r="W109">
        <v>152944867</v>
      </c>
    </row>
    <row r="110" spans="1:23">
      <c r="A110">
        <f>Source!A319</f>
        <v>18</v>
      </c>
      <c r="C110">
        <v>3</v>
      </c>
      <c r="D110">
        <f>Source!BI319</f>
        <v>4</v>
      </c>
      <c r="E110">
        <f>Source!FS319</f>
        <v>0</v>
      </c>
      <c r="F110" t="str">
        <f>Source!F319</f>
        <v>21.1-10-163</v>
      </c>
      <c r="G110" t="str">
        <f>Source!G319</f>
        <v>Сталь листовая горячекатаная нержавеющая, толщина до 4 мм</v>
      </c>
      <c r="H110" t="str">
        <f>Source!H319</f>
        <v>т</v>
      </c>
      <c r="I110">
        <f>Source!I319</f>
        <v>0.74329400000000001</v>
      </c>
      <c r="J110">
        <v>1</v>
      </c>
      <c r="K110">
        <f>Source!AC319</f>
        <v>164918.53</v>
      </c>
      <c r="M110">
        <f>ROUND(K110*I110, 2)</f>
        <v>122582.95</v>
      </c>
      <c r="N110">
        <f>Source!AC319*IF(Source!BC319&lt;&gt; 0, Source!BC319, 1)</f>
        <v>164918.53</v>
      </c>
      <c r="O110">
        <f>ROUND(N110*I110, 2)</f>
        <v>122582.95</v>
      </c>
      <c r="P110">
        <f>Source!AE319</f>
        <v>0</v>
      </c>
      <c r="R110">
        <f>ROUND(P110*I110, 2)</f>
        <v>0</v>
      </c>
      <c r="S110">
        <f>Source!AE319*IF(Source!BS319&lt;&gt; 0, Source!BS319, 1)</f>
        <v>0</v>
      </c>
      <c r="T110">
        <f>ROUND(S110*I110, 2)</f>
        <v>0</v>
      </c>
      <c r="U110">
        <f>Source!GF319</f>
        <v>-1166408548</v>
      </c>
      <c r="V110">
        <v>-1324876657</v>
      </c>
      <c r="W110">
        <v>-1324876657</v>
      </c>
    </row>
    <row r="111" spans="1:23">
      <c r="A111">
        <f>Source!A320</f>
        <v>17</v>
      </c>
      <c r="C111">
        <v>3</v>
      </c>
      <c r="D111">
        <v>0</v>
      </c>
      <c r="E111">
        <f>SmtRes!AV187</f>
        <v>0</v>
      </c>
      <c r="F111" t="str">
        <f>SmtRes!I187</f>
        <v>21.1-11-74</v>
      </c>
      <c r="G111" t="str">
        <f>SmtRes!K187</f>
        <v>Заклепки комбинированные для соединения профилированного стального настила и разнообразных деталей</v>
      </c>
      <c r="H111" t="str">
        <f>SmtRes!O187</f>
        <v>т</v>
      </c>
      <c r="I111">
        <f>SmtRes!Y187*Source!I320</f>
        <v>3.8399999999999998E-5</v>
      </c>
      <c r="J111">
        <f>SmtRes!AO187</f>
        <v>1</v>
      </c>
      <c r="K111">
        <f>SmtRes!AE187</f>
        <v>205080</v>
      </c>
      <c r="L111">
        <f>SmtRes!DB187</f>
        <v>61.52</v>
      </c>
      <c r="M111">
        <f>ROUND(ROUND(L111*Source!I320, 6)*1, 2)</f>
        <v>7.87</v>
      </c>
      <c r="N111">
        <f>SmtRes!AA187</f>
        <v>205080</v>
      </c>
      <c r="O111">
        <f>ROUND(ROUND(L111*Source!I320, 6)*SmtRes!DA187, 2)</f>
        <v>7.87</v>
      </c>
      <c r="P111">
        <f>SmtRes!AG187</f>
        <v>0</v>
      </c>
      <c r="Q111">
        <f>SmtRes!DC187</f>
        <v>0</v>
      </c>
      <c r="R111">
        <f>ROUND(ROUND(Q111*Source!I320, 6)*1, 2)</f>
        <v>0</v>
      </c>
      <c r="S111">
        <f>SmtRes!AC187</f>
        <v>0</v>
      </c>
      <c r="T111">
        <f>ROUND(ROUND(Q111*Source!I320, 6)*SmtRes!AK187, 2)</f>
        <v>0</v>
      </c>
      <c r="U111">
        <f>SmtRes!X187</f>
        <v>-615900726</v>
      </c>
      <c r="V111">
        <v>1019943244</v>
      </c>
      <c r="W111">
        <v>1019943244</v>
      </c>
    </row>
    <row r="112" spans="1:23">
      <c r="A112">
        <f>Source!A320</f>
        <v>17</v>
      </c>
      <c r="C112">
        <v>3</v>
      </c>
      <c r="D112">
        <v>0</v>
      </c>
      <c r="E112">
        <f>SmtRes!AV186</f>
        <v>0</v>
      </c>
      <c r="F112" t="str">
        <f>SmtRes!I186</f>
        <v>21.1-11-32</v>
      </c>
      <c r="G112" t="str">
        <f>SmtRes!K186</f>
        <v>Винты самонарезающие оцинкованные, длина 25 мм</v>
      </c>
      <c r="H112" t="str">
        <f>SmtRes!O186</f>
        <v>т</v>
      </c>
      <c r="I112">
        <f>SmtRes!Y186*Source!I320</f>
        <v>3.8399999999999998E-5</v>
      </c>
      <c r="J112">
        <f>SmtRes!AO186</f>
        <v>1</v>
      </c>
      <c r="K112">
        <f>SmtRes!AE186</f>
        <v>179560</v>
      </c>
      <c r="L112">
        <f>SmtRes!DB186</f>
        <v>53.87</v>
      </c>
      <c r="M112">
        <f>ROUND(ROUND(L112*Source!I320, 6)*1, 2)</f>
        <v>6.9</v>
      </c>
      <c r="N112">
        <f>SmtRes!AA186</f>
        <v>179560</v>
      </c>
      <c r="O112">
        <f>ROUND(ROUND(L112*Source!I320, 6)*SmtRes!DA186, 2)</f>
        <v>6.9</v>
      </c>
      <c r="P112">
        <f>SmtRes!AG186</f>
        <v>0</v>
      </c>
      <c r="Q112">
        <f>SmtRes!DC186</f>
        <v>0</v>
      </c>
      <c r="R112">
        <f>ROUND(ROUND(Q112*Source!I320, 6)*1, 2)</f>
        <v>0</v>
      </c>
      <c r="S112">
        <f>SmtRes!AC186</f>
        <v>0</v>
      </c>
      <c r="T112">
        <f>ROUND(ROUND(Q112*Source!I320, 6)*SmtRes!AK186, 2)</f>
        <v>0</v>
      </c>
      <c r="U112">
        <f>SmtRes!X186</f>
        <v>-1190824955</v>
      </c>
      <c r="V112">
        <v>152944867</v>
      </c>
      <c r="W112">
        <v>152944867</v>
      </c>
    </row>
    <row r="113" spans="1:23">
      <c r="A113">
        <f>Source!A322</f>
        <v>18</v>
      </c>
      <c r="C113">
        <v>3</v>
      </c>
      <c r="D113">
        <f>Source!BI322</f>
        <v>4</v>
      </c>
      <c r="E113">
        <f>Source!FS322</f>
        <v>0</v>
      </c>
      <c r="F113" t="str">
        <f>Source!F322</f>
        <v>21.1-10-164</v>
      </c>
      <c r="G113" t="str">
        <f>Source!G322</f>
        <v>Сталь листовая горячекатаная нержавеющая, толщина более 4 мм</v>
      </c>
      <c r="H113" t="str">
        <f>Source!H322</f>
        <v>т</v>
      </c>
      <c r="I113">
        <f>Source!I322</f>
        <v>0.77015299999999998</v>
      </c>
      <c r="J113">
        <v>1</v>
      </c>
      <c r="K113">
        <f>Source!AC322</f>
        <v>166618.54999999999</v>
      </c>
      <c r="M113">
        <f>ROUND(K113*I113, 2)</f>
        <v>128321.78</v>
      </c>
      <c r="N113">
        <f>Source!AC322*IF(Source!BC322&lt;&gt; 0, Source!BC322, 1)</f>
        <v>166618.54999999999</v>
      </c>
      <c r="O113">
        <f>ROUND(N113*I113, 2)</f>
        <v>128321.78</v>
      </c>
      <c r="P113">
        <f>Source!AE322</f>
        <v>0</v>
      </c>
      <c r="R113">
        <f>ROUND(P113*I113, 2)</f>
        <v>0</v>
      </c>
      <c r="S113">
        <f>Source!AE322*IF(Source!BS322&lt;&gt; 0, Source!BS322, 1)</f>
        <v>0</v>
      </c>
      <c r="T113">
        <f>ROUND(S113*I113, 2)</f>
        <v>0</v>
      </c>
      <c r="U113">
        <f>Source!GF322</f>
        <v>-2041016491</v>
      </c>
      <c r="V113">
        <v>1636567437</v>
      </c>
      <c r="W113">
        <v>1636567437</v>
      </c>
    </row>
    <row r="114" spans="1:23">
      <c r="A114">
        <f>Source!A324</f>
        <v>17</v>
      </c>
      <c r="C114">
        <v>3</v>
      </c>
      <c r="D114">
        <v>0</v>
      </c>
      <c r="E114">
        <f>SmtRes!AV190</f>
        <v>0</v>
      </c>
      <c r="F114" t="str">
        <f>SmtRes!I190</f>
        <v>21.1-6-114</v>
      </c>
      <c r="G114" t="str">
        <f>SmtRes!K190</f>
        <v>Растворитель "Уайт-спирит"</v>
      </c>
      <c r="H114" t="str">
        <f>SmtRes!O190</f>
        <v>кг</v>
      </c>
      <c r="I114">
        <f>SmtRes!Y190*Source!I324</f>
        <v>75.647999999999996</v>
      </c>
      <c r="J114">
        <f>SmtRes!AO190</f>
        <v>1</v>
      </c>
      <c r="K114">
        <f>SmtRes!AE190</f>
        <v>63.195540000000001</v>
      </c>
      <c r="L114">
        <f>SmtRes!DB190</f>
        <v>2022.26</v>
      </c>
      <c r="M114">
        <f>ROUND(ROUND(L114*Source!I324, 6)*1, 2)</f>
        <v>4780.62</v>
      </c>
      <c r="N114">
        <f>SmtRes!AA190</f>
        <v>63.2</v>
      </c>
      <c r="O114">
        <f>ROUND(ROUND(L114*Source!I324, 6)*SmtRes!DA190, 2)</f>
        <v>4780.62</v>
      </c>
      <c r="P114">
        <f>SmtRes!AG190</f>
        <v>0</v>
      </c>
      <c r="Q114">
        <f>SmtRes!DC190</f>
        <v>0</v>
      </c>
      <c r="R114">
        <f>ROUND(ROUND(Q114*Source!I324, 6)*1, 2)</f>
        <v>0</v>
      </c>
      <c r="S114">
        <f>SmtRes!AC190</f>
        <v>0</v>
      </c>
      <c r="T114">
        <f>ROUND(ROUND(Q114*Source!I324, 6)*SmtRes!AK190, 2)</f>
        <v>0</v>
      </c>
      <c r="U114">
        <f>SmtRes!X190</f>
        <v>-1659956746</v>
      </c>
      <c r="V114">
        <v>-1669729236</v>
      </c>
      <c r="W114">
        <v>391927932</v>
      </c>
    </row>
    <row r="115" spans="1:23">
      <c r="A115">
        <f>Source!A325</f>
        <v>17</v>
      </c>
      <c r="C115">
        <v>3</v>
      </c>
      <c r="D115">
        <v>0</v>
      </c>
      <c r="E115">
        <f>SmtRes!AV196</f>
        <v>0</v>
      </c>
      <c r="F115" t="str">
        <f>SmtRes!I196</f>
        <v>21.1-6-213</v>
      </c>
      <c r="G115" t="str">
        <f>SmtRes!K196</f>
        <v>Грунтовка алкидная однокомпонентная универсальная быстросохнущая антикоррозийная, типа "Риса ХС Штальшуцгрунд"</v>
      </c>
      <c r="H115" t="str">
        <f>SmtRes!O196</f>
        <v>кг</v>
      </c>
      <c r="I115">
        <f>SmtRes!Y196*Source!I325</f>
        <v>50.826000000000001</v>
      </c>
      <c r="J115">
        <f>SmtRes!AO196</f>
        <v>1</v>
      </c>
      <c r="K115">
        <f>SmtRes!AE196</f>
        <v>541.16</v>
      </c>
      <c r="L115">
        <f>SmtRes!DB196</f>
        <v>1163.49</v>
      </c>
      <c r="M115">
        <f>ROUND(ROUND(L115*Source!I325, 6)*1, 2)</f>
        <v>27504.9</v>
      </c>
      <c r="N115">
        <f>SmtRes!AA196</f>
        <v>541.16</v>
      </c>
      <c r="O115">
        <f>ROUND(ROUND(L115*Source!I325, 6)*SmtRes!DA196, 2)</f>
        <v>27504.9</v>
      </c>
      <c r="P115">
        <f>SmtRes!AG196</f>
        <v>0</v>
      </c>
      <c r="Q115">
        <f>SmtRes!DC196</f>
        <v>0</v>
      </c>
      <c r="R115">
        <f>ROUND(ROUND(Q115*Source!I325, 6)*1, 2)</f>
        <v>0</v>
      </c>
      <c r="S115">
        <f>SmtRes!AC196</f>
        <v>0</v>
      </c>
      <c r="T115">
        <f>ROUND(ROUND(Q115*Source!I325, 6)*SmtRes!AK196, 2)</f>
        <v>0</v>
      </c>
      <c r="U115">
        <f>SmtRes!X196</f>
        <v>1567890706</v>
      </c>
      <c r="V115">
        <v>672274760</v>
      </c>
      <c r="W115">
        <v>672274760</v>
      </c>
    </row>
    <row r="116" spans="1:23">
      <c r="A116">
        <f>Source!A325</f>
        <v>17</v>
      </c>
      <c r="C116">
        <v>3</v>
      </c>
      <c r="D116">
        <v>0</v>
      </c>
      <c r="E116">
        <f>SmtRes!AV195</f>
        <v>0</v>
      </c>
      <c r="F116" t="str">
        <f>SmtRes!I195</f>
        <v>21.1-6-112</v>
      </c>
      <c r="G116" t="str">
        <f>SmtRes!K195</f>
        <v>Растворители, марка Р-4</v>
      </c>
      <c r="H116" t="str">
        <f>SmtRes!O195</f>
        <v>т</v>
      </c>
      <c r="I116">
        <f>SmtRes!Y195*Source!I325</f>
        <v>1.0165199999999999E-2</v>
      </c>
      <c r="J116">
        <f>SmtRes!AO195</f>
        <v>1</v>
      </c>
      <c r="K116">
        <f>SmtRes!AE195</f>
        <v>105650.49</v>
      </c>
      <c r="L116">
        <f>SmtRes!DB195</f>
        <v>45.43</v>
      </c>
      <c r="M116">
        <f>ROUND(ROUND(L116*Source!I325, 6)*1, 2)</f>
        <v>1073.97</v>
      </c>
      <c r="N116">
        <f>SmtRes!AA195</f>
        <v>105650.49</v>
      </c>
      <c r="O116">
        <f>ROUND(ROUND(L116*Source!I325, 6)*SmtRes!DA195, 2)</f>
        <v>1073.97</v>
      </c>
      <c r="P116">
        <f>SmtRes!AG195</f>
        <v>0</v>
      </c>
      <c r="Q116">
        <f>SmtRes!DC195</f>
        <v>0</v>
      </c>
      <c r="R116">
        <f>ROUND(ROUND(Q116*Source!I325, 6)*1, 2)</f>
        <v>0</v>
      </c>
      <c r="S116">
        <f>SmtRes!AC195</f>
        <v>0</v>
      </c>
      <c r="T116">
        <f>ROUND(ROUND(Q116*Source!I325, 6)*SmtRes!AK195, 2)</f>
        <v>0</v>
      </c>
      <c r="U116">
        <f>SmtRes!X195</f>
        <v>808887518</v>
      </c>
      <c r="V116">
        <v>990165814</v>
      </c>
      <c r="W116">
        <v>990165814</v>
      </c>
    </row>
    <row r="117" spans="1:23">
      <c r="A117">
        <f>Source!A325</f>
        <v>17</v>
      </c>
      <c r="C117">
        <v>3</v>
      </c>
      <c r="D117">
        <v>0</v>
      </c>
      <c r="E117">
        <f>SmtRes!AV194</f>
        <v>0</v>
      </c>
      <c r="F117" t="str">
        <f>SmtRes!I194</f>
        <v>21.1-25-979</v>
      </c>
      <c r="G117" t="str">
        <f>SmtRes!K194</f>
        <v>Обезжириватель (очиститель) на основе метилэтилкетона</v>
      </c>
      <c r="H117" t="str">
        <f>SmtRes!O194</f>
        <v>кг</v>
      </c>
      <c r="I117">
        <f>SmtRes!Y194*Source!I325</f>
        <v>38.769599999999997</v>
      </c>
      <c r="J117">
        <f>SmtRes!AO194</f>
        <v>1</v>
      </c>
      <c r="K117">
        <f>SmtRes!AE194</f>
        <v>1041.76</v>
      </c>
      <c r="L117">
        <f>SmtRes!DB194</f>
        <v>1708.49</v>
      </c>
      <c r="M117">
        <f>ROUND(ROUND(L117*Source!I325, 6)*1, 2)</f>
        <v>40388.699999999997</v>
      </c>
      <c r="N117">
        <f>SmtRes!AA194</f>
        <v>1041.76</v>
      </c>
      <c r="O117">
        <f>ROUND(ROUND(L117*Source!I325, 6)*SmtRes!DA194, 2)</f>
        <v>40388.699999999997</v>
      </c>
      <c r="P117">
        <f>SmtRes!AG194</f>
        <v>0</v>
      </c>
      <c r="Q117">
        <f>SmtRes!DC194</f>
        <v>0</v>
      </c>
      <c r="R117">
        <f>ROUND(ROUND(Q117*Source!I325, 6)*1, 2)</f>
        <v>0</v>
      </c>
      <c r="S117">
        <f>SmtRes!AC194</f>
        <v>0</v>
      </c>
      <c r="T117">
        <f>ROUND(ROUND(Q117*Source!I325, 6)*SmtRes!AK194, 2)</f>
        <v>0</v>
      </c>
      <c r="U117">
        <f>SmtRes!X194</f>
        <v>-736979721</v>
      </c>
      <c r="V117">
        <v>-1398523621</v>
      </c>
      <c r="W117">
        <v>-1398523621</v>
      </c>
    </row>
    <row r="118" spans="1:23">
      <c r="A118">
        <f>Source!A325</f>
        <v>17</v>
      </c>
      <c r="C118">
        <v>3</v>
      </c>
      <c r="D118">
        <v>0</v>
      </c>
      <c r="E118">
        <f>SmtRes!AV193</f>
        <v>0</v>
      </c>
      <c r="F118" t="str">
        <f>SmtRes!I193</f>
        <v>21.1-25-388</v>
      </c>
      <c r="G118" t="str">
        <f>SmtRes!K193</f>
        <v>Шкурка шлифовальная на бумажной основе</v>
      </c>
      <c r="H118" t="str">
        <f>SmtRes!O193</f>
        <v>м2</v>
      </c>
      <c r="I118">
        <f>SmtRes!Y193*Source!I325</f>
        <v>3.5459999999999998</v>
      </c>
      <c r="J118">
        <f>SmtRes!AO193</f>
        <v>1</v>
      </c>
      <c r="K118">
        <f>SmtRes!AE193</f>
        <v>287.56</v>
      </c>
      <c r="L118">
        <f>SmtRes!DB193</f>
        <v>43.13</v>
      </c>
      <c r="M118">
        <f>ROUND(ROUND(L118*Source!I325, 6)*1, 2)</f>
        <v>1019.59</v>
      </c>
      <c r="N118">
        <f>SmtRes!AA193</f>
        <v>287.56</v>
      </c>
      <c r="O118">
        <f>ROUND(ROUND(L118*Source!I325, 6)*SmtRes!DA193, 2)</f>
        <v>1019.59</v>
      </c>
      <c r="P118">
        <f>SmtRes!AG193</f>
        <v>0</v>
      </c>
      <c r="Q118">
        <f>SmtRes!DC193</f>
        <v>0</v>
      </c>
      <c r="R118">
        <f>ROUND(ROUND(Q118*Source!I325, 6)*1, 2)</f>
        <v>0</v>
      </c>
      <c r="S118">
        <f>SmtRes!AC193</f>
        <v>0</v>
      </c>
      <c r="T118">
        <f>ROUND(ROUND(Q118*Source!I325, 6)*SmtRes!AK193, 2)</f>
        <v>0</v>
      </c>
      <c r="U118">
        <f>SmtRes!X193</f>
        <v>514091095</v>
      </c>
      <c r="V118">
        <v>-1274116995</v>
      </c>
      <c r="W118">
        <v>-1274116995</v>
      </c>
    </row>
    <row r="119" spans="1:23">
      <c r="A119">
        <f>Source!A325</f>
        <v>17</v>
      </c>
      <c r="C119">
        <v>3</v>
      </c>
      <c r="D119">
        <v>0</v>
      </c>
      <c r="E119">
        <f>SmtRes!AV192</f>
        <v>0</v>
      </c>
      <c r="F119" t="str">
        <f>SmtRes!I192</f>
        <v>21.1-20-7</v>
      </c>
      <c r="G119" t="str">
        <f>SmtRes!K192</f>
        <v>Ветошь</v>
      </c>
      <c r="H119" t="str">
        <f>SmtRes!O192</f>
        <v>кг</v>
      </c>
      <c r="I119">
        <f>SmtRes!Y192*Source!I325</f>
        <v>1.1820000000000002</v>
      </c>
      <c r="J119">
        <f>SmtRes!AO192</f>
        <v>1</v>
      </c>
      <c r="K119">
        <f>SmtRes!AE192</f>
        <v>28.41</v>
      </c>
      <c r="L119">
        <f>SmtRes!DB192</f>
        <v>1.42</v>
      </c>
      <c r="M119">
        <f>ROUND(ROUND(L119*Source!I325, 6)*1, 2)</f>
        <v>33.57</v>
      </c>
      <c r="N119">
        <f>SmtRes!AA192</f>
        <v>28.41</v>
      </c>
      <c r="O119">
        <f>ROUND(ROUND(L119*Source!I325, 6)*SmtRes!DA192, 2)</f>
        <v>33.57</v>
      </c>
      <c r="P119">
        <f>SmtRes!AG192</f>
        <v>0</v>
      </c>
      <c r="Q119">
        <f>SmtRes!DC192</f>
        <v>0</v>
      </c>
      <c r="R119">
        <f>ROUND(ROUND(Q119*Source!I325, 6)*1, 2)</f>
        <v>0</v>
      </c>
      <c r="S119">
        <f>SmtRes!AC192</f>
        <v>0</v>
      </c>
      <c r="T119">
        <f>ROUND(ROUND(Q119*Source!I325, 6)*SmtRes!AK192, 2)</f>
        <v>0</v>
      </c>
      <c r="U119">
        <f>SmtRes!X192</f>
        <v>44890498</v>
      </c>
      <c r="V119">
        <v>1909301085</v>
      </c>
      <c r="W119">
        <v>1909301085</v>
      </c>
    </row>
    <row r="120" spans="1:23">
      <c r="A120">
        <f>Source!A326</f>
        <v>17</v>
      </c>
      <c r="C120">
        <v>3</v>
      </c>
      <c r="D120">
        <v>0</v>
      </c>
      <c r="E120">
        <f>SmtRes!AV199</f>
        <v>0</v>
      </c>
      <c r="F120" t="str">
        <f>SmtRes!I199</f>
        <v>21.1-6-68</v>
      </c>
      <c r="G120" t="str">
        <f>SmtRes!K199</f>
        <v>Лак битумный, марка БТ-577</v>
      </c>
      <c r="H120" t="str">
        <f>SmtRes!O199</f>
        <v>т</v>
      </c>
      <c r="I120">
        <f>SmtRes!Y199*Source!I326</f>
        <v>0.13474800000000001</v>
      </c>
      <c r="J120">
        <f>SmtRes!AO199</f>
        <v>1</v>
      </c>
      <c r="K120">
        <f>SmtRes!AE199</f>
        <v>55330.52</v>
      </c>
      <c r="L120">
        <f>SmtRes!DB199</f>
        <v>3153.84</v>
      </c>
      <c r="M120">
        <f>ROUND(ROUND(L120*Source!I326, 6)*1, 2)</f>
        <v>7455.68</v>
      </c>
      <c r="N120">
        <f>SmtRes!AA199</f>
        <v>55330.52</v>
      </c>
      <c r="O120">
        <f>ROUND(ROUND(L120*Source!I326, 6)*SmtRes!DA199, 2)</f>
        <v>7455.68</v>
      </c>
      <c r="P120">
        <f>SmtRes!AG199</f>
        <v>0</v>
      </c>
      <c r="Q120">
        <f>SmtRes!DC199</f>
        <v>0</v>
      </c>
      <c r="R120">
        <f>ROUND(ROUND(Q120*Source!I326, 6)*1, 2)</f>
        <v>0</v>
      </c>
      <c r="S120">
        <f>SmtRes!AC199</f>
        <v>0</v>
      </c>
      <c r="T120">
        <f>ROUND(ROUND(Q120*Source!I326, 6)*SmtRes!AK199, 2)</f>
        <v>0</v>
      </c>
      <c r="U120">
        <f>SmtRes!X199</f>
        <v>865887057</v>
      </c>
      <c r="V120">
        <v>1031682085</v>
      </c>
      <c r="W120">
        <v>1031682085</v>
      </c>
    </row>
    <row r="121" spans="1:23">
      <c r="A121">
        <f>Source!A326</f>
        <v>17</v>
      </c>
      <c r="C121">
        <v>3</v>
      </c>
      <c r="D121">
        <v>0</v>
      </c>
      <c r="E121">
        <f>SmtRes!AV198</f>
        <v>0</v>
      </c>
      <c r="F121" t="str">
        <f>SmtRes!I198</f>
        <v>21.1-15-63</v>
      </c>
      <c r="G121" t="str">
        <f>SmtRes!K198</f>
        <v>Пудра пигментная алюминиевая, марка ПП-2</v>
      </c>
      <c r="H121" t="str">
        <f>SmtRes!O198</f>
        <v>т</v>
      </c>
      <c r="I121">
        <f>SmtRes!Y198*Source!I326</f>
        <v>2.3592719999999998E-2</v>
      </c>
      <c r="J121">
        <f>SmtRes!AO198</f>
        <v>1</v>
      </c>
      <c r="K121">
        <f>SmtRes!AE198</f>
        <v>382060</v>
      </c>
      <c r="L121">
        <f>SmtRes!DB198</f>
        <v>3812.96</v>
      </c>
      <c r="M121">
        <f>ROUND(ROUND(L121*Source!I326, 6)*1, 2)</f>
        <v>9013.84</v>
      </c>
      <c r="N121">
        <f>SmtRes!AA198</f>
        <v>382060</v>
      </c>
      <c r="O121">
        <f>ROUND(ROUND(L121*Source!I326, 6)*SmtRes!DA198, 2)</f>
        <v>9013.84</v>
      </c>
      <c r="P121">
        <f>SmtRes!AG198</f>
        <v>0</v>
      </c>
      <c r="Q121">
        <f>SmtRes!DC198</f>
        <v>0</v>
      </c>
      <c r="R121">
        <f>ROUND(ROUND(Q121*Source!I326, 6)*1, 2)</f>
        <v>0</v>
      </c>
      <c r="S121">
        <f>SmtRes!AC198</f>
        <v>0</v>
      </c>
      <c r="T121">
        <f>ROUND(ROUND(Q121*Source!I326, 6)*SmtRes!AK198, 2)</f>
        <v>0</v>
      </c>
      <c r="U121">
        <f>SmtRes!X198</f>
        <v>-1115539767</v>
      </c>
      <c r="V121">
        <v>-569161976</v>
      </c>
      <c r="W121">
        <v>-569161976</v>
      </c>
    </row>
    <row r="122" spans="1:23">
      <c r="A122">
        <f>Source!A327</f>
        <v>17</v>
      </c>
      <c r="C122">
        <v>3</v>
      </c>
      <c r="D122">
        <v>0</v>
      </c>
      <c r="E122">
        <f>SmtRes!AV205</f>
        <v>0</v>
      </c>
      <c r="F122" t="str">
        <f>SmtRes!I205</f>
        <v>21.1-6-200</v>
      </c>
      <c r="G122" t="str">
        <f>SmtRes!K205</f>
        <v>Краска дорожная (эмаль) белая, марка "АК-505"</v>
      </c>
      <c r="H122" t="str">
        <f>SmtRes!O205</f>
        <v>т</v>
      </c>
      <c r="I122">
        <f>SmtRes!Y205*Source!I327</f>
        <v>1.3139500000000002E-2</v>
      </c>
      <c r="J122">
        <f>SmtRes!AO205</f>
        <v>1</v>
      </c>
      <c r="K122">
        <f>SmtRes!AE205</f>
        <v>80596.63</v>
      </c>
      <c r="L122">
        <f>SmtRes!DB205</f>
        <v>44.33</v>
      </c>
      <c r="M122">
        <f>ROUND(ROUND(L122*Source!I327, 6)*1, 2)</f>
        <v>1059.04</v>
      </c>
      <c r="N122">
        <f>SmtRes!AA205</f>
        <v>80596.63</v>
      </c>
      <c r="O122">
        <f>ROUND(ROUND(L122*Source!I327, 6)*SmtRes!DA205, 2)</f>
        <v>1059.04</v>
      </c>
      <c r="P122">
        <f>SmtRes!AG205</f>
        <v>0</v>
      </c>
      <c r="Q122">
        <f>SmtRes!DC205</f>
        <v>0</v>
      </c>
      <c r="R122">
        <f>ROUND(ROUND(Q122*Source!I327, 6)*1, 2)</f>
        <v>0</v>
      </c>
      <c r="S122">
        <f>SmtRes!AC205</f>
        <v>0</v>
      </c>
      <c r="T122">
        <f>ROUND(ROUND(Q122*Source!I327, 6)*SmtRes!AK205, 2)</f>
        <v>0</v>
      </c>
      <c r="U122">
        <f>SmtRes!X205</f>
        <v>-235210764</v>
      </c>
      <c r="V122">
        <v>1434468608</v>
      </c>
      <c r="W122">
        <v>1434468608</v>
      </c>
    </row>
    <row r="123" spans="1:23">
      <c r="A123">
        <f>Source!A327</f>
        <v>17</v>
      </c>
      <c r="C123">
        <v>3</v>
      </c>
      <c r="D123">
        <v>0</v>
      </c>
      <c r="E123">
        <f>SmtRes!AV204</f>
        <v>0</v>
      </c>
      <c r="F123" t="str">
        <f>SmtRes!I204</f>
        <v>21.1-10-167</v>
      </c>
      <c r="G123" t="str">
        <f>SmtRes!K204</f>
        <v>Сталь листовая, оцинкованная, толщина 0,7-0,8 мм</v>
      </c>
      <c r="H123" t="str">
        <f>SmtRes!O204</f>
        <v>т</v>
      </c>
      <c r="I123">
        <f>SmtRes!Y204*Source!I327</f>
        <v>8.3615000000000009E-3</v>
      </c>
      <c r="J123">
        <f>SmtRes!AO204</f>
        <v>1</v>
      </c>
      <c r="K123">
        <f>SmtRes!AE204</f>
        <v>53313.54</v>
      </c>
      <c r="L123">
        <f>SmtRes!DB204</f>
        <v>18.66</v>
      </c>
      <c r="M123">
        <f>ROUND(ROUND(L123*Source!I327, 6)*1, 2)</f>
        <v>445.79</v>
      </c>
      <c r="N123">
        <f>SmtRes!AA204</f>
        <v>53313.54</v>
      </c>
      <c r="O123">
        <f>ROUND(ROUND(L123*Source!I327, 6)*SmtRes!DA204, 2)</f>
        <v>445.79</v>
      </c>
      <c r="P123">
        <f>SmtRes!AG204</f>
        <v>0</v>
      </c>
      <c r="Q123">
        <f>SmtRes!DC204</f>
        <v>0</v>
      </c>
      <c r="R123">
        <f>ROUND(ROUND(Q123*Source!I327, 6)*1, 2)</f>
        <v>0</v>
      </c>
      <c r="S123">
        <f>SmtRes!AC204</f>
        <v>0</v>
      </c>
      <c r="T123">
        <f>ROUND(ROUND(Q123*Source!I327, 6)*SmtRes!AK204, 2)</f>
        <v>0</v>
      </c>
      <c r="U123">
        <f>SmtRes!X204</f>
        <v>1130308456</v>
      </c>
      <c r="V123">
        <v>-1954327797</v>
      </c>
      <c r="W123">
        <v>-1954327797</v>
      </c>
    </row>
    <row r="124" spans="1:23">
      <c r="A124">
        <v>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113"/>
  <sheetViews>
    <sheetView workbookViewId="0">
      <selection activeCell="D123" sqref="D123"/>
    </sheetView>
  </sheetViews>
  <sheetFormatPr defaultRowHeight="12.75"/>
  <cols>
    <col min="1" max="1" width="15" style="57" customWidth="1"/>
    <col min="2" max="2" width="47" style="57" customWidth="1"/>
    <col min="3" max="6" width="12.7109375" style="67" customWidth="1"/>
    <col min="7" max="7" width="9.140625" style="67"/>
    <col min="8" max="14" width="9.140625" style="57"/>
    <col min="15" max="15" width="103.7109375" style="57" hidden="1" customWidth="1"/>
    <col min="16" max="18" width="0" style="57" hidden="1" customWidth="1"/>
    <col min="19" max="16384" width="9.140625" style="57"/>
  </cols>
  <sheetData>
    <row r="2" spans="1:17">
      <c r="A2" s="120" t="s">
        <v>668</v>
      </c>
      <c r="B2" s="121"/>
      <c r="C2" s="121"/>
      <c r="D2" s="121"/>
      <c r="E2" s="121"/>
      <c r="F2" s="121"/>
    </row>
    <row r="3" spans="1:17" ht="47.25" customHeight="1">
      <c r="A3" s="120" t="str">
        <f>Source!G20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  <c r="B3" s="121"/>
      <c r="C3" s="121"/>
      <c r="D3" s="121"/>
      <c r="E3" s="121"/>
      <c r="F3" s="121"/>
    </row>
    <row r="4" spans="1:17">
      <c r="A4" s="104" t="s">
        <v>669</v>
      </c>
      <c r="B4" s="104" t="s">
        <v>670</v>
      </c>
      <c r="C4" s="104" t="s">
        <v>566</v>
      </c>
      <c r="D4" s="104" t="s">
        <v>671</v>
      </c>
      <c r="E4" s="106" t="s">
        <v>672</v>
      </c>
      <c r="F4" s="108"/>
    </row>
    <row r="5" spans="1:17">
      <c r="A5" s="122"/>
      <c r="B5" s="122"/>
      <c r="C5" s="122"/>
      <c r="D5" s="122"/>
      <c r="E5" s="123"/>
      <c r="F5" s="124"/>
    </row>
    <row r="6" spans="1:17">
      <c r="A6" s="105"/>
      <c r="B6" s="105"/>
      <c r="C6" s="105"/>
      <c r="D6" s="105"/>
      <c r="E6" s="59" t="s">
        <v>673</v>
      </c>
      <c r="F6" s="59" t="s">
        <v>674</v>
      </c>
    </row>
    <row r="7" spans="1:17">
      <c r="A7" s="59">
        <v>1</v>
      </c>
      <c r="B7" s="59">
        <v>2</v>
      </c>
      <c r="C7" s="59">
        <v>3</v>
      </c>
      <c r="D7" s="59">
        <v>4</v>
      </c>
      <c r="E7" s="59">
        <v>5</v>
      </c>
      <c r="F7" s="59">
        <v>6</v>
      </c>
    </row>
    <row r="8" spans="1:17" hidden="1">
      <c r="A8" s="120" t="str">
        <f>CONCATENATE("Раздел: ",IF(Source!G26&lt;&gt;"Новый раздел", Source!G26, ""))</f>
        <v>Раздел: Устройство цветника - 75м2</v>
      </c>
      <c r="B8" s="121"/>
      <c r="C8" s="121"/>
      <c r="D8" s="121"/>
      <c r="E8" s="121"/>
      <c r="F8" s="121"/>
    </row>
    <row r="9" spans="1:17">
      <c r="A9" s="125" t="s">
        <v>675</v>
      </c>
      <c r="B9" s="126"/>
      <c r="C9" s="126"/>
      <c r="D9" s="126"/>
      <c r="E9" s="126"/>
      <c r="F9" s="126"/>
    </row>
    <row r="10" spans="1:17">
      <c r="A10" s="74" t="s">
        <v>350</v>
      </c>
      <c r="B10" s="65" t="s">
        <v>352</v>
      </c>
      <c r="C10" s="71" t="s">
        <v>353</v>
      </c>
      <c r="D10" s="71">
        <f>ROUND(SUMIF(RV_DATA!W8:'RV_DATA'!W17, 749401340, RV_DATA!I8:'RV_DATA'!I17), 6)</f>
        <v>0.37857099999999999</v>
      </c>
      <c r="E10" s="75">
        <f>ROUND(RV_DATA!N13, 6)</f>
        <v>171.21</v>
      </c>
      <c r="F10" s="75">
        <f>ROUND(SUMIF(RV_DATA!W8:'RV_DATA'!W17, 749401340, RV_DATA!O8:'RV_DATA'!O17), 6)</f>
        <v>64.819999999999993</v>
      </c>
      <c r="Q10" s="57">
        <v>3</v>
      </c>
    </row>
    <row r="11" spans="1:17">
      <c r="A11" s="74" t="s">
        <v>354</v>
      </c>
      <c r="B11" s="65" t="s">
        <v>356</v>
      </c>
      <c r="C11" s="71" t="s">
        <v>349</v>
      </c>
      <c r="D11" s="71">
        <f>ROUND(SUMIF(RV_DATA!W8:'RV_DATA'!W17, -1829664509, RV_DATA!I8:'RV_DATA'!I17), 6)</f>
        <v>22.5</v>
      </c>
      <c r="E11" s="75">
        <f>ROUND(RV_DATA!N12, 6)</f>
        <v>35.25</v>
      </c>
      <c r="F11" s="75">
        <f>ROUND(SUMIF(RV_DATA!W8:'RV_DATA'!W17, -1829664509, RV_DATA!O8:'RV_DATA'!O17), 6)</f>
        <v>793.13</v>
      </c>
      <c r="Q11" s="57">
        <v>3</v>
      </c>
    </row>
    <row r="12" spans="1:17" ht="25.5">
      <c r="A12" s="74" t="s">
        <v>357</v>
      </c>
      <c r="B12" s="65" t="s">
        <v>359</v>
      </c>
      <c r="C12" s="71" t="s">
        <v>349</v>
      </c>
      <c r="D12" s="71">
        <f>ROUND(SUMIF(RV_DATA!W8:'RV_DATA'!W17, 1167723416, RV_DATA!I8:'RV_DATA'!I17), 6)</f>
        <v>3.7859999999999999E-3</v>
      </c>
      <c r="E12" s="75">
        <f>ROUND(RV_DATA!N11, 6)</f>
        <v>7098.7</v>
      </c>
      <c r="F12" s="75">
        <f>ROUND(SUMIF(RV_DATA!W8:'RV_DATA'!W17, 1167723416, RV_DATA!O8:'RV_DATA'!O17), 6)</f>
        <v>26.87</v>
      </c>
      <c r="Q12" s="57">
        <v>3</v>
      </c>
    </row>
    <row r="13" spans="1:17" ht="25.5">
      <c r="A13" s="74" t="s">
        <v>53</v>
      </c>
      <c r="B13" s="65" t="s">
        <v>54</v>
      </c>
      <c r="C13" s="71" t="s">
        <v>51</v>
      </c>
      <c r="D13" s="71">
        <f>ROUND(SUMIF(RV_DATA!W8:'RV_DATA'!W17, -1883756741, RV_DATA!I8:'RV_DATA'!I17), 6)</f>
        <v>315</v>
      </c>
      <c r="E13" s="75">
        <f>ROUND(RV_DATA!N14, 6)</f>
        <v>189</v>
      </c>
      <c r="F13" s="75">
        <f>ROUND(SUMIF(RV_DATA!W8:'RV_DATA'!W17, -1883756741, RV_DATA!O8:'RV_DATA'!O17), 6)</f>
        <v>59535</v>
      </c>
      <c r="Q13" s="57">
        <v>3</v>
      </c>
    </row>
    <row r="14" spans="1:17">
      <c r="A14" s="74" t="s">
        <v>346</v>
      </c>
      <c r="B14" s="65" t="s">
        <v>348</v>
      </c>
      <c r="C14" s="71" t="s">
        <v>349</v>
      </c>
      <c r="D14" s="71">
        <f>ROUND(SUMIF(RV_DATA!W8:'RV_DATA'!W17, 1365262818, RV_DATA!I8:'RV_DATA'!I17), 6)</f>
        <v>22.5</v>
      </c>
      <c r="E14" s="75">
        <f>ROUND(RV_DATA!N8, 6)</f>
        <v>753.67</v>
      </c>
      <c r="F14" s="75">
        <f>ROUND(SUMIF(RV_DATA!W8:'RV_DATA'!W17, 1365262818, RV_DATA!O8:'RV_DATA'!O17), 6)</f>
        <v>16957.580000000002</v>
      </c>
      <c r="Q14" s="57">
        <v>3</v>
      </c>
    </row>
    <row r="15" spans="1:17">
      <c r="A15" s="74" t="s">
        <v>360</v>
      </c>
      <c r="B15" s="65" t="s">
        <v>362</v>
      </c>
      <c r="C15" s="71" t="s">
        <v>349</v>
      </c>
      <c r="D15" s="71">
        <f>ROUND(SUMIF(RV_DATA!W8:'RV_DATA'!W17, -1661362736, RV_DATA!I8:'RV_DATA'!I17), 6)</f>
        <v>1.5</v>
      </c>
      <c r="E15" s="75">
        <f>ROUND(RV_DATA!N10, 6)</f>
        <v>1105</v>
      </c>
      <c r="F15" s="75">
        <f>ROUND(SUMIF(RV_DATA!W8:'RV_DATA'!W17, -1661362736, RV_DATA!O8:'RV_DATA'!O17), 6)</f>
        <v>1657.5</v>
      </c>
      <c r="Q15" s="57">
        <v>3</v>
      </c>
    </row>
    <row r="16" spans="1:17" ht="25.5">
      <c r="A16" s="74" t="s">
        <v>57</v>
      </c>
      <c r="B16" s="65" t="s">
        <v>58</v>
      </c>
      <c r="C16" s="71" t="s">
        <v>51</v>
      </c>
      <c r="D16" s="71">
        <f>ROUND(SUMIF(RV_DATA!W8:'RV_DATA'!W17, 1878437229, RV_DATA!I8:'RV_DATA'!I17), 6)</f>
        <v>480</v>
      </c>
      <c r="E16" s="75">
        <f>ROUND(RV_DATA!N15, 6)</f>
        <v>124.17</v>
      </c>
      <c r="F16" s="75">
        <f>ROUND(SUMIF(RV_DATA!W8:'RV_DATA'!W17, 1878437229, RV_DATA!O8:'RV_DATA'!O17), 6)</f>
        <v>59601.599999999999</v>
      </c>
      <c r="Q16" s="57">
        <v>3</v>
      </c>
    </row>
    <row r="17" spans="1:17" hidden="1">
      <c r="A17" s="127" t="s">
        <v>676</v>
      </c>
      <c r="B17" s="127"/>
      <c r="C17" s="127"/>
      <c r="D17" s="127"/>
      <c r="E17" s="128">
        <f>SUMIF(Q10:Q16, 3, F10:F16)</f>
        <v>138636.5</v>
      </c>
      <c r="F17" s="129"/>
    </row>
    <row r="18" spans="1:17" hidden="1">
      <c r="A18" s="120" t="str">
        <f>CONCATENATE("Раздел: ",IF(Source!G75&lt;&gt;"Новый раздел", Source!G75, ""))</f>
        <v>Раздел: Посадка кустарников - 229шт.</v>
      </c>
      <c r="B18" s="121"/>
      <c r="C18" s="121"/>
      <c r="D18" s="121"/>
      <c r="E18" s="121"/>
      <c r="F18" s="121"/>
    </row>
    <row r="19" spans="1:17" hidden="1">
      <c r="A19" s="125" t="s">
        <v>675</v>
      </c>
      <c r="B19" s="126"/>
      <c r="C19" s="126"/>
      <c r="D19" s="126"/>
      <c r="E19" s="126"/>
      <c r="F19" s="126"/>
    </row>
    <row r="20" spans="1:17">
      <c r="A20" s="74" t="s">
        <v>354</v>
      </c>
      <c r="B20" s="65" t="s">
        <v>356</v>
      </c>
      <c r="C20" s="71" t="s">
        <v>349</v>
      </c>
      <c r="D20" s="71">
        <f>ROUND(SUMIF(RV_DATA!W19:'RV_DATA'!W30, -1829664509, RV_DATA!I19:'RV_DATA'!I30), 6)</f>
        <v>24.503</v>
      </c>
      <c r="E20" s="75">
        <f>ROUND(RV_DATA!N23, 6)</f>
        <v>35.25</v>
      </c>
      <c r="F20" s="75">
        <f>ROUND(SUMIF(RV_DATA!W19:'RV_DATA'!W30, -1829664509, RV_DATA!O19:'RV_DATA'!O30), 6)</f>
        <v>863.79</v>
      </c>
      <c r="Q20" s="57">
        <v>3</v>
      </c>
    </row>
    <row r="21" spans="1:17" ht="38.25">
      <c r="A21" s="74" t="s">
        <v>143</v>
      </c>
      <c r="B21" s="65" t="s">
        <v>144</v>
      </c>
      <c r="C21" s="71" t="s">
        <v>51</v>
      </c>
      <c r="D21" s="71">
        <f>ROUND(SUMIF(RV_DATA!W19:'RV_DATA'!W30, 1346715213, RV_DATA!I19:'RV_DATA'!I30), 6)</f>
        <v>20</v>
      </c>
      <c r="E21" s="75">
        <f>ROUND(RV_DATA!N24, 6)</f>
        <v>1409.36</v>
      </c>
      <c r="F21" s="75">
        <f>ROUND(SUMIF(RV_DATA!W19:'RV_DATA'!W30, 1346715213, RV_DATA!O19:'RV_DATA'!O30), 6)</f>
        <v>28187.200000000001</v>
      </c>
      <c r="Q21" s="57">
        <v>3</v>
      </c>
    </row>
    <row r="22" spans="1:17">
      <c r="A22" s="74" t="s">
        <v>369</v>
      </c>
      <c r="B22" s="65" t="s">
        <v>371</v>
      </c>
      <c r="C22" s="71" t="s">
        <v>349</v>
      </c>
      <c r="D22" s="71">
        <f>ROUND(SUMIF(RV_DATA!W19:'RV_DATA'!W30, -1744796367, RV_DATA!I19:'RV_DATA'!I30), 6)</f>
        <v>16.03</v>
      </c>
      <c r="E22" s="75">
        <f>ROUND(RV_DATA!N20, 6)</f>
        <v>810.33</v>
      </c>
      <c r="F22" s="75">
        <f>ROUND(SUMIF(RV_DATA!W19:'RV_DATA'!W30, -1744796367, RV_DATA!O19:'RV_DATA'!O30), 6)</f>
        <v>12989.57</v>
      </c>
      <c r="Q22" s="57">
        <v>3</v>
      </c>
    </row>
    <row r="23" spans="1:17">
      <c r="A23" s="74" t="s">
        <v>346</v>
      </c>
      <c r="B23" s="65" t="s">
        <v>348</v>
      </c>
      <c r="C23" s="71" t="s">
        <v>349</v>
      </c>
      <c r="D23" s="71">
        <f>ROUND(SUMIF(RV_DATA!W19:'RV_DATA'!W30, -353567041, RV_DATA!I19:'RV_DATA'!I30), 6)</f>
        <v>45.8</v>
      </c>
      <c r="E23" s="75">
        <f>ROUND(RV_DATA!N19, 6)</f>
        <v>753.67</v>
      </c>
      <c r="F23" s="75">
        <f>ROUND(SUMIF(RV_DATA!W19:'RV_DATA'!W30, -353567041, RV_DATA!O19:'RV_DATA'!O30), 6)</f>
        <v>34518.080000000002</v>
      </c>
      <c r="Q23" s="57">
        <v>3</v>
      </c>
    </row>
    <row r="24" spans="1:17" ht="25.5">
      <c r="A24" s="74" t="s">
        <v>57</v>
      </c>
      <c r="B24" s="65" t="s">
        <v>147</v>
      </c>
      <c r="C24" s="71" t="s">
        <v>51</v>
      </c>
      <c r="D24" s="71">
        <f>ROUND(SUMIF(RV_DATA!W19:'RV_DATA'!W30, 1266716116, RV_DATA!I19:'RV_DATA'!I30), 6)</f>
        <v>2</v>
      </c>
      <c r="E24" s="75">
        <f>ROUND(RV_DATA!N25, 6)</f>
        <v>875</v>
      </c>
      <c r="F24" s="75">
        <f>ROUND(SUMIF(RV_DATA!W19:'RV_DATA'!W30, 1266716116, RV_DATA!O19:'RV_DATA'!O30), 6)</f>
        <v>1750</v>
      </c>
      <c r="Q24" s="57">
        <v>3</v>
      </c>
    </row>
    <row r="25" spans="1:17" ht="25.5">
      <c r="A25" s="74" t="s">
        <v>57</v>
      </c>
      <c r="B25" s="65" t="s">
        <v>149</v>
      </c>
      <c r="C25" s="71" t="s">
        <v>51</v>
      </c>
      <c r="D25" s="71">
        <f>ROUND(SUMIF(RV_DATA!W19:'RV_DATA'!W30, -208931047, RV_DATA!I19:'RV_DATA'!I30), 6)</f>
        <v>180</v>
      </c>
      <c r="E25" s="75">
        <f>ROUND(RV_DATA!N26, 6)</f>
        <v>758.33</v>
      </c>
      <c r="F25" s="75">
        <f>ROUND(SUMIF(RV_DATA!W19:'RV_DATA'!W30, -208931047, RV_DATA!O19:'RV_DATA'!O30), 6)</f>
        <v>136499.4</v>
      </c>
      <c r="Q25" s="57">
        <v>3</v>
      </c>
    </row>
    <row r="26" spans="1:17" ht="25.5">
      <c r="A26" s="74" t="s">
        <v>57</v>
      </c>
      <c r="B26" s="65" t="s">
        <v>151</v>
      </c>
      <c r="C26" s="71" t="s">
        <v>51</v>
      </c>
      <c r="D26" s="71">
        <f>ROUND(SUMIF(RV_DATA!W19:'RV_DATA'!W30, -103219764, RV_DATA!I19:'RV_DATA'!I30), 6)</f>
        <v>22</v>
      </c>
      <c r="E26" s="75">
        <f>ROUND(RV_DATA!N27, 6)</f>
        <v>741.67</v>
      </c>
      <c r="F26" s="75">
        <f>ROUND(SUMIF(RV_DATA!W19:'RV_DATA'!W30, -103219764, RV_DATA!O19:'RV_DATA'!O30), 6)</f>
        <v>16316.74</v>
      </c>
      <c r="Q26" s="57">
        <v>3</v>
      </c>
    </row>
    <row r="27" spans="1:17" ht="38.25">
      <c r="A27" s="74" t="s">
        <v>57</v>
      </c>
      <c r="B27" s="65" t="s">
        <v>153</v>
      </c>
      <c r="C27" s="71" t="s">
        <v>51</v>
      </c>
      <c r="D27" s="71">
        <f>ROUND(SUMIF(RV_DATA!W19:'RV_DATA'!W30, 558818844, RV_DATA!I19:'RV_DATA'!I30), 6)</f>
        <v>2</v>
      </c>
      <c r="E27" s="75">
        <f>ROUND(RV_DATA!N28, 6)</f>
        <v>1358.33</v>
      </c>
      <c r="F27" s="75">
        <f>ROUND(SUMIF(RV_DATA!W19:'RV_DATA'!W30, 558818844, RV_DATA!O19:'RV_DATA'!O30), 6)</f>
        <v>2716.66</v>
      </c>
      <c r="Q27" s="57">
        <v>3</v>
      </c>
    </row>
    <row r="28" spans="1:17" ht="38.25">
      <c r="A28" s="74" t="s">
        <v>57</v>
      </c>
      <c r="B28" s="65" t="s">
        <v>155</v>
      </c>
      <c r="C28" s="71" t="s">
        <v>51</v>
      </c>
      <c r="D28" s="71">
        <f>ROUND(SUMIF(RV_DATA!W19:'RV_DATA'!W30, -855871955, RV_DATA!I19:'RV_DATA'!I30), 6)</f>
        <v>2</v>
      </c>
      <c r="E28" s="75">
        <f>ROUND(RV_DATA!N29, 6)</f>
        <v>1433.33</v>
      </c>
      <c r="F28" s="75">
        <f>ROUND(SUMIF(RV_DATA!W19:'RV_DATA'!W30, -855871955, RV_DATA!O19:'RV_DATA'!O30), 6)</f>
        <v>2866.66</v>
      </c>
      <c r="Q28" s="57">
        <v>3</v>
      </c>
    </row>
    <row r="29" spans="1:17" ht="38.25">
      <c r="A29" s="74" t="s">
        <v>57</v>
      </c>
      <c r="B29" s="65" t="s">
        <v>157</v>
      </c>
      <c r="C29" s="71" t="s">
        <v>51</v>
      </c>
      <c r="D29" s="71">
        <f>ROUND(SUMIF(RV_DATA!W19:'RV_DATA'!W30, -1021793901, RV_DATA!I19:'RV_DATA'!I30), 6)</f>
        <v>1</v>
      </c>
      <c r="E29" s="75">
        <f>ROUND(RV_DATA!N30, 6)</f>
        <v>1316.67</v>
      </c>
      <c r="F29" s="75">
        <f>ROUND(SUMIF(RV_DATA!W19:'RV_DATA'!W30, -1021793901, RV_DATA!O19:'RV_DATA'!O30), 6)</f>
        <v>1316.67</v>
      </c>
      <c r="Q29" s="57">
        <v>3</v>
      </c>
    </row>
    <row r="30" spans="1:17" hidden="1">
      <c r="A30" s="127" t="s">
        <v>676</v>
      </c>
      <c r="B30" s="127"/>
      <c r="C30" s="127"/>
      <c r="D30" s="127"/>
      <c r="E30" s="128">
        <f>SUMIF(Q20:Q29, 3, F20:F29)</f>
        <v>238024.77</v>
      </c>
      <c r="F30" s="129"/>
    </row>
    <row r="31" spans="1:17" hidden="1">
      <c r="A31" s="120" t="str">
        <f>CONCATENATE("Раздел: ",IF(Source!G124&lt;&gt;"Новый раздел", Source!G124, ""))</f>
        <v>Раздел: Посадка деревьев лиственных - 4шт.</v>
      </c>
      <c r="B31" s="121"/>
      <c r="C31" s="121"/>
      <c r="D31" s="121"/>
      <c r="E31" s="121"/>
      <c r="F31" s="121"/>
    </row>
    <row r="32" spans="1:17" hidden="1">
      <c r="A32" s="125" t="s">
        <v>675</v>
      </c>
      <c r="B32" s="126"/>
      <c r="C32" s="126"/>
      <c r="D32" s="126"/>
      <c r="E32" s="126"/>
      <c r="F32" s="126"/>
    </row>
    <row r="33" spans="1:17">
      <c r="A33" s="74" t="s">
        <v>380</v>
      </c>
      <c r="B33" s="65" t="s">
        <v>382</v>
      </c>
      <c r="C33" s="71" t="s">
        <v>302</v>
      </c>
      <c r="D33" s="71">
        <f>ROUND(SUMIF(RV_DATA!W32:'RV_DATA'!W40, -1336012766, RV_DATA!I32:'RV_DATA'!I40), 6)</f>
        <v>0.6</v>
      </c>
      <c r="E33" s="75">
        <f>ROUND(RV_DATA!N39, 6)</f>
        <v>91.89</v>
      </c>
      <c r="F33" s="75">
        <f>ROUND(SUMIF(RV_DATA!W32:'RV_DATA'!W40, -1336012766, RV_DATA!O32:'RV_DATA'!O40), 6)</f>
        <v>55.14</v>
      </c>
      <c r="Q33" s="57">
        <v>3</v>
      </c>
    </row>
    <row r="34" spans="1:17">
      <c r="A34" s="74" t="s">
        <v>350</v>
      </c>
      <c r="B34" s="65" t="s">
        <v>352</v>
      </c>
      <c r="C34" s="71" t="s">
        <v>353</v>
      </c>
      <c r="D34" s="71">
        <f>ROUND(SUMIF(RV_DATA!W32:'RV_DATA'!W40, 749401340, RV_DATA!I32:'RV_DATA'!I40), 6)</f>
        <v>0.12</v>
      </c>
      <c r="E34" s="75">
        <f>ROUND(RV_DATA!N38, 6)</f>
        <v>171.21</v>
      </c>
      <c r="F34" s="75">
        <f>ROUND(SUMIF(RV_DATA!W32:'RV_DATA'!W40, 749401340, RV_DATA!O32:'RV_DATA'!O40), 6)</f>
        <v>20.54</v>
      </c>
      <c r="Q34" s="57">
        <v>3</v>
      </c>
    </row>
    <row r="35" spans="1:17">
      <c r="A35" s="74" t="s">
        <v>354</v>
      </c>
      <c r="B35" s="65" t="s">
        <v>356</v>
      </c>
      <c r="C35" s="71" t="s">
        <v>349</v>
      </c>
      <c r="D35" s="71">
        <f>ROUND(SUMIF(RV_DATA!W32:'RV_DATA'!W40, -1829664509, RV_DATA!I32:'RV_DATA'!I40), 6)</f>
        <v>1.04</v>
      </c>
      <c r="E35" s="75">
        <f>ROUND(RV_DATA!N37, 6)</f>
        <v>35.25</v>
      </c>
      <c r="F35" s="75">
        <f>ROUND(SUMIF(RV_DATA!W32:'RV_DATA'!W40, -1829664509, RV_DATA!O32:'RV_DATA'!O40), 6)</f>
        <v>36.659999999999997</v>
      </c>
      <c r="Q35" s="57">
        <v>3</v>
      </c>
    </row>
    <row r="36" spans="1:17">
      <c r="A36" s="74" t="s">
        <v>369</v>
      </c>
      <c r="B36" s="65" t="s">
        <v>371</v>
      </c>
      <c r="C36" s="71" t="s">
        <v>349</v>
      </c>
      <c r="D36" s="71">
        <f>ROUND(SUMIF(RV_DATA!W32:'RV_DATA'!W40, -1744796367, RV_DATA!I32:'RV_DATA'!I40), 6)</f>
        <v>0.84</v>
      </c>
      <c r="E36" s="75">
        <f>ROUND(RV_DATA!N33, 6)</f>
        <v>810.33</v>
      </c>
      <c r="F36" s="75">
        <f>ROUND(SUMIF(RV_DATA!W32:'RV_DATA'!W40, -1744796367, RV_DATA!O32:'RV_DATA'!O40), 6)</f>
        <v>680.68</v>
      </c>
      <c r="Q36" s="57">
        <v>3</v>
      </c>
    </row>
    <row r="37" spans="1:17">
      <c r="A37" s="74" t="s">
        <v>346</v>
      </c>
      <c r="B37" s="65" t="s">
        <v>348</v>
      </c>
      <c r="C37" s="71" t="s">
        <v>349</v>
      </c>
      <c r="D37" s="71">
        <f>ROUND(SUMIF(RV_DATA!W32:'RV_DATA'!W40, -353567041, RV_DATA!I32:'RV_DATA'!I40), 6)</f>
        <v>2.48</v>
      </c>
      <c r="E37" s="75">
        <f>ROUND(RV_DATA!N32, 6)</f>
        <v>753.67</v>
      </c>
      <c r="F37" s="75">
        <f>ROUND(SUMIF(RV_DATA!W32:'RV_DATA'!W40, -353567041, RV_DATA!O32:'RV_DATA'!O40), 6)</f>
        <v>1869.1</v>
      </c>
      <c r="Q37" s="57">
        <v>3</v>
      </c>
    </row>
    <row r="38" spans="1:17">
      <c r="A38" s="74" t="s">
        <v>383</v>
      </c>
      <c r="B38" s="65" t="s">
        <v>385</v>
      </c>
      <c r="C38" s="71" t="s">
        <v>349</v>
      </c>
      <c r="D38" s="71">
        <f>ROUND(SUMIF(RV_DATA!W32:'RV_DATA'!W40, 1475258042, RV_DATA!I32:'RV_DATA'!I40), 6)</f>
        <v>6.336E-2</v>
      </c>
      <c r="E38" s="75">
        <f>ROUND(RV_DATA!N36, 6)</f>
        <v>3467</v>
      </c>
      <c r="F38" s="75">
        <f>ROUND(SUMIF(RV_DATA!W32:'RV_DATA'!W40, 1475258042, RV_DATA!O32:'RV_DATA'!O40), 6)</f>
        <v>219.67</v>
      </c>
      <c r="Q38" s="57">
        <v>3</v>
      </c>
    </row>
    <row r="39" spans="1:17" ht="51">
      <c r="A39" s="74" t="s">
        <v>57</v>
      </c>
      <c r="B39" s="65" t="s">
        <v>175</v>
      </c>
      <c r="C39" s="71" t="s">
        <v>51</v>
      </c>
      <c r="D39" s="71">
        <f>ROUND(SUMIF(RV_DATA!W32:'RV_DATA'!W40, -61347243, RV_DATA!I32:'RV_DATA'!I40), 6)</f>
        <v>4</v>
      </c>
      <c r="E39" s="75">
        <f>ROUND(RV_DATA!N40, 6)</f>
        <v>2833.33</v>
      </c>
      <c r="F39" s="75">
        <f>ROUND(SUMIF(RV_DATA!W32:'RV_DATA'!W40, -61347243, RV_DATA!O32:'RV_DATA'!O40), 6)</f>
        <v>11333.32</v>
      </c>
      <c r="Q39" s="57">
        <v>3</v>
      </c>
    </row>
    <row r="40" spans="1:17" hidden="1">
      <c r="A40" s="127" t="s">
        <v>676</v>
      </c>
      <c r="B40" s="127"/>
      <c r="C40" s="127"/>
      <c r="D40" s="127"/>
      <c r="E40" s="128">
        <f>SUMIF(Q33:Q39, 3, F33:F39)</f>
        <v>14215.11</v>
      </c>
      <c r="F40" s="129"/>
    </row>
    <row r="41" spans="1:17" hidden="1">
      <c r="A41" s="120" t="str">
        <f>CONCATENATE("Раздел: ",IF(Source!G167&lt;&gt;"Новый раздел", Source!G167, ""))</f>
        <v>Раздел: Посадка деревьев хвойных - 21шт.</v>
      </c>
      <c r="B41" s="121"/>
      <c r="C41" s="121"/>
      <c r="D41" s="121"/>
      <c r="E41" s="121"/>
      <c r="F41" s="121"/>
    </row>
    <row r="42" spans="1:17" hidden="1">
      <c r="A42" s="125" t="s">
        <v>675</v>
      </c>
      <c r="B42" s="126"/>
      <c r="C42" s="126"/>
      <c r="D42" s="126"/>
      <c r="E42" s="126"/>
      <c r="F42" s="126"/>
    </row>
    <row r="43" spans="1:17">
      <c r="A43" s="74" t="s">
        <v>380</v>
      </c>
      <c r="B43" s="65" t="s">
        <v>382</v>
      </c>
      <c r="C43" s="71" t="s">
        <v>302</v>
      </c>
      <c r="D43" s="71">
        <f>ROUND(SUMIF(RV_DATA!W42:'RV_DATA'!W64, -1336012766, RV_DATA!I42:'RV_DATA'!I64), 6)</f>
        <v>3.15</v>
      </c>
      <c r="E43" s="75">
        <f>ROUND(RV_DATA!N49, 6)</f>
        <v>91.89</v>
      </c>
      <c r="F43" s="75">
        <f>ROUND(SUMIF(RV_DATA!W42:'RV_DATA'!W64, -1336012766, RV_DATA!O42:'RV_DATA'!O64), 6)</f>
        <v>289.47000000000003</v>
      </c>
      <c r="Q43" s="57">
        <v>3</v>
      </c>
    </row>
    <row r="44" spans="1:17">
      <c r="A44" s="74" t="s">
        <v>350</v>
      </c>
      <c r="B44" s="65" t="s">
        <v>352</v>
      </c>
      <c r="C44" s="71" t="s">
        <v>353</v>
      </c>
      <c r="D44" s="71">
        <f>ROUND(SUMIF(RV_DATA!W42:'RV_DATA'!W64, 749401340, RV_DATA!I42:'RV_DATA'!I64), 6)</f>
        <v>0.63</v>
      </c>
      <c r="E44" s="75">
        <f>ROUND(RV_DATA!N48, 6)</f>
        <v>171.21</v>
      </c>
      <c r="F44" s="75">
        <f>ROUND(SUMIF(RV_DATA!W42:'RV_DATA'!W64, 749401340, RV_DATA!O42:'RV_DATA'!O64), 6)</f>
        <v>107.85</v>
      </c>
      <c r="Q44" s="57">
        <v>3</v>
      </c>
    </row>
    <row r="45" spans="1:17">
      <c r="A45" s="74" t="s">
        <v>354</v>
      </c>
      <c r="B45" s="65" t="s">
        <v>356</v>
      </c>
      <c r="C45" s="71" t="s">
        <v>349</v>
      </c>
      <c r="D45" s="71">
        <f>ROUND(SUMIF(RV_DATA!W42:'RV_DATA'!W64, -1829664509, RV_DATA!I42:'RV_DATA'!I64), 6)</f>
        <v>4.78</v>
      </c>
      <c r="E45" s="75">
        <f>ROUND(RV_DATA!N47, 6)</f>
        <v>35.25</v>
      </c>
      <c r="F45" s="75">
        <f>ROUND(SUMIF(RV_DATA!W42:'RV_DATA'!W64, -1829664509, RV_DATA!O42:'RV_DATA'!O64), 6)</f>
        <v>168.5</v>
      </c>
      <c r="Q45" s="57">
        <v>3</v>
      </c>
    </row>
    <row r="46" spans="1:17">
      <c r="A46" s="74" t="s">
        <v>369</v>
      </c>
      <c r="B46" s="65" t="s">
        <v>371</v>
      </c>
      <c r="C46" s="71" t="s">
        <v>349</v>
      </c>
      <c r="D46" s="71">
        <f>ROUND(SUMIF(RV_DATA!W42:'RV_DATA'!W64, -1744796367, RV_DATA!I42:'RV_DATA'!I64), 6)</f>
        <v>2.6760000000000002</v>
      </c>
      <c r="E46" s="75">
        <f>ROUND(RV_DATA!N43, 6)</f>
        <v>810.33</v>
      </c>
      <c r="F46" s="75">
        <f>ROUND(SUMIF(RV_DATA!W42:'RV_DATA'!W64, -1744796367, RV_DATA!O42:'RV_DATA'!O64), 6)</f>
        <v>2168.4499999999998</v>
      </c>
      <c r="Q46" s="57">
        <v>3</v>
      </c>
    </row>
    <row r="47" spans="1:17">
      <c r="A47" s="74" t="s">
        <v>346</v>
      </c>
      <c r="B47" s="65" t="s">
        <v>348</v>
      </c>
      <c r="C47" s="71" t="s">
        <v>349</v>
      </c>
      <c r="D47" s="71">
        <f>ROUND(SUMIF(RV_DATA!W42:'RV_DATA'!W64, -353567041, RV_DATA!I42:'RV_DATA'!I64), 6)</f>
        <v>7.9710000000000001</v>
      </c>
      <c r="E47" s="75">
        <f>ROUND(RV_DATA!N42, 6)</f>
        <v>753.67</v>
      </c>
      <c r="F47" s="75">
        <f>ROUND(SUMIF(RV_DATA!W42:'RV_DATA'!W64, -353567041, RV_DATA!O42:'RV_DATA'!O64), 6)</f>
        <v>6007.5</v>
      </c>
      <c r="Q47" s="57">
        <v>3</v>
      </c>
    </row>
    <row r="48" spans="1:17">
      <c r="A48" s="74" t="s">
        <v>383</v>
      </c>
      <c r="B48" s="65" t="s">
        <v>385</v>
      </c>
      <c r="C48" s="71" t="s">
        <v>349</v>
      </c>
      <c r="D48" s="71">
        <f>ROUND(SUMIF(RV_DATA!W42:'RV_DATA'!W64, 1475258042, RV_DATA!I42:'RV_DATA'!I64), 6)</f>
        <v>0.33263999999999999</v>
      </c>
      <c r="E48" s="75">
        <f>ROUND(RV_DATA!N46, 6)</f>
        <v>3467</v>
      </c>
      <c r="F48" s="75">
        <f>ROUND(SUMIF(RV_DATA!W42:'RV_DATA'!W64, 1475258042, RV_DATA!O42:'RV_DATA'!O64), 6)</f>
        <v>1153.26</v>
      </c>
      <c r="Q48" s="57">
        <v>3</v>
      </c>
    </row>
    <row r="49" spans="1:17" ht="38.25">
      <c r="A49" s="74" t="s">
        <v>183</v>
      </c>
      <c r="B49" s="65" t="s">
        <v>184</v>
      </c>
      <c r="C49" s="71" t="s">
        <v>51</v>
      </c>
      <c r="D49" s="71">
        <f>ROUND(SUMIF(RV_DATA!W42:'RV_DATA'!W64, -173860209, RV_DATA!I42:'RV_DATA'!I64), 6)</f>
        <v>2</v>
      </c>
      <c r="E49" s="75">
        <f>ROUND(RV_DATA!N50, 6)</f>
        <v>13809.17</v>
      </c>
      <c r="F49" s="75">
        <f>ROUND(SUMIF(RV_DATA!W42:'RV_DATA'!W64, -173860209, RV_DATA!O42:'RV_DATA'!O64), 6)</f>
        <v>27618.34</v>
      </c>
      <c r="Q49" s="57">
        <v>3</v>
      </c>
    </row>
    <row r="50" spans="1:17" ht="38.25">
      <c r="A50" s="74" t="s">
        <v>183</v>
      </c>
      <c r="B50" s="65" t="s">
        <v>186</v>
      </c>
      <c r="C50" s="71" t="s">
        <v>51</v>
      </c>
      <c r="D50" s="71">
        <f>ROUND(SUMIF(RV_DATA!W42:'RV_DATA'!W64, -1167612586, RV_DATA!I42:'RV_DATA'!I64), 6)</f>
        <v>2</v>
      </c>
      <c r="E50" s="75">
        <f>ROUND(RV_DATA!N51, 6)</f>
        <v>7845.83</v>
      </c>
      <c r="F50" s="75">
        <f>ROUND(SUMIF(RV_DATA!W42:'RV_DATA'!W64, -1167612586, RV_DATA!O42:'RV_DATA'!O64), 6)</f>
        <v>15691.66</v>
      </c>
      <c r="Q50" s="57">
        <v>3</v>
      </c>
    </row>
    <row r="51" spans="1:17" ht="38.25">
      <c r="A51" s="74" t="s">
        <v>183</v>
      </c>
      <c r="B51" s="65" t="s">
        <v>203</v>
      </c>
      <c r="C51" s="71" t="s">
        <v>51</v>
      </c>
      <c r="D51" s="71">
        <f>ROUND(SUMIF(RV_DATA!W42:'RV_DATA'!W64, 236537647, RV_DATA!I42:'RV_DATA'!I64), 6)</f>
        <v>1</v>
      </c>
      <c r="E51" s="75">
        <f>ROUND(RV_DATA!N60, 6)</f>
        <v>3833.33</v>
      </c>
      <c r="F51" s="75">
        <f>ROUND(SUMIF(RV_DATA!W42:'RV_DATA'!W64, 236537647, RV_DATA!O42:'RV_DATA'!O64), 6)</f>
        <v>3833.33</v>
      </c>
      <c r="Q51" s="57">
        <v>3</v>
      </c>
    </row>
    <row r="52" spans="1:17" ht="38.25">
      <c r="A52" s="74" t="s">
        <v>183</v>
      </c>
      <c r="B52" s="65" t="s">
        <v>205</v>
      </c>
      <c r="C52" s="71" t="s">
        <v>51</v>
      </c>
      <c r="D52" s="71">
        <f>ROUND(SUMIF(RV_DATA!W42:'RV_DATA'!W64, 1844275031, RV_DATA!I42:'RV_DATA'!I64), 6)</f>
        <v>6</v>
      </c>
      <c r="E52" s="75">
        <f>ROUND(RV_DATA!N61, 6)</f>
        <v>2250</v>
      </c>
      <c r="F52" s="75">
        <f>ROUND(SUMIF(RV_DATA!W42:'RV_DATA'!W64, 1844275031, RV_DATA!O42:'RV_DATA'!O64), 6)</f>
        <v>13500</v>
      </c>
      <c r="Q52" s="57">
        <v>3</v>
      </c>
    </row>
    <row r="53" spans="1:17" ht="38.25">
      <c r="A53" s="74" t="s">
        <v>183</v>
      </c>
      <c r="B53" s="65" t="s">
        <v>207</v>
      </c>
      <c r="C53" s="71" t="s">
        <v>51</v>
      </c>
      <c r="D53" s="71">
        <f>ROUND(SUMIF(RV_DATA!W42:'RV_DATA'!W64, 814502955, RV_DATA!I42:'RV_DATA'!I64), 6)</f>
        <v>3</v>
      </c>
      <c r="E53" s="75">
        <f>ROUND(RV_DATA!N62, 6)</f>
        <v>4250</v>
      </c>
      <c r="F53" s="75">
        <f>ROUND(SUMIF(RV_DATA!W42:'RV_DATA'!W64, 814502955, RV_DATA!O42:'RV_DATA'!O64), 6)</f>
        <v>12750</v>
      </c>
      <c r="Q53" s="57">
        <v>3</v>
      </c>
    </row>
    <row r="54" spans="1:17" ht="38.25">
      <c r="A54" s="74" t="s">
        <v>183</v>
      </c>
      <c r="B54" s="65" t="s">
        <v>209</v>
      </c>
      <c r="C54" s="71" t="s">
        <v>51</v>
      </c>
      <c r="D54" s="71">
        <f>ROUND(SUMIF(RV_DATA!W42:'RV_DATA'!W64, 1758199083, RV_DATA!I42:'RV_DATA'!I64), 6)</f>
        <v>3</v>
      </c>
      <c r="E54" s="75">
        <f>ROUND(RV_DATA!N63, 6)</f>
        <v>3583.33</v>
      </c>
      <c r="F54" s="75">
        <f>ROUND(SUMIF(RV_DATA!W42:'RV_DATA'!W64, 1758199083, RV_DATA!O42:'RV_DATA'!O64), 6)</f>
        <v>10749.99</v>
      </c>
      <c r="Q54" s="57">
        <v>3</v>
      </c>
    </row>
    <row r="55" spans="1:17" ht="38.25">
      <c r="A55" s="74" t="s">
        <v>183</v>
      </c>
      <c r="B55" s="65" t="s">
        <v>211</v>
      </c>
      <c r="C55" s="71" t="s">
        <v>51</v>
      </c>
      <c r="D55" s="71">
        <f>ROUND(SUMIF(RV_DATA!W42:'RV_DATA'!W64, 1944493989, RV_DATA!I42:'RV_DATA'!I64), 6)</f>
        <v>4</v>
      </c>
      <c r="E55" s="75">
        <f>ROUND(RV_DATA!N64, 6)</f>
        <v>3250</v>
      </c>
      <c r="F55" s="75">
        <f>ROUND(SUMIF(RV_DATA!W42:'RV_DATA'!W64, 1944493989, RV_DATA!O42:'RV_DATA'!O64), 6)</f>
        <v>13000</v>
      </c>
      <c r="Q55" s="57">
        <v>3</v>
      </c>
    </row>
    <row r="56" spans="1:17" hidden="1">
      <c r="A56" s="127" t="s">
        <v>676</v>
      </c>
      <c r="B56" s="127"/>
      <c r="C56" s="127"/>
      <c r="D56" s="127"/>
      <c r="E56" s="128">
        <f>SUMIF(Q43:Q55, 3, F43:F55)</f>
        <v>107038.35</v>
      </c>
      <c r="F56" s="129"/>
    </row>
    <row r="57" spans="1:17" hidden="1">
      <c r="A57" s="120" t="str">
        <f>CONCATENATE("Раздел: ",IF(Source!G221&lt;&gt;"Новый раздел", Source!G221, ""))</f>
        <v>Раздел: Декоративное украшение территори озеленения</v>
      </c>
      <c r="B57" s="121"/>
      <c r="C57" s="121"/>
      <c r="D57" s="121"/>
      <c r="E57" s="121"/>
      <c r="F57" s="121"/>
    </row>
    <row r="58" spans="1:17" hidden="1">
      <c r="A58" s="125" t="s">
        <v>675</v>
      </c>
      <c r="B58" s="126"/>
      <c r="C58" s="126"/>
      <c r="D58" s="126"/>
      <c r="E58" s="126"/>
      <c r="F58" s="126"/>
    </row>
    <row r="59" spans="1:17">
      <c r="A59" s="74" t="s">
        <v>395</v>
      </c>
      <c r="B59" s="65" t="s">
        <v>397</v>
      </c>
      <c r="C59" s="71" t="s">
        <v>281</v>
      </c>
      <c r="D59" s="71">
        <f>ROUND(SUMIF(RV_DATA!W66:'RV_DATA'!W75, -1954327797, RV_DATA!I66:'RV_DATA'!I75), 6)</f>
        <v>5.5E-2</v>
      </c>
      <c r="E59" s="75">
        <f>ROUND(RV_DATA!N75, 6)</f>
        <v>53313.54</v>
      </c>
      <c r="F59" s="75">
        <f>ROUND(SUMIF(RV_DATA!W66:'RV_DATA'!W75, -1954327797, RV_DATA!O66:'RV_DATA'!O75), 6)</f>
        <v>2932.25</v>
      </c>
      <c r="Q59" s="57">
        <v>3</v>
      </c>
    </row>
    <row r="60" spans="1:17">
      <c r="A60" s="74" t="s">
        <v>398</v>
      </c>
      <c r="B60" s="65" t="s">
        <v>400</v>
      </c>
      <c r="C60" s="71" t="s">
        <v>349</v>
      </c>
      <c r="D60" s="71">
        <f>ROUND(SUMIF(RV_DATA!W66:'RV_DATA'!W75, 339149647, RV_DATA!I66:'RV_DATA'!I75), 6)</f>
        <v>1.7</v>
      </c>
      <c r="E60" s="75">
        <f>ROUND(RV_DATA!N74, 6)</f>
        <v>590.78</v>
      </c>
      <c r="F60" s="75">
        <f>ROUND(SUMIF(RV_DATA!W66:'RV_DATA'!W75, 339149647, RV_DATA!O66:'RV_DATA'!O75), 6)</f>
        <v>1004.33</v>
      </c>
      <c r="Q60" s="57">
        <v>3</v>
      </c>
    </row>
    <row r="61" spans="1:17" ht="25.5">
      <c r="A61" s="74" t="s">
        <v>401</v>
      </c>
      <c r="B61" s="65" t="s">
        <v>403</v>
      </c>
      <c r="C61" s="71" t="s">
        <v>349</v>
      </c>
      <c r="D61" s="71">
        <f>ROUND(SUMIF(RV_DATA!W66:'RV_DATA'!W75, -1342251475, RV_DATA!I66:'RV_DATA'!I75), 6)</f>
        <v>1.7</v>
      </c>
      <c r="E61" s="75">
        <f>ROUND(RV_DATA!N73, 6)</f>
        <v>1436.5</v>
      </c>
      <c r="F61" s="75">
        <f>ROUND(SUMIF(RV_DATA!W66:'RV_DATA'!W75, -1342251475, RV_DATA!O66:'RV_DATA'!O75), 6)</f>
        <v>2442.0500000000002</v>
      </c>
      <c r="Q61" s="57">
        <v>3</v>
      </c>
    </row>
    <row r="62" spans="1:17" ht="25.5">
      <c r="A62" s="74" t="s">
        <v>404</v>
      </c>
      <c r="B62" s="65" t="s">
        <v>406</v>
      </c>
      <c r="C62" s="71" t="s">
        <v>281</v>
      </c>
      <c r="D62" s="71">
        <f>ROUND(SUMIF(RV_DATA!W66:'RV_DATA'!W75, -1688624076, RV_DATA!I66:'RV_DATA'!I75), 6)</f>
        <v>0.73</v>
      </c>
      <c r="E62" s="75">
        <f>ROUND(RV_DATA!N72, 6)</f>
        <v>9548.1200000000008</v>
      </c>
      <c r="F62" s="75">
        <f>ROUND(SUMIF(RV_DATA!W66:'RV_DATA'!W75, -1688624076, RV_DATA!O66:'RV_DATA'!O75), 6)</f>
        <v>6970.13</v>
      </c>
      <c r="Q62" s="57">
        <v>3</v>
      </c>
    </row>
    <row r="63" spans="1:17" ht="38.25">
      <c r="A63" s="74" t="s">
        <v>407</v>
      </c>
      <c r="B63" s="65" t="s">
        <v>409</v>
      </c>
      <c r="C63" s="71" t="s">
        <v>302</v>
      </c>
      <c r="D63" s="71">
        <f>ROUND(SUMIF(RV_DATA!W66:'RV_DATA'!W75, 2001392356, RV_DATA!I66:'RV_DATA'!I75), 6)</f>
        <v>5</v>
      </c>
      <c r="E63" s="75">
        <f>ROUND(RV_DATA!N71, 6)</f>
        <v>4659.1099999999997</v>
      </c>
      <c r="F63" s="75">
        <f>ROUND(SUMIF(RV_DATA!W66:'RV_DATA'!W75, 2001392356, RV_DATA!O66:'RV_DATA'!O75), 6)</f>
        <v>23295.55</v>
      </c>
      <c r="Q63" s="57">
        <v>3</v>
      </c>
    </row>
    <row r="64" spans="1:17" ht="25.5">
      <c r="A64" s="74" t="s">
        <v>410</v>
      </c>
      <c r="B64" s="65" t="s">
        <v>412</v>
      </c>
      <c r="C64" s="71" t="s">
        <v>281</v>
      </c>
      <c r="D64" s="71">
        <f>ROUND(SUMIF(RV_DATA!W66:'RV_DATA'!W75, -1467502367, RV_DATA!I66:'RV_DATA'!I75), 6)</f>
        <v>0.65</v>
      </c>
      <c r="E64" s="75">
        <f>ROUND(RV_DATA!N70, 6)</f>
        <v>4207.5</v>
      </c>
      <c r="F64" s="75">
        <f>ROUND(SUMIF(RV_DATA!W66:'RV_DATA'!W75, -1467502367, RV_DATA!O66:'RV_DATA'!O75), 6)</f>
        <v>2734.88</v>
      </c>
      <c r="Q64" s="57">
        <v>3</v>
      </c>
    </row>
    <row r="65" spans="1:17">
      <c r="A65" s="74" t="s">
        <v>354</v>
      </c>
      <c r="B65" s="65" t="s">
        <v>356</v>
      </c>
      <c r="C65" s="71" t="s">
        <v>349</v>
      </c>
      <c r="D65" s="71">
        <f>ROUND(SUMIF(RV_DATA!W66:'RV_DATA'!W75, -1829664509, RV_DATA!I66:'RV_DATA'!I75), 6)</f>
        <v>0.5</v>
      </c>
      <c r="E65" s="75">
        <f>ROUND(RV_DATA!N69, 6)</f>
        <v>35.25</v>
      </c>
      <c r="F65" s="75">
        <f>ROUND(SUMIF(RV_DATA!W66:'RV_DATA'!W75, -1829664509, RV_DATA!O66:'RV_DATA'!O75), 6)</f>
        <v>17.63</v>
      </c>
      <c r="Q65" s="57">
        <v>3</v>
      </c>
    </row>
    <row r="66" spans="1:17" ht="51">
      <c r="A66" s="74" t="s">
        <v>413</v>
      </c>
      <c r="B66" s="65" t="s">
        <v>415</v>
      </c>
      <c r="C66" s="71" t="s">
        <v>281</v>
      </c>
      <c r="D66" s="71">
        <f>ROUND(SUMIF(RV_DATA!W66:'RV_DATA'!W75, -21417460, RV_DATA!I66:'RV_DATA'!I75), 6)</f>
        <v>1.4999999999999999E-2</v>
      </c>
      <c r="E66" s="75">
        <f>ROUND(RV_DATA!N68, 6)</f>
        <v>36434</v>
      </c>
      <c r="F66" s="75">
        <f>ROUND(SUMIF(RV_DATA!W66:'RV_DATA'!W75, -21417460, RV_DATA!O66:'RV_DATA'!O75), 6)</f>
        <v>546.51</v>
      </c>
      <c r="Q66" s="57">
        <v>3</v>
      </c>
    </row>
    <row r="67" spans="1:17" ht="25.5">
      <c r="A67" s="74" t="s">
        <v>386</v>
      </c>
      <c r="B67" s="65" t="s">
        <v>388</v>
      </c>
      <c r="C67" s="71" t="s">
        <v>353</v>
      </c>
      <c r="D67" s="71">
        <f>ROUND(SUMIF(RV_DATA!W66:'RV_DATA'!W75, -1910259342, RV_DATA!I66:'RV_DATA'!I75), 6)</f>
        <v>105</v>
      </c>
      <c r="E67" s="75">
        <f>ROUND(RV_DATA!N66, 6)</f>
        <v>43.69</v>
      </c>
      <c r="F67" s="75">
        <f>ROUND(SUMIF(RV_DATA!W66:'RV_DATA'!W75, -1910259342, RV_DATA!O66:'RV_DATA'!O75), 6)</f>
        <v>4587.45</v>
      </c>
      <c r="Q67" s="57">
        <v>3</v>
      </c>
    </row>
    <row r="68" spans="1:17" hidden="1">
      <c r="A68" s="127" t="s">
        <v>676</v>
      </c>
      <c r="B68" s="127"/>
      <c r="C68" s="127"/>
      <c r="D68" s="127"/>
      <c r="E68" s="128">
        <f>SUMIF(Q59:Q67, 3, F59:F67)</f>
        <v>44530.779999999992</v>
      </c>
      <c r="F68" s="129"/>
    </row>
    <row r="69" spans="1:17" hidden="1">
      <c r="A69" s="120" t="str">
        <f>CONCATENATE("Раздел: ",IF(Source!G261&lt;&gt;"Новый раздел", Source!G261, ""))</f>
        <v>Раздел: Ремонт газона (посевной) - 550м2 ( вокруг цветника с кустами и деревьями)</v>
      </c>
      <c r="B69" s="121"/>
      <c r="C69" s="121"/>
      <c r="D69" s="121"/>
      <c r="E69" s="121"/>
      <c r="F69" s="121"/>
      <c r="O69" s="73" t="s">
        <v>677</v>
      </c>
    </row>
    <row r="70" spans="1:17" hidden="1">
      <c r="A70" s="125" t="s">
        <v>675</v>
      </c>
      <c r="B70" s="126"/>
      <c r="C70" s="126"/>
      <c r="D70" s="126"/>
      <c r="E70" s="126"/>
      <c r="F70" s="126"/>
    </row>
    <row r="71" spans="1:17">
      <c r="A71" s="74" t="s">
        <v>354</v>
      </c>
      <c r="B71" s="65" t="s">
        <v>356</v>
      </c>
      <c r="C71" s="71" t="s">
        <v>349</v>
      </c>
      <c r="D71" s="71">
        <f>ROUND(SUMIF(RV_DATA!W77:'RV_DATA'!W81, -1829664509, RV_DATA!I77:'RV_DATA'!I81), 6)</f>
        <v>55</v>
      </c>
      <c r="E71" s="75">
        <f>ROUND(RV_DATA!N81, 6)</f>
        <v>35.25</v>
      </c>
      <c r="F71" s="75">
        <f>ROUND(SUMIF(RV_DATA!W77:'RV_DATA'!W81, -1829664509, RV_DATA!O77:'RV_DATA'!O81), 6)</f>
        <v>1938.75</v>
      </c>
      <c r="Q71" s="57">
        <v>3</v>
      </c>
    </row>
    <row r="72" spans="1:17">
      <c r="A72" s="74" t="s">
        <v>419</v>
      </c>
      <c r="B72" s="65" t="s">
        <v>421</v>
      </c>
      <c r="C72" s="71" t="s">
        <v>353</v>
      </c>
      <c r="D72" s="71">
        <f>ROUND(SUMIF(RV_DATA!W77:'RV_DATA'!W81, -431507376, RV_DATA!I77:'RV_DATA'!I81), 6)</f>
        <v>22</v>
      </c>
      <c r="E72" s="75">
        <f>ROUND(RV_DATA!N80, 6)</f>
        <v>303.08999999999997</v>
      </c>
      <c r="F72" s="75">
        <f>ROUND(SUMIF(RV_DATA!W77:'RV_DATA'!W81, -431507376, RV_DATA!O77:'RV_DATA'!O81), 6)</f>
        <v>6667.98</v>
      </c>
      <c r="Q72" s="57">
        <v>3</v>
      </c>
    </row>
    <row r="73" spans="1:17">
      <c r="A73" s="74" t="s">
        <v>346</v>
      </c>
      <c r="B73" s="65" t="s">
        <v>348</v>
      </c>
      <c r="C73" s="71" t="s">
        <v>349</v>
      </c>
      <c r="D73" s="71">
        <f>ROUND(SUMIF(RV_DATA!W77:'RV_DATA'!W81, -353567041, RV_DATA!I77:'RV_DATA'!I81), 6)</f>
        <v>55</v>
      </c>
      <c r="E73" s="75">
        <f>ROUND(RV_DATA!N77, 6)</f>
        <v>753.67</v>
      </c>
      <c r="F73" s="75">
        <f>ROUND(SUMIF(RV_DATA!W77:'RV_DATA'!W81, -353567041, RV_DATA!O77:'RV_DATA'!O81), 6)</f>
        <v>41451.839999999997</v>
      </c>
      <c r="Q73" s="57">
        <v>3</v>
      </c>
    </row>
    <row r="74" spans="1:17" hidden="1">
      <c r="A74" s="127" t="s">
        <v>676</v>
      </c>
      <c r="B74" s="127"/>
      <c r="C74" s="127"/>
      <c r="D74" s="127"/>
      <c r="E74" s="128">
        <f>SUMIF(Q71:Q73, 3, F71:F73)</f>
        <v>50058.569999999992</v>
      </c>
      <c r="F74" s="129"/>
    </row>
    <row r="75" spans="1:17" hidden="1">
      <c r="A75" s="120" t="str">
        <f>CONCATENATE("Раздел: ",IF(Source!G302&lt;&gt;"Новый раздел", Source!G302, ""))</f>
        <v>Раздел: Стелла " Чертаново Центральное"</v>
      </c>
      <c r="B75" s="121"/>
      <c r="C75" s="121"/>
      <c r="D75" s="121"/>
      <c r="E75" s="121"/>
      <c r="F75" s="121"/>
    </row>
    <row r="76" spans="1:17" hidden="1">
      <c r="A76" s="125" t="s">
        <v>675</v>
      </c>
      <c r="B76" s="126"/>
      <c r="C76" s="126"/>
      <c r="D76" s="126"/>
      <c r="E76" s="126"/>
      <c r="F76" s="126"/>
    </row>
    <row r="77" spans="1:17" ht="38.25">
      <c r="A77" s="74" t="s">
        <v>288</v>
      </c>
      <c r="B77" s="65" t="s">
        <v>289</v>
      </c>
      <c r="C77" s="71" t="s">
        <v>281</v>
      </c>
      <c r="D77" s="71">
        <f>ROUND(SUMIF(RV_DATA!W83:'RV_DATA'!W123, 496270836, RV_DATA!I83:'RV_DATA'!I123), 6)</f>
        <v>0.61147099999999999</v>
      </c>
      <c r="E77" s="75">
        <f>ROUND(RV_DATA!N106, 6)</f>
        <v>32819.879999999997</v>
      </c>
      <c r="F77" s="75">
        <f>ROUND(SUMIF(RV_DATA!W83:'RV_DATA'!W123, 496270836, RV_DATA!O83:'RV_DATA'!O123), 6)</f>
        <v>20068.400000000001</v>
      </c>
      <c r="Q77" s="57">
        <v>3</v>
      </c>
    </row>
    <row r="78" spans="1:17" ht="25.5">
      <c r="A78" s="74" t="s">
        <v>305</v>
      </c>
      <c r="B78" s="65" t="s">
        <v>306</v>
      </c>
      <c r="C78" s="71" t="s">
        <v>281</v>
      </c>
      <c r="D78" s="71">
        <f>ROUND(SUMIF(RV_DATA!W83:'RV_DATA'!W123, -1324876657, RV_DATA!I83:'RV_DATA'!I123), 6)</f>
        <v>0.74329400000000001</v>
      </c>
      <c r="E78" s="75">
        <f>ROUND(RV_DATA!N110, 6)</f>
        <v>164918.53</v>
      </c>
      <c r="F78" s="75">
        <f>ROUND(SUMIF(RV_DATA!W83:'RV_DATA'!W123, -1324876657, RV_DATA!O83:'RV_DATA'!O123), 6)</f>
        <v>122582.95</v>
      </c>
      <c r="Q78" s="57">
        <v>3</v>
      </c>
    </row>
    <row r="79" spans="1:17" ht="25.5">
      <c r="A79" s="74" t="s">
        <v>311</v>
      </c>
      <c r="B79" s="65" t="s">
        <v>312</v>
      </c>
      <c r="C79" s="71" t="s">
        <v>281</v>
      </c>
      <c r="D79" s="71">
        <f>ROUND(SUMIF(RV_DATA!W83:'RV_DATA'!W123, 1636567437, RV_DATA!I83:'RV_DATA'!I123), 6)</f>
        <v>0.77015299999999998</v>
      </c>
      <c r="E79" s="75">
        <f>ROUND(RV_DATA!N113, 6)</f>
        <v>166618.54999999999</v>
      </c>
      <c r="F79" s="75">
        <f>ROUND(SUMIF(RV_DATA!W83:'RV_DATA'!W123, 1636567437, RV_DATA!O83:'RV_DATA'!O123), 6)</f>
        <v>128321.78</v>
      </c>
      <c r="Q79" s="57">
        <v>3</v>
      </c>
    </row>
    <row r="80" spans="1:17">
      <c r="A80" s="74" t="s">
        <v>395</v>
      </c>
      <c r="B80" s="65" t="s">
        <v>397</v>
      </c>
      <c r="C80" s="71" t="s">
        <v>281</v>
      </c>
      <c r="D80" s="71">
        <f>ROUND(SUMIF(RV_DATA!W83:'RV_DATA'!W123, -1954327797, RV_DATA!I83:'RV_DATA'!I123), 6)</f>
        <v>8.3619999999999996E-3</v>
      </c>
      <c r="E80" s="75">
        <f>ROUND(RV_DATA!N123, 6)</f>
        <v>53313.54</v>
      </c>
      <c r="F80" s="75">
        <f>ROUND(SUMIF(RV_DATA!W83:'RV_DATA'!W123, -1954327797, RV_DATA!O83:'RV_DATA'!O123), 6)</f>
        <v>445.79</v>
      </c>
      <c r="Q80" s="57">
        <v>3</v>
      </c>
    </row>
    <row r="81" spans="1:17">
      <c r="A81" s="74" t="s">
        <v>292</v>
      </c>
      <c r="B81" s="65" t="s">
        <v>293</v>
      </c>
      <c r="C81" s="71" t="s">
        <v>281</v>
      </c>
      <c r="D81" s="71">
        <f>ROUND(SUMIF(RV_DATA!W83:'RV_DATA'!W123, -387238344, RV_DATA!I83:'RV_DATA'!I123), 6)</f>
        <v>0.33352900000000002</v>
      </c>
      <c r="E81" s="75">
        <f>ROUND(RV_DATA!N107, 6)</f>
        <v>38268.54</v>
      </c>
      <c r="F81" s="75">
        <f>ROUND(SUMIF(RV_DATA!W83:'RV_DATA'!W123, -387238344, RV_DATA!O83:'RV_DATA'!O123), 6)</f>
        <v>12763.67</v>
      </c>
      <c r="Q81" s="57">
        <v>3</v>
      </c>
    </row>
    <row r="82" spans="1:17" ht="25.5">
      <c r="A82" s="74" t="s">
        <v>514</v>
      </c>
      <c r="B82" s="65" t="s">
        <v>515</v>
      </c>
      <c r="C82" s="71" t="s">
        <v>281</v>
      </c>
      <c r="D82" s="71">
        <f>ROUND(SUMIF(RV_DATA!W83:'RV_DATA'!W123, 152944867, RV_DATA!I83:'RV_DATA'!I123), 6)</f>
        <v>1.36E-4</v>
      </c>
      <c r="E82" s="75">
        <f>ROUND(RV_DATA!N109, 6)</f>
        <v>179560</v>
      </c>
      <c r="F82" s="75">
        <f>ROUND(SUMIF(RV_DATA!W83:'RV_DATA'!W123, 152944867, RV_DATA!O83:'RV_DATA'!O123), 6)</f>
        <v>24.35</v>
      </c>
      <c r="Q82" s="57">
        <v>3</v>
      </c>
    </row>
    <row r="83" spans="1:17">
      <c r="A83" s="74" t="s">
        <v>463</v>
      </c>
      <c r="B83" s="65" t="s">
        <v>465</v>
      </c>
      <c r="C83" s="71" t="s">
        <v>281</v>
      </c>
      <c r="D83" s="71">
        <f>ROUND(SUMIF(RV_DATA!W83:'RV_DATA'!W123, -547263076, RV_DATA!I83:'RV_DATA'!I123), 6)</f>
        <v>7.9999999999999996E-6</v>
      </c>
      <c r="E83" s="75">
        <f>ROUND(RV_DATA!N93, 6)</f>
        <v>49736.04</v>
      </c>
      <c r="F83" s="75">
        <f>ROUND(SUMIF(RV_DATA!W83:'RV_DATA'!W123, -547263076, RV_DATA!O83:'RV_DATA'!O123), 6)</f>
        <v>0.39</v>
      </c>
      <c r="Q83" s="57">
        <v>3</v>
      </c>
    </row>
    <row r="84" spans="1:17" ht="38.25">
      <c r="A84" s="74" t="s">
        <v>516</v>
      </c>
      <c r="B84" s="65" t="s">
        <v>517</v>
      </c>
      <c r="C84" s="71" t="s">
        <v>281</v>
      </c>
      <c r="D84" s="71">
        <f>ROUND(SUMIF(RV_DATA!W83:'RV_DATA'!W123, 1019943244, RV_DATA!I83:'RV_DATA'!I123), 6)</f>
        <v>1.36E-4</v>
      </c>
      <c r="E84" s="75">
        <f>ROUND(RV_DATA!N108, 6)</f>
        <v>205080</v>
      </c>
      <c r="F84" s="75">
        <f>ROUND(SUMIF(RV_DATA!W83:'RV_DATA'!W123, 1019943244, RV_DATA!O83:'RV_DATA'!O123), 6)</f>
        <v>27.8</v>
      </c>
      <c r="Q84" s="57">
        <v>3</v>
      </c>
    </row>
    <row r="85" spans="1:17">
      <c r="A85" s="74" t="s">
        <v>441</v>
      </c>
      <c r="B85" s="65" t="s">
        <v>443</v>
      </c>
      <c r="C85" s="71" t="s">
        <v>349</v>
      </c>
      <c r="D85" s="71">
        <f>ROUND(SUMIF(RV_DATA!W83:'RV_DATA'!W123, 1585412624, RV_DATA!I83:'RV_DATA'!I123), 6)</f>
        <v>0.28599999999999998</v>
      </c>
      <c r="E85" s="75">
        <f>ROUND(RV_DATA!N84, 6)</f>
        <v>590.78</v>
      </c>
      <c r="F85" s="75">
        <f>ROUND(SUMIF(RV_DATA!W83:'RV_DATA'!W123, 1585412624, RV_DATA!O83:'RV_DATA'!O123), 6)</f>
        <v>168.96</v>
      </c>
      <c r="Q85" s="57">
        <v>3</v>
      </c>
    </row>
    <row r="86" spans="1:17" ht="25.5">
      <c r="A86" s="74" t="s">
        <v>451</v>
      </c>
      <c r="B86" s="65" t="s">
        <v>453</v>
      </c>
      <c r="C86" s="71" t="s">
        <v>349</v>
      </c>
      <c r="D86" s="71">
        <f>ROUND(SUMIF(RV_DATA!W83:'RV_DATA'!W123, -100050385, RV_DATA!I83:'RV_DATA'!I123), 6)</f>
        <v>0.4914</v>
      </c>
      <c r="E86" s="75">
        <f>ROUND(RV_DATA!N86, 6)</f>
        <v>1763.75</v>
      </c>
      <c r="F86" s="75">
        <f>ROUND(SUMIF(RV_DATA!W83:'RV_DATA'!W123, -100050385, RV_DATA!O83:'RV_DATA'!O123), 6)</f>
        <v>866.71</v>
      </c>
      <c r="Q86" s="57">
        <v>3</v>
      </c>
    </row>
    <row r="87" spans="1:17">
      <c r="A87" s="74" t="s">
        <v>475</v>
      </c>
      <c r="B87" s="65" t="s">
        <v>477</v>
      </c>
      <c r="C87" s="71" t="s">
        <v>281</v>
      </c>
      <c r="D87" s="71">
        <f>ROUND(SUMIF(RV_DATA!W83:'RV_DATA'!W123, 803156559, RV_DATA!I83:'RV_DATA'!I123), 6)</f>
        <v>6.9999999999999994E-5</v>
      </c>
      <c r="E87" s="75">
        <f>ROUND(RV_DATA!N97, 6)</f>
        <v>18737.900000000001</v>
      </c>
      <c r="F87" s="75">
        <f>ROUND(SUMIF(RV_DATA!W83:'RV_DATA'!W123, 803156559, RV_DATA!O83:'RV_DATA'!O123), 6)</f>
        <v>1.32</v>
      </c>
      <c r="Q87" s="57">
        <v>3</v>
      </c>
    </row>
    <row r="88" spans="1:17">
      <c r="A88" s="74" t="s">
        <v>532</v>
      </c>
      <c r="B88" s="65" t="s">
        <v>533</v>
      </c>
      <c r="C88" s="71" t="s">
        <v>281</v>
      </c>
      <c r="D88" s="71">
        <f>ROUND(SUMIF(RV_DATA!W83:'RV_DATA'!W123, -569161976, RV_DATA!I83:'RV_DATA'!I123), 6)</f>
        <v>2.3592999999999999E-2</v>
      </c>
      <c r="E88" s="75">
        <f>ROUND(RV_DATA!N121, 6)</f>
        <v>382060</v>
      </c>
      <c r="F88" s="75">
        <f>ROUND(SUMIF(RV_DATA!W83:'RV_DATA'!W123, -569161976, RV_DATA!O83:'RV_DATA'!O123), 6)</f>
        <v>9013.84</v>
      </c>
      <c r="Q88" s="57">
        <v>3</v>
      </c>
    </row>
    <row r="89" spans="1:17" ht="25.5">
      <c r="A89" s="74" t="s">
        <v>478</v>
      </c>
      <c r="B89" s="65" t="s">
        <v>480</v>
      </c>
      <c r="C89" s="71" t="s">
        <v>281</v>
      </c>
      <c r="D89" s="71">
        <f>ROUND(SUMIF(RV_DATA!W83:'RV_DATA'!W123, -544243599, RV_DATA!I83:'RV_DATA'!I123), 6)</f>
        <v>1.0560000000000001E-3</v>
      </c>
      <c r="E89" s="75">
        <f>ROUND(RV_DATA!N96, 6)</f>
        <v>142619.79999999999</v>
      </c>
      <c r="F89" s="75">
        <f>ROUND(SUMIF(RV_DATA!W83:'RV_DATA'!W123, -544243599, RV_DATA!O83:'RV_DATA'!O123), 6)</f>
        <v>150.61000000000001</v>
      </c>
      <c r="Q89" s="57">
        <v>3</v>
      </c>
    </row>
    <row r="90" spans="1:17">
      <c r="A90" s="74" t="s">
        <v>380</v>
      </c>
      <c r="B90" s="65" t="s">
        <v>382</v>
      </c>
      <c r="C90" s="71" t="s">
        <v>302</v>
      </c>
      <c r="D90" s="71">
        <f>ROUND(SUMIF(RV_DATA!W83:'RV_DATA'!W123, -1336012766, RV_DATA!I83:'RV_DATA'!I123), 6)</f>
        <v>0.11700000000000001</v>
      </c>
      <c r="E90" s="75">
        <f>ROUND(RV_DATA!N92, 6)</f>
        <v>91.89</v>
      </c>
      <c r="F90" s="75">
        <f>ROUND(SUMIF(RV_DATA!W83:'RV_DATA'!W123, -1336012766, RV_DATA!O83:'RV_DATA'!O123), 6)</f>
        <v>10.75</v>
      </c>
      <c r="Q90" s="57">
        <v>3</v>
      </c>
    </row>
    <row r="91" spans="1:17">
      <c r="A91" s="74" t="s">
        <v>481</v>
      </c>
      <c r="B91" s="65" t="s">
        <v>483</v>
      </c>
      <c r="C91" s="71" t="s">
        <v>353</v>
      </c>
      <c r="D91" s="71">
        <f>ROUND(SUMIF(RV_DATA!W83:'RV_DATA'!W123, 1909301085, RV_DATA!I83:'RV_DATA'!I123), 6)</f>
        <v>1.1824399999999999</v>
      </c>
      <c r="E91" s="75">
        <f>ROUND(RV_DATA!N95, 6)</f>
        <v>28.41</v>
      </c>
      <c r="F91" s="75">
        <f>ROUND(SUMIF(RV_DATA!W83:'RV_DATA'!W123, 1909301085, RV_DATA!O83:'RV_DATA'!O123), 6)</f>
        <v>33.58</v>
      </c>
      <c r="Q91" s="57">
        <v>3</v>
      </c>
    </row>
    <row r="92" spans="1:17">
      <c r="A92" s="74" t="s">
        <v>508</v>
      </c>
      <c r="B92" s="65" t="s">
        <v>510</v>
      </c>
      <c r="C92" s="71" t="s">
        <v>281</v>
      </c>
      <c r="D92" s="71">
        <f>ROUND(SUMIF(RV_DATA!W83:'RV_DATA'!W123, -1526606762, RV_DATA!I83:'RV_DATA'!I123), 6)</f>
        <v>2.835E-2</v>
      </c>
      <c r="E92" s="75">
        <f>ROUND(RV_DATA!N105, 6)</f>
        <v>110781.14</v>
      </c>
      <c r="F92" s="75">
        <f>ROUND(SUMIF(RV_DATA!W83:'RV_DATA'!W123, -1526606762, RV_DATA!O83:'RV_DATA'!O123), 6)</f>
        <v>3140.64</v>
      </c>
      <c r="Q92" s="57">
        <v>3</v>
      </c>
    </row>
    <row r="93" spans="1:17">
      <c r="A93" s="74" t="s">
        <v>466</v>
      </c>
      <c r="B93" s="65" t="s">
        <v>468</v>
      </c>
      <c r="C93" s="71" t="s">
        <v>281</v>
      </c>
      <c r="D93" s="71">
        <f>ROUND(SUMIF(RV_DATA!W83:'RV_DATA'!W123, -928026910, RV_DATA!I83:'RV_DATA'!I123), 6)</f>
        <v>3.8999999999999999E-5</v>
      </c>
      <c r="E93" s="75">
        <f>ROUND(RV_DATA!N91, 6)</f>
        <v>4752.34</v>
      </c>
      <c r="F93" s="75">
        <f>ROUND(SUMIF(RV_DATA!W83:'RV_DATA'!W123, -928026910, RV_DATA!O83:'RV_DATA'!O123), 6)</f>
        <v>0.19</v>
      </c>
      <c r="Q93" s="57">
        <v>3</v>
      </c>
    </row>
    <row r="94" spans="1:17">
      <c r="A94" s="74" t="s">
        <v>354</v>
      </c>
      <c r="B94" s="65" t="s">
        <v>356</v>
      </c>
      <c r="C94" s="71" t="s">
        <v>349</v>
      </c>
      <c r="D94" s="71">
        <f>ROUND(SUMIF(RV_DATA!W83:'RV_DATA'!W123, 1411454429, RV_DATA!I83:'RV_DATA'!I123), 6)</f>
        <v>4.0300000000000002E-2</v>
      </c>
      <c r="E94" s="75">
        <f>ROUND(RV_DATA!N83, 6)</f>
        <v>35.25</v>
      </c>
      <c r="F94" s="75">
        <f>ROUND(SUMIF(RV_DATA!W83:'RV_DATA'!W123, 1411454429, RV_DATA!O83:'RV_DATA'!O123), 6)</f>
        <v>1.42</v>
      </c>
      <c r="Q94" s="57">
        <v>3</v>
      </c>
    </row>
    <row r="95" spans="1:17">
      <c r="A95" s="74" t="s">
        <v>354</v>
      </c>
      <c r="B95" s="65" t="s">
        <v>356</v>
      </c>
      <c r="C95" s="71" t="s">
        <v>349</v>
      </c>
      <c r="D95" s="71">
        <f>ROUND(SUMIF(RV_DATA!W83:'RV_DATA'!W123, -1829664509, RV_DATA!I83:'RV_DATA'!I123), 6)</f>
        <v>2.8470000000000001E-3</v>
      </c>
      <c r="E95" s="75">
        <f>ROUND(RV_DATA!N90, 6)</f>
        <v>35.25</v>
      </c>
      <c r="F95" s="75">
        <f>ROUND(SUMIF(RV_DATA!W83:'RV_DATA'!W123, -1829664509, RV_DATA!O83:'RV_DATA'!O123), 6)</f>
        <v>0.1</v>
      </c>
      <c r="Q95" s="57">
        <v>3</v>
      </c>
    </row>
    <row r="96" spans="1:17">
      <c r="A96" s="74" t="s">
        <v>520</v>
      </c>
      <c r="B96" s="65" t="s">
        <v>522</v>
      </c>
      <c r="C96" s="71" t="s">
        <v>302</v>
      </c>
      <c r="D96" s="71">
        <f>ROUND(SUMIF(RV_DATA!W83:'RV_DATA'!W123, -1274116995, RV_DATA!I83:'RV_DATA'!I123), 6)</f>
        <v>3.5459999999999998</v>
      </c>
      <c r="E96" s="75">
        <f>ROUND(RV_DATA!N118, 6)</f>
        <v>287.56</v>
      </c>
      <c r="F96" s="75">
        <f>ROUND(SUMIF(RV_DATA!W83:'RV_DATA'!W123, -1274116995, RV_DATA!O83:'RV_DATA'!O123), 6)</f>
        <v>1019.59</v>
      </c>
      <c r="Q96" s="57">
        <v>3</v>
      </c>
    </row>
    <row r="97" spans="1:17">
      <c r="A97" s="74" t="s">
        <v>487</v>
      </c>
      <c r="B97" s="65" t="s">
        <v>489</v>
      </c>
      <c r="C97" s="71" t="s">
        <v>281</v>
      </c>
      <c r="D97" s="71">
        <f>ROUND(SUMIF(RV_DATA!W83:'RV_DATA'!W123, 1621356544, RV_DATA!I83:'RV_DATA'!I123), 6)</f>
        <v>3.4999999999999997E-5</v>
      </c>
      <c r="E97" s="75">
        <f>ROUND(RV_DATA!N102, 6)</f>
        <v>26071.29</v>
      </c>
      <c r="F97" s="75">
        <f>ROUND(SUMIF(RV_DATA!W83:'RV_DATA'!W123, 1621356544, RV_DATA!O83:'RV_DATA'!O123), 6)</f>
        <v>0.91</v>
      </c>
      <c r="Q97" s="57">
        <v>3</v>
      </c>
    </row>
    <row r="98" spans="1:17" ht="25.5">
      <c r="A98" s="74" t="s">
        <v>523</v>
      </c>
      <c r="B98" s="65" t="s">
        <v>525</v>
      </c>
      <c r="C98" s="71" t="s">
        <v>353</v>
      </c>
      <c r="D98" s="71">
        <f>ROUND(SUMIF(RV_DATA!W83:'RV_DATA'!W123, -1398523621, RV_DATA!I83:'RV_DATA'!I123), 6)</f>
        <v>38.769599999999997</v>
      </c>
      <c r="E98" s="75">
        <f>ROUND(RV_DATA!N117, 6)</f>
        <v>1041.76</v>
      </c>
      <c r="F98" s="75">
        <f>ROUND(SUMIF(RV_DATA!W83:'RV_DATA'!W123, -1398523621, RV_DATA!O83:'RV_DATA'!O123), 6)</f>
        <v>40388.699999999997</v>
      </c>
      <c r="Q98" s="57">
        <v>3</v>
      </c>
    </row>
    <row r="99" spans="1:17">
      <c r="A99" s="74" t="s">
        <v>484</v>
      </c>
      <c r="B99" s="65" t="s">
        <v>486</v>
      </c>
      <c r="C99" s="71" t="s">
        <v>281</v>
      </c>
      <c r="D99" s="71">
        <f>ROUND(SUMIF(RV_DATA!W83:'RV_DATA'!W123, 19394604, RV_DATA!I83:'RV_DATA'!I123), 6)</f>
        <v>1.06E-4</v>
      </c>
      <c r="E99" s="75">
        <f>ROUND(RV_DATA!N94, 6)</f>
        <v>77719.73</v>
      </c>
      <c r="F99" s="75">
        <f>ROUND(SUMIF(RV_DATA!W83:'RV_DATA'!W123, 19394604, RV_DATA!O83:'RV_DATA'!O123), 6)</f>
        <v>8.2100000000000009</v>
      </c>
      <c r="Q99" s="57">
        <v>3</v>
      </c>
    </row>
    <row r="100" spans="1:17">
      <c r="A100" s="74" t="s">
        <v>526</v>
      </c>
      <c r="B100" s="65" t="s">
        <v>528</v>
      </c>
      <c r="C100" s="71" t="s">
        <v>281</v>
      </c>
      <c r="D100" s="71">
        <f>ROUND(SUMIF(RV_DATA!W83:'RV_DATA'!W123, 990165814, RV_DATA!I83:'RV_DATA'!I123), 6)</f>
        <v>1.0165E-2</v>
      </c>
      <c r="E100" s="75">
        <f>ROUND(RV_DATA!N116, 6)</f>
        <v>105650.49</v>
      </c>
      <c r="F100" s="75">
        <f>ROUND(SUMIF(RV_DATA!W83:'RV_DATA'!W123, 990165814, RV_DATA!O83:'RV_DATA'!O123), 6)</f>
        <v>1073.97</v>
      </c>
      <c r="Q100" s="57">
        <v>3</v>
      </c>
    </row>
    <row r="101" spans="1:17">
      <c r="A101" s="74" t="s">
        <v>518</v>
      </c>
      <c r="B101" s="65" t="s">
        <v>519</v>
      </c>
      <c r="C101" s="71" t="s">
        <v>353</v>
      </c>
      <c r="D101" s="71">
        <f>ROUND(SUMIF(RV_DATA!W83:'RV_DATA'!W123, 391927932, RV_DATA!I83:'RV_DATA'!I123), 6)</f>
        <v>75.647999999999996</v>
      </c>
      <c r="E101" s="75">
        <f>ROUND(RV_DATA!N114, 6)</f>
        <v>63.2</v>
      </c>
      <c r="F101" s="75">
        <f>ROUND(SUMIF(RV_DATA!W83:'RV_DATA'!W123, 391927932, RV_DATA!O83:'RV_DATA'!O123), 6)</f>
        <v>4780.62</v>
      </c>
      <c r="Q101" s="57">
        <v>3</v>
      </c>
    </row>
    <row r="102" spans="1:17">
      <c r="A102" s="74" t="s">
        <v>543</v>
      </c>
      <c r="B102" s="65" t="s">
        <v>545</v>
      </c>
      <c r="C102" s="71" t="s">
        <v>281</v>
      </c>
      <c r="D102" s="71">
        <f>ROUND(SUMIF(RV_DATA!W83:'RV_DATA'!W123, 1434468608, RV_DATA!I83:'RV_DATA'!I123), 6)</f>
        <v>1.3140000000000001E-2</v>
      </c>
      <c r="E102" s="75">
        <f>ROUND(RV_DATA!N122, 6)</f>
        <v>80596.63</v>
      </c>
      <c r="F102" s="75">
        <f>ROUND(SUMIF(RV_DATA!W83:'RV_DATA'!W123, 1434468608, RV_DATA!O83:'RV_DATA'!O123), 6)</f>
        <v>1059.04</v>
      </c>
      <c r="Q102" s="57">
        <v>3</v>
      </c>
    </row>
    <row r="103" spans="1:17" ht="38.25">
      <c r="A103" s="74" t="s">
        <v>490</v>
      </c>
      <c r="B103" s="65" t="s">
        <v>492</v>
      </c>
      <c r="C103" s="71" t="s">
        <v>281</v>
      </c>
      <c r="D103" s="71">
        <f>ROUND(SUMIF(RV_DATA!W83:'RV_DATA'!W123, -1372109113, RV_DATA!I83:'RV_DATA'!I123), 6)</f>
        <v>6.6000000000000005E-5</v>
      </c>
      <c r="E103" s="75">
        <f>ROUND(RV_DATA!N101, 6)</f>
        <v>119906.53</v>
      </c>
      <c r="F103" s="75">
        <f>ROUND(SUMIF(RV_DATA!W83:'RV_DATA'!W123, -1372109113, RV_DATA!O83:'RV_DATA'!O123), 6)</f>
        <v>7.89</v>
      </c>
      <c r="Q103" s="57">
        <v>3</v>
      </c>
    </row>
    <row r="104" spans="1:17" ht="38.25">
      <c r="A104" s="74" t="s">
        <v>529</v>
      </c>
      <c r="B104" s="65" t="s">
        <v>531</v>
      </c>
      <c r="C104" s="71" t="s">
        <v>353</v>
      </c>
      <c r="D104" s="71">
        <f>ROUND(SUMIF(RV_DATA!W83:'RV_DATA'!W123, 672274760, RV_DATA!I83:'RV_DATA'!I123), 6)</f>
        <v>50.826000000000001</v>
      </c>
      <c r="E104" s="75">
        <f>ROUND(RV_DATA!N115, 6)</f>
        <v>541.16</v>
      </c>
      <c r="F104" s="75">
        <f>ROUND(SUMIF(RV_DATA!W83:'RV_DATA'!W123, 672274760, RV_DATA!O83:'RV_DATA'!O123), 6)</f>
        <v>27504.9</v>
      </c>
      <c r="Q104" s="57">
        <v>3</v>
      </c>
    </row>
    <row r="105" spans="1:17">
      <c r="A105" s="74" t="s">
        <v>493</v>
      </c>
      <c r="B105" s="65" t="s">
        <v>495</v>
      </c>
      <c r="C105" s="71" t="s">
        <v>281</v>
      </c>
      <c r="D105" s="71">
        <f>ROUND(SUMIF(RV_DATA!W83:'RV_DATA'!W123, -661352614, RV_DATA!I83:'RV_DATA'!I123), 6)</f>
        <v>1.789E-3</v>
      </c>
      <c r="E105" s="75">
        <f>ROUND(RV_DATA!N100, 6)</f>
        <v>103392.57</v>
      </c>
      <c r="F105" s="75">
        <f>ROUND(SUMIF(RV_DATA!W83:'RV_DATA'!W123, -661352614, RV_DATA!O83:'RV_DATA'!O123), 6)</f>
        <v>184.92</v>
      </c>
      <c r="Q105" s="57">
        <v>3</v>
      </c>
    </row>
    <row r="106" spans="1:17">
      <c r="A106" s="74" t="s">
        <v>534</v>
      </c>
      <c r="B106" s="65" t="s">
        <v>536</v>
      </c>
      <c r="C106" s="71" t="s">
        <v>281</v>
      </c>
      <c r="D106" s="71">
        <f>ROUND(SUMIF(RV_DATA!W83:'RV_DATA'!W123, 1031682085, RV_DATA!I83:'RV_DATA'!I123), 6)</f>
        <v>0.13474800000000001</v>
      </c>
      <c r="E106" s="75">
        <f>ROUND(RV_DATA!N120, 6)</f>
        <v>55330.52</v>
      </c>
      <c r="F106" s="75">
        <f>ROUND(SUMIF(RV_DATA!W83:'RV_DATA'!W123, 1031682085, RV_DATA!O83:'RV_DATA'!O123), 6)</f>
        <v>7455.68</v>
      </c>
      <c r="Q106" s="57">
        <v>3</v>
      </c>
    </row>
    <row r="107" spans="1:17">
      <c r="A107" s="74" t="s">
        <v>496</v>
      </c>
      <c r="B107" s="65" t="s">
        <v>498</v>
      </c>
      <c r="C107" s="71" t="s">
        <v>281</v>
      </c>
      <c r="D107" s="71">
        <f>ROUND(SUMIF(RV_DATA!W83:'RV_DATA'!W123, -1900597122, RV_DATA!I83:'RV_DATA'!I123), 6)</f>
        <v>8.4699999999999999E-4</v>
      </c>
      <c r="E107" s="75">
        <f>ROUND(RV_DATA!N99, 6)</f>
        <v>104930.55</v>
      </c>
      <c r="F107" s="75">
        <f>ROUND(SUMIF(RV_DATA!W83:'RV_DATA'!W123, -1900597122, RV_DATA!O83:'RV_DATA'!O123), 6)</f>
        <v>88.88</v>
      </c>
      <c r="Q107" s="57">
        <v>3</v>
      </c>
    </row>
    <row r="108" spans="1:17" ht="25.5">
      <c r="A108" s="74" t="s">
        <v>357</v>
      </c>
      <c r="B108" s="65" t="s">
        <v>359</v>
      </c>
      <c r="C108" s="71" t="s">
        <v>349</v>
      </c>
      <c r="D108" s="71">
        <f>ROUND(SUMIF(RV_DATA!W83:'RV_DATA'!W123, 1167723416, RV_DATA!I83:'RV_DATA'!I123), 6)</f>
        <v>1.56E-4</v>
      </c>
      <c r="E108" s="75">
        <f>ROUND(RV_DATA!N89, 6)</f>
        <v>7098.7</v>
      </c>
      <c r="F108" s="75">
        <f>ROUND(SUMIF(RV_DATA!W83:'RV_DATA'!W123, 1167723416, RV_DATA!O83:'RV_DATA'!O123), 6)</f>
        <v>1.1100000000000001</v>
      </c>
      <c r="Q108" s="57">
        <v>3</v>
      </c>
    </row>
    <row r="109" spans="1:17" ht="38.25">
      <c r="A109" s="74" t="s">
        <v>469</v>
      </c>
      <c r="B109" s="65" t="s">
        <v>471</v>
      </c>
      <c r="C109" s="71" t="s">
        <v>349</v>
      </c>
      <c r="D109" s="71">
        <f>ROUND(SUMIF(RV_DATA!W83:'RV_DATA'!W123, 1007544638, RV_DATA!I83:'RV_DATA'!I123), 6)</f>
        <v>0.39779999999999999</v>
      </c>
      <c r="E109" s="75">
        <f>ROUND(RV_DATA!N88, 6)</f>
        <v>3247.23</v>
      </c>
      <c r="F109" s="75">
        <f>ROUND(SUMIF(RV_DATA!W83:'RV_DATA'!W123, 1007544638, RV_DATA!O83:'RV_DATA'!O123), 6)</f>
        <v>1291.75</v>
      </c>
      <c r="Q109" s="57">
        <v>3</v>
      </c>
    </row>
    <row r="110" spans="1:17" ht="51">
      <c r="A110" s="74" t="s">
        <v>499</v>
      </c>
      <c r="B110" s="65" t="s">
        <v>501</v>
      </c>
      <c r="C110" s="71" t="s">
        <v>281</v>
      </c>
      <c r="D110" s="71">
        <f>ROUND(SUMIF(RV_DATA!W83:'RV_DATA'!W123, -2082165412, RV_DATA!I83:'RV_DATA'!I123), 6)</f>
        <v>1.838E-3</v>
      </c>
      <c r="E110" s="75">
        <f>ROUND(RV_DATA!N98, 6)</f>
        <v>4664.17</v>
      </c>
      <c r="F110" s="75">
        <f>ROUND(SUMIF(RV_DATA!W83:'RV_DATA'!W123, -2082165412, RV_DATA!O83:'RV_DATA'!O123), 6)</f>
        <v>8.57</v>
      </c>
      <c r="Q110" s="57">
        <v>3</v>
      </c>
    </row>
    <row r="111" spans="1:17" ht="38.25">
      <c r="A111" s="74" t="s">
        <v>502</v>
      </c>
      <c r="B111" s="65" t="s">
        <v>504</v>
      </c>
      <c r="C111" s="71" t="s">
        <v>281</v>
      </c>
      <c r="D111" s="71">
        <f>ROUND(SUMIF(RV_DATA!W83:'RV_DATA'!W123, -593828415, RV_DATA!I83:'RV_DATA'!I123), 6)</f>
        <v>1.8089999999999999</v>
      </c>
      <c r="E111" s="75">
        <f>ROUND(RV_DATA!N103, 6)</f>
        <v>53233.52</v>
      </c>
      <c r="F111" s="75">
        <f>ROUND(SUMIF(RV_DATA!W83:'RV_DATA'!W123, -593828415, RV_DATA!O83:'RV_DATA'!O123), 6)</f>
        <v>96299.44</v>
      </c>
      <c r="Q111" s="57">
        <v>3</v>
      </c>
    </row>
    <row r="112" spans="1:17" ht="38.25">
      <c r="A112" s="74" t="s">
        <v>472</v>
      </c>
      <c r="B112" s="65" t="s">
        <v>474</v>
      </c>
      <c r="C112" s="71" t="s">
        <v>302</v>
      </c>
      <c r="D112" s="71">
        <f>ROUND(SUMIF(RV_DATA!W83:'RV_DATA'!W123, -334664347, RV_DATA!I83:'RV_DATA'!I123), 6)</f>
        <v>1.404E-2</v>
      </c>
      <c r="E112" s="75">
        <f>ROUND(RV_DATA!N87, 6)</f>
        <v>473.82</v>
      </c>
      <c r="F112" s="75">
        <f>ROUND(SUMIF(RV_DATA!W83:'RV_DATA'!W123, -334664347, RV_DATA!O83:'RV_DATA'!O123), 6)</f>
        <v>6.65</v>
      </c>
      <c r="Q112" s="57">
        <v>3</v>
      </c>
    </row>
    <row r="113" spans="1:6" hidden="1">
      <c r="A113" s="127" t="s">
        <v>676</v>
      </c>
      <c r="B113" s="127"/>
      <c r="C113" s="127"/>
      <c r="D113" s="127"/>
      <c r="E113" s="128">
        <f>SUMIF(Q77:Q112, 3, F77:F112)</f>
        <v>478804.08</v>
      </c>
      <c r="F113" s="129"/>
    </row>
  </sheetData>
  <sortState ref="A78:R113">
    <sortCondition ref="A78"/>
  </sortState>
  <mergeCells count="35">
    <mergeCell ref="A75:F75"/>
    <mergeCell ref="A76:F76"/>
    <mergeCell ref="A113:D113"/>
    <mergeCell ref="E113:F113"/>
    <mergeCell ref="A68:D68"/>
    <mergeCell ref="E68:F68"/>
    <mergeCell ref="A69:F69"/>
    <mergeCell ref="A70:F70"/>
    <mergeCell ref="A74:D74"/>
    <mergeCell ref="E74:F74"/>
    <mergeCell ref="A58:F58"/>
    <mergeCell ref="A19:F19"/>
    <mergeCell ref="A30:D30"/>
    <mergeCell ref="E30:F30"/>
    <mergeCell ref="A31:F31"/>
    <mergeCell ref="A32:F32"/>
    <mergeCell ref="A40:D40"/>
    <mergeCell ref="E40:F40"/>
    <mergeCell ref="A41:F41"/>
    <mergeCell ref="A42:F42"/>
    <mergeCell ref="A56:D56"/>
    <mergeCell ref="E56:F56"/>
    <mergeCell ref="A57:F57"/>
    <mergeCell ref="A18:F18"/>
    <mergeCell ref="A2:F2"/>
    <mergeCell ref="A3:F3"/>
    <mergeCell ref="A4:A6"/>
    <mergeCell ref="B4:B6"/>
    <mergeCell ref="C4:C6"/>
    <mergeCell ref="D4:D6"/>
    <mergeCell ref="E4:F5"/>
    <mergeCell ref="A8:F8"/>
    <mergeCell ref="A9:F9"/>
    <mergeCell ref="A17:D17"/>
    <mergeCell ref="E17:F17"/>
  </mergeCells>
  <pageMargins left="0.6" right="0.4" top="0.65" bottom="0.4" header="0.4" footer="0.4"/>
  <pageSetup paperSize="9" scale="96" fitToHeight="0" orientation="portrait" horizontalDpi="0" verticalDpi="0" r:id="rId1"/>
  <headerFooter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K430"/>
  <sheetViews>
    <sheetView workbookViewId="0">
      <selection activeCell="F12" sqref="F12"/>
    </sheetView>
  </sheetViews>
  <sheetFormatPr defaultColWidth="9.140625" defaultRowHeight="12.75"/>
  <cols>
    <col min="1" max="256" width="9.140625" customWidth="1"/>
  </cols>
  <sheetData>
    <row r="1" spans="1:133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36063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>
      <c r="A12" s="1">
        <v>1</v>
      </c>
      <c r="B12" s="1">
        <v>426</v>
      </c>
      <c r="C12" s="1">
        <v>0</v>
      </c>
      <c r="D12" s="1">
        <f>ROW(A390)</f>
        <v>390</v>
      </c>
      <c r="E12" s="1">
        <v>0</v>
      </c>
      <c r="F12" s="1"/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>
      <c r="A18" s="2">
        <v>52</v>
      </c>
      <c r="B18" s="2">
        <f t="shared" ref="B18:G18" si="0">B390</f>
        <v>426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/>
      </c>
      <c r="G18" s="2" t="str">
        <f t="shared" si="0"/>
        <v>Цветник № 10 Кр Маяка 1-1_2_лот</v>
      </c>
      <c r="H18" s="2"/>
      <c r="I18" s="2"/>
      <c r="J18" s="2"/>
      <c r="K18" s="2"/>
      <c r="L18" s="2"/>
      <c r="M18" s="2"/>
      <c r="N18" s="2"/>
      <c r="O18" s="2">
        <f t="shared" ref="O18:AT18" si="1">O390</f>
        <v>1593111.98</v>
      </c>
      <c r="P18" s="2">
        <f t="shared" si="1"/>
        <v>1071308.1200000001</v>
      </c>
      <c r="Q18" s="2">
        <f t="shared" si="1"/>
        <v>55597.54</v>
      </c>
      <c r="R18" s="2">
        <f t="shared" si="1"/>
        <v>21255.279999999999</v>
      </c>
      <c r="S18" s="2">
        <f t="shared" si="1"/>
        <v>466206.32</v>
      </c>
      <c r="T18" s="2">
        <f t="shared" si="1"/>
        <v>0</v>
      </c>
      <c r="U18" s="2">
        <f t="shared" si="1"/>
        <v>2250.7538860028253</v>
      </c>
      <c r="V18" s="2">
        <f t="shared" si="1"/>
        <v>0</v>
      </c>
      <c r="W18" s="2">
        <f t="shared" si="1"/>
        <v>0</v>
      </c>
      <c r="X18" s="2">
        <f t="shared" si="1"/>
        <v>328399.99</v>
      </c>
      <c r="Y18" s="2">
        <f t="shared" si="1"/>
        <v>46620.67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1991088.33</v>
      </c>
      <c r="AS18" s="2">
        <f t="shared" si="1"/>
        <v>0</v>
      </c>
      <c r="AT18" s="2">
        <f t="shared" si="1"/>
        <v>0</v>
      </c>
      <c r="AU18" s="2">
        <f t="shared" ref="AU18:BZ18" si="2">AU390</f>
        <v>1991088.33</v>
      </c>
      <c r="AV18" s="2">
        <f t="shared" si="2"/>
        <v>1071308.1200000001</v>
      </c>
      <c r="AW18" s="2">
        <f t="shared" si="2"/>
        <v>1071308.1200000001</v>
      </c>
      <c r="AX18" s="2">
        <f t="shared" si="2"/>
        <v>0</v>
      </c>
      <c r="AY18" s="2">
        <f t="shared" si="2"/>
        <v>1071308.1200000001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CA390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DG390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EM390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FS390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>
      <c r="A20" s="1">
        <v>3</v>
      </c>
      <c r="B20" s="1">
        <v>1</v>
      </c>
      <c r="C20" s="1"/>
      <c r="D20" s="1">
        <f>ROW(A361)</f>
        <v>361</v>
      </c>
      <c r="E20" s="1"/>
      <c r="F20" s="1" t="s">
        <v>12</v>
      </c>
      <c r="G20" s="1" t="s">
        <v>13</v>
      </c>
      <c r="H20" s="1" t="s">
        <v>3</v>
      </c>
      <c r="I20" s="1">
        <v>0</v>
      </c>
      <c r="J20" s="1" t="s">
        <v>3</v>
      </c>
      <c r="K20" s="1">
        <v>-1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</row>
    <row r="22" spans="1:245">
      <c r="A22" s="2">
        <v>52</v>
      </c>
      <c r="B22" s="2">
        <f t="shared" ref="B22:G22" si="7">B361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  <c r="H22" s="2"/>
      <c r="I22" s="2"/>
      <c r="J22" s="2"/>
      <c r="K22" s="2"/>
      <c r="L22" s="2"/>
      <c r="M22" s="2"/>
      <c r="N22" s="2"/>
      <c r="O22" s="2">
        <f t="shared" ref="O22:AT22" si="8">O361</f>
        <v>1593111.98</v>
      </c>
      <c r="P22" s="2">
        <f t="shared" si="8"/>
        <v>1071308.1200000001</v>
      </c>
      <c r="Q22" s="2">
        <f t="shared" si="8"/>
        <v>55597.54</v>
      </c>
      <c r="R22" s="2">
        <f t="shared" si="8"/>
        <v>21255.279999999999</v>
      </c>
      <c r="S22" s="2">
        <f t="shared" si="8"/>
        <v>466206.32</v>
      </c>
      <c r="T22" s="2">
        <f t="shared" si="8"/>
        <v>0</v>
      </c>
      <c r="U22" s="2">
        <f t="shared" si="8"/>
        <v>2250.7538860028253</v>
      </c>
      <c r="V22" s="2">
        <f t="shared" si="8"/>
        <v>0</v>
      </c>
      <c r="W22" s="2">
        <f t="shared" si="8"/>
        <v>0</v>
      </c>
      <c r="X22" s="2">
        <f t="shared" si="8"/>
        <v>328399.99</v>
      </c>
      <c r="Y22" s="2">
        <f t="shared" si="8"/>
        <v>46620.67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1991088.33</v>
      </c>
      <c r="AS22" s="2">
        <f t="shared" si="8"/>
        <v>0</v>
      </c>
      <c r="AT22" s="2">
        <f t="shared" si="8"/>
        <v>0</v>
      </c>
      <c r="AU22" s="2">
        <f t="shared" ref="AU22:BZ22" si="9">AU361</f>
        <v>1991088.33</v>
      </c>
      <c r="AV22" s="2">
        <f t="shared" si="9"/>
        <v>1071308.1200000001</v>
      </c>
      <c r="AW22" s="2">
        <f t="shared" si="9"/>
        <v>1071308.1200000001</v>
      </c>
      <c r="AX22" s="2">
        <f t="shared" si="9"/>
        <v>0</v>
      </c>
      <c r="AY22" s="2">
        <f t="shared" si="9"/>
        <v>1071308.1200000001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CA361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DG361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EM361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FS361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>
      <c r="A24" s="1">
        <v>4</v>
      </c>
      <c r="B24" s="1">
        <v>1</v>
      </c>
      <c r="C24" s="1"/>
      <c r="D24" s="1">
        <f>ROW(A41)</f>
        <v>41</v>
      </c>
      <c r="E24" s="1"/>
      <c r="F24" s="1" t="s">
        <v>14</v>
      </c>
      <c r="G24" s="1" t="s">
        <v>15</v>
      </c>
      <c r="H24" s="1" t="s">
        <v>3</v>
      </c>
      <c r="I24" s="1">
        <v>0</v>
      </c>
      <c r="J24" s="1"/>
      <c r="K24" s="1">
        <v>-1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>
      <c r="A26" s="2">
        <v>52</v>
      </c>
      <c r="B26" s="2">
        <f t="shared" ref="B26:G26" si="14">B41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Устройство цветника - 75м2</v>
      </c>
      <c r="H26" s="2"/>
      <c r="I26" s="2"/>
      <c r="J26" s="2"/>
      <c r="K26" s="2"/>
      <c r="L26" s="2"/>
      <c r="M26" s="2"/>
      <c r="N26" s="2"/>
      <c r="O26" s="2">
        <f t="shared" ref="O26:AT26" si="15">O41</f>
        <v>175378.94</v>
      </c>
      <c r="P26" s="2">
        <f t="shared" si="15"/>
        <v>138636.5</v>
      </c>
      <c r="Q26" s="2">
        <f t="shared" si="15"/>
        <v>630.44000000000005</v>
      </c>
      <c r="R26" s="2">
        <f t="shared" si="15"/>
        <v>348.14</v>
      </c>
      <c r="S26" s="2">
        <f t="shared" si="15"/>
        <v>36112</v>
      </c>
      <c r="T26" s="2">
        <f t="shared" si="15"/>
        <v>0</v>
      </c>
      <c r="U26" s="2">
        <f t="shared" si="15"/>
        <v>193.27262500282498</v>
      </c>
      <c r="V26" s="2">
        <f t="shared" si="15"/>
        <v>0</v>
      </c>
      <c r="W26" s="2">
        <f t="shared" si="15"/>
        <v>0</v>
      </c>
      <c r="X26" s="2">
        <f t="shared" si="15"/>
        <v>25278.42</v>
      </c>
      <c r="Y26" s="2">
        <f t="shared" si="15"/>
        <v>3611.21</v>
      </c>
      <c r="Z26" s="2">
        <f t="shared" si="15"/>
        <v>0</v>
      </c>
      <c r="AA26" s="2">
        <f t="shared" si="15"/>
        <v>0</v>
      </c>
      <c r="AB26" s="2">
        <f t="shared" si="15"/>
        <v>175378.94</v>
      </c>
      <c r="AC26" s="2">
        <f t="shared" si="15"/>
        <v>138636.5</v>
      </c>
      <c r="AD26" s="2">
        <f t="shared" si="15"/>
        <v>630.44000000000005</v>
      </c>
      <c r="AE26" s="2">
        <f t="shared" si="15"/>
        <v>348.14</v>
      </c>
      <c r="AF26" s="2">
        <f t="shared" si="15"/>
        <v>36112</v>
      </c>
      <c r="AG26" s="2">
        <f t="shared" si="15"/>
        <v>0</v>
      </c>
      <c r="AH26" s="2">
        <f t="shared" si="15"/>
        <v>193.27262500282498</v>
      </c>
      <c r="AI26" s="2">
        <f t="shared" si="15"/>
        <v>0</v>
      </c>
      <c r="AJ26" s="2">
        <f t="shared" si="15"/>
        <v>0</v>
      </c>
      <c r="AK26" s="2">
        <f t="shared" si="15"/>
        <v>25278.42</v>
      </c>
      <c r="AL26" s="2">
        <f t="shared" si="15"/>
        <v>3611.21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204644.56</v>
      </c>
      <c r="AS26" s="2">
        <f t="shared" si="15"/>
        <v>0</v>
      </c>
      <c r="AT26" s="2">
        <f t="shared" si="15"/>
        <v>0</v>
      </c>
      <c r="AU26" s="2">
        <f t="shared" ref="AU26:BZ26" si="16">AU41</f>
        <v>204644.56</v>
      </c>
      <c r="AV26" s="2">
        <f t="shared" si="16"/>
        <v>138636.5</v>
      </c>
      <c r="AW26" s="2">
        <f t="shared" si="16"/>
        <v>138636.5</v>
      </c>
      <c r="AX26" s="2">
        <f t="shared" si="16"/>
        <v>0</v>
      </c>
      <c r="AY26" s="2">
        <f t="shared" si="16"/>
        <v>138636.5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CA41</f>
        <v>204644.56</v>
      </c>
      <c r="CB26" s="2">
        <f t="shared" si="17"/>
        <v>0</v>
      </c>
      <c r="CC26" s="2">
        <f t="shared" si="17"/>
        <v>0</v>
      </c>
      <c r="CD26" s="2">
        <f t="shared" si="17"/>
        <v>204644.56</v>
      </c>
      <c r="CE26" s="2">
        <f t="shared" si="17"/>
        <v>138636.5</v>
      </c>
      <c r="CF26" s="2">
        <f t="shared" si="17"/>
        <v>138636.5</v>
      </c>
      <c r="CG26" s="2">
        <f t="shared" si="17"/>
        <v>0</v>
      </c>
      <c r="CH26" s="2">
        <f t="shared" si="17"/>
        <v>138636.5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DG41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EM41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FS41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>
      <c r="A28">
        <v>17</v>
      </c>
      <c r="B28">
        <v>1</v>
      </c>
      <c r="C28">
        <f>ROW(SmtRes!A2)</f>
        <v>2</v>
      </c>
      <c r="D28">
        <f>ROW(EtalonRes!A2)</f>
        <v>2</v>
      </c>
      <c r="E28" t="s">
        <v>4</v>
      </c>
      <c r="F28" t="s">
        <v>16</v>
      </c>
      <c r="G28" t="s">
        <v>17</v>
      </c>
      <c r="H28" t="s">
        <v>18</v>
      </c>
      <c r="I28">
        <f>ROUND(75*0.75/100,9)</f>
        <v>0.5625</v>
      </c>
      <c r="J28">
        <v>0</v>
      </c>
      <c r="O28">
        <f t="shared" ref="O28:O39" si="21">ROUND(CP28,2)</f>
        <v>3961.93</v>
      </c>
      <c r="P28">
        <f t="shared" ref="P28:P39" si="22">ROUND(CQ28*I28,2)</f>
        <v>0</v>
      </c>
      <c r="Q28">
        <f t="shared" ref="Q28:Q39" si="23">ROUND(CR28*I28,2)</f>
        <v>840.58</v>
      </c>
      <c r="R28">
        <f t="shared" ref="R28:R39" si="24">ROUND(CS28*I28,2)</f>
        <v>464.18</v>
      </c>
      <c r="S28">
        <f t="shared" ref="S28:S39" si="25">ROUND(CT28*I28,2)</f>
        <v>3121.35</v>
      </c>
      <c r="T28">
        <f t="shared" ref="T28:T39" si="26">ROUND(CU28*I28,2)</f>
        <v>0</v>
      </c>
      <c r="U28">
        <f t="shared" ref="U28:U39" si="27">CV28*I28</f>
        <v>23.276250000000001</v>
      </c>
      <c r="V28">
        <f t="shared" ref="V28:V39" si="28">CW28*I28</f>
        <v>0</v>
      </c>
      <c r="W28">
        <f t="shared" ref="W28:W39" si="29">ROUND(CX28*I28,2)</f>
        <v>0</v>
      </c>
      <c r="X28">
        <f t="shared" ref="X28:X39" si="30">ROUND(CY28,2)</f>
        <v>2184.9499999999998</v>
      </c>
      <c r="Y28">
        <f t="shared" ref="Y28:Y39" si="31">ROUND(CZ28,2)</f>
        <v>312.14</v>
      </c>
      <c r="AA28">
        <v>42225948</v>
      </c>
      <c r="AB28">
        <f t="shared" ref="AB28:AB39" si="32">ROUND((AC28+AD28+AF28),6)</f>
        <v>7043.43</v>
      </c>
      <c r="AC28">
        <f>ROUND((ES28),6)</f>
        <v>0</v>
      </c>
      <c r="AD28">
        <f>ROUND((((ET28)-(EU28))+AE28),6)</f>
        <v>1494.37</v>
      </c>
      <c r="AE28">
        <f t="shared" ref="AE28:AF32" si="33">ROUND((EU28),6)</f>
        <v>825.2</v>
      </c>
      <c r="AF28">
        <f t="shared" si="33"/>
        <v>5549.06</v>
      </c>
      <c r="AG28">
        <f t="shared" ref="AG28:AG39" si="34">ROUND((AP28),6)</f>
        <v>0</v>
      </c>
      <c r="AH28">
        <f t="shared" ref="AH28:AI32" si="35">(EW28)</f>
        <v>41.38</v>
      </c>
      <c r="AI28">
        <f t="shared" si="35"/>
        <v>0</v>
      </c>
      <c r="AJ28">
        <f t="shared" ref="AJ28:AJ39" si="36">(AS28)</f>
        <v>0</v>
      </c>
      <c r="AK28">
        <v>7043.43</v>
      </c>
      <c r="AL28">
        <v>0</v>
      </c>
      <c r="AM28">
        <v>1494.37</v>
      </c>
      <c r="AN28">
        <v>825.2</v>
      </c>
      <c r="AO28">
        <v>5549.06</v>
      </c>
      <c r="AP28">
        <v>0</v>
      </c>
      <c r="AQ28">
        <v>41.38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19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39" si="37">(P28+Q28+S28)</f>
        <v>3961.93</v>
      </c>
      <c r="CQ28">
        <f t="shared" ref="CQ28:CQ39" si="38">(AC28*BC28*AW28)</f>
        <v>0</v>
      </c>
      <c r="CR28">
        <f>((((ET28)*BB28-(EU28)*BS28)+AE28*BS28)*AV28)</f>
        <v>1494.37</v>
      </c>
      <c r="CS28">
        <f t="shared" ref="CS28:CS39" si="39">(AE28*BS28*AV28)</f>
        <v>825.2</v>
      </c>
      <c r="CT28">
        <f t="shared" ref="CT28:CT39" si="40">(AF28*BA28*AV28)</f>
        <v>5549.06</v>
      </c>
      <c r="CU28">
        <f t="shared" ref="CU28:CU39" si="41">AG28</f>
        <v>0</v>
      </c>
      <c r="CV28">
        <f t="shared" ref="CV28:CV39" si="42">(AH28*AV28)</f>
        <v>41.38</v>
      </c>
      <c r="CW28">
        <f t="shared" ref="CW28:CW39" si="43">AI28</f>
        <v>0</v>
      </c>
      <c r="CX28">
        <f t="shared" ref="CX28:CX39" si="44">AJ28</f>
        <v>0</v>
      </c>
      <c r="CY28">
        <f t="shared" ref="CY28:CY39" si="45">((S28*BZ28)/100)</f>
        <v>2184.9450000000002</v>
      </c>
      <c r="CZ28">
        <f t="shared" ref="CZ28:CZ39" si="46">((S28*CA28)/100)</f>
        <v>312.13499999999999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1005</v>
      </c>
      <c r="DV28" t="s">
        <v>18</v>
      </c>
      <c r="DW28" t="s">
        <v>18</v>
      </c>
      <c r="DX28">
        <v>100</v>
      </c>
      <c r="EE28">
        <v>40050625</v>
      </c>
      <c r="EF28">
        <v>1</v>
      </c>
      <c r="EG28" t="s">
        <v>20</v>
      </c>
      <c r="EH28">
        <v>0</v>
      </c>
      <c r="EI28" t="s">
        <v>3</v>
      </c>
      <c r="EJ28">
        <v>4</v>
      </c>
      <c r="EK28">
        <v>0</v>
      </c>
      <c r="EL28" t="s">
        <v>21</v>
      </c>
      <c r="EM28" t="s">
        <v>22</v>
      </c>
      <c r="EO28" t="s">
        <v>3</v>
      </c>
      <c r="EQ28">
        <v>0</v>
      </c>
      <c r="ER28">
        <v>7043.43</v>
      </c>
      <c r="ES28">
        <v>0</v>
      </c>
      <c r="ET28">
        <v>1494.37</v>
      </c>
      <c r="EU28">
        <v>825.2</v>
      </c>
      <c r="EV28">
        <v>5549.06</v>
      </c>
      <c r="EW28">
        <v>41.38</v>
      </c>
      <c r="EX28">
        <v>0</v>
      </c>
      <c r="EY28">
        <v>0</v>
      </c>
      <c r="FQ28">
        <v>0</v>
      </c>
      <c r="FR28">
        <f t="shared" ref="FR28:FR39" si="47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1528900916</v>
      </c>
      <c r="GG28">
        <v>2</v>
      </c>
      <c r="GH28">
        <v>1</v>
      </c>
      <c r="GI28">
        <v>-2</v>
      </c>
      <c r="GJ28">
        <v>0</v>
      </c>
      <c r="GK28">
        <f>ROUND(R28*(R12)/100,2)</f>
        <v>501.31</v>
      </c>
      <c r="GL28">
        <f t="shared" ref="GL28:GL39" si="48">ROUND(IF(AND(BH28=3,BI28=3,FS28&lt;&gt;0),P28,0),2)</f>
        <v>0</v>
      </c>
      <c r="GM28">
        <f t="shared" ref="GM28:GM39" si="49">ROUND(O28+X28+Y28+GK28,2)+GX28</f>
        <v>6960.33</v>
      </c>
      <c r="GN28">
        <f t="shared" ref="GN28:GN39" si="50">IF(OR(BI28=0,BI28=1),ROUND(O28+X28+Y28+GK28,2),0)</f>
        <v>0</v>
      </c>
      <c r="GO28">
        <f t="shared" ref="GO28:GO39" si="51">IF(BI28=2,ROUND(O28+X28+Y28+GK28,2),0)</f>
        <v>0</v>
      </c>
      <c r="GP28">
        <f t="shared" ref="GP28:GP39" si="52">IF(BI28=4,ROUND(O28+X28+Y28+GK28,2)+GX28,0)</f>
        <v>6960.33</v>
      </c>
      <c r="GR28">
        <v>0</v>
      </c>
      <c r="GS28">
        <v>0</v>
      </c>
      <c r="GT28">
        <v>0</v>
      </c>
      <c r="GU28" t="s">
        <v>3</v>
      </c>
      <c r="GV28">
        <f t="shared" ref="GV28:GV39" si="53">ROUND((GT28),6)</f>
        <v>0</v>
      </c>
      <c r="GW28">
        <v>1</v>
      </c>
      <c r="GX28">
        <f t="shared" ref="GX28:GX39" si="54">ROUND(HC28*I28,2)</f>
        <v>0</v>
      </c>
      <c r="HA28">
        <v>0</v>
      </c>
      <c r="HB28">
        <v>0</v>
      </c>
      <c r="HC28">
        <f t="shared" ref="HC28:HC39" si="55">GV28*GW28</f>
        <v>0</v>
      </c>
      <c r="IK28">
        <v>0</v>
      </c>
    </row>
    <row r="29" spans="1:245">
      <c r="A29">
        <v>17</v>
      </c>
      <c r="B29">
        <v>1</v>
      </c>
      <c r="C29">
        <f>ROW(SmtRes!A4)</f>
        <v>4</v>
      </c>
      <c r="D29">
        <f>ROW(EtalonRes!A4)</f>
        <v>4</v>
      </c>
      <c r="E29" t="s">
        <v>23</v>
      </c>
      <c r="F29" t="s">
        <v>24</v>
      </c>
      <c r="G29" t="s">
        <v>25</v>
      </c>
      <c r="H29" t="s">
        <v>18</v>
      </c>
      <c r="I29">
        <f>ROUND(-75*0.75/100,9)</f>
        <v>-0.5625</v>
      </c>
      <c r="J29">
        <v>0</v>
      </c>
      <c r="O29">
        <f t="shared" si="21"/>
        <v>-833.96</v>
      </c>
      <c r="P29">
        <f t="shared" si="22"/>
        <v>0</v>
      </c>
      <c r="Q29">
        <f t="shared" si="23"/>
        <v>-210.14</v>
      </c>
      <c r="R29">
        <f t="shared" si="24"/>
        <v>-116.04</v>
      </c>
      <c r="S29">
        <f t="shared" si="25"/>
        <v>-623.82000000000005</v>
      </c>
      <c r="T29">
        <f t="shared" si="26"/>
        <v>0</v>
      </c>
      <c r="U29">
        <f t="shared" si="27"/>
        <v>-4.6518749999999995</v>
      </c>
      <c r="V29">
        <f t="shared" si="28"/>
        <v>0</v>
      </c>
      <c r="W29">
        <f t="shared" si="29"/>
        <v>0</v>
      </c>
      <c r="X29">
        <f t="shared" si="30"/>
        <v>-436.67</v>
      </c>
      <c r="Y29">
        <f t="shared" si="31"/>
        <v>-62.38</v>
      </c>
      <c r="AA29">
        <v>42225948</v>
      </c>
      <c r="AB29">
        <f t="shared" si="32"/>
        <v>1482.6</v>
      </c>
      <c r="AC29">
        <f>ROUND((ES29),6)</f>
        <v>0</v>
      </c>
      <c r="AD29">
        <f>ROUND((((ET29)-(EU29))+AE29),6)</f>
        <v>373.59</v>
      </c>
      <c r="AE29">
        <f t="shared" si="33"/>
        <v>206.3</v>
      </c>
      <c r="AF29">
        <f t="shared" si="33"/>
        <v>1109.01</v>
      </c>
      <c r="AG29">
        <f t="shared" si="34"/>
        <v>0</v>
      </c>
      <c r="AH29">
        <f t="shared" si="35"/>
        <v>8.27</v>
      </c>
      <c r="AI29">
        <f t="shared" si="35"/>
        <v>0</v>
      </c>
      <c r="AJ29">
        <f t="shared" si="36"/>
        <v>0</v>
      </c>
      <c r="AK29">
        <v>1482.6</v>
      </c>
      <c r="AL29">
        <v>0</v>
      </c>
      <c r="AM29">
        <v>373.59</v>
      </c>
      <c r="AN29">
        <v>206.3</v>
      </c>
      <c r="AO29">
        <v>1109.01</v>
      </c>
      <c r="AP29">
        <v>0</v>
      </c>
      <c r="AQ29">
        <v>8.27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4</v>
      </c>
      <c r="BJ29" t="s">
        <v>26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37"/>
        <v>-833.96</v>
      </c>
      <c r="CQ29">
        <f t="shared" si="38"/>
        <v>0</v>
      </c>
      <c r="CR29">
        <f>((((ET29)*BB29-(EU29)*BS29)+AE29*BS29)*AV29)</f>
        <v>373.59</v>
      </c>
      <c r="CS29">
        <f t="shared" si="39"/>
        <v>206.3</v>
      </c>
      <c r="CT29">
        <f t="shared" si="40"/>
        <v>1109.01</v>
      </c>
      <c r="CU29">
        <f t="shared" si="41"/>
        <v>0</v>
      </c>
      <c r="CV29">
        <f t="shared" si="42"/>
        <v>8.27</v>
      </c>
      <c r="CW29">
        <f t="shared" si="43"/>
        <v>0</v>
      </c>
      <c r="CX29">
        <f t="shared" si="44"/>
        <v>0</v>
      </c>
      <c r="CY29">
        <f t="shared" si="45"/>
        <v>-436.67400000000004</v>
      </c>
      <c r="CZ29">
        <f t="shared" si="46"/>
        <v>-62.382000000000005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1005</v>
      </c>
      <c r="DV29" t="s">
        <v>18</v>
      </c>
      <c r="DW29" t="s">
        <v>18</v>
      </c>
      <c r="DX29">
        <v>100</v>
      </c>
      <c r="EE29">
        <v>40050625</v>
      </c>
      <c r="EF29">
        <v>1</v>
      </c>
      <c r="EG29" t="s">
        <v>20</v>
      </c>
      <c r="EH29">
        <v>0</v>
      </c>
      <c r="EI29" t="s">
        <v>3</v>
      </c>
      <c r="EJ29">
        <v>4</v>
      </c>
      <c r="EK29">
        <v>0</v>
      </c>
      <c r="EL29" t="s">
        <v>21</v>
      </c>
      <c r="EM29" t="s">
        <v>22</v>
      </c>
      <c r="EO29" t="s">
        <v>3</v>
      </c>
      <c r="EQ29">
        <v>0</v>
      </c>
      <c r="ER29">
        <v>1482.6</v>
      </c>
      <c r="ES29">
        <v>0</v>
      </c>
      <c r="ET29">
        <v>373.59</v>
      </c>
      <c r="EU29">
        <v>206.3</v>
      </c>
      <c r="EV29">
        <v>1109.01</v>
      </c>
      <c r="EW29">
        <v>8.27</v>
      </c>
      <c r="EX29">
        <v>0</v>
      </c>
      <c r="EY29">
        <v>0</v>
      </c>
      <c r="FQ29">
        <v>0</v>
      </c>
      <c r="FR29">
        <f t="shared" si="47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-2132329099</v>
      </c>
      <c r="GG29">
        <v>2</v>
      </c>
      <c r="GH29">
        <v>1</v>
      </c>
      <c r="GI29">
        <v>-2</v>
      </c>
      <c r="GJ29">
        <v>0</v>
      </c>
      <c r="GK29">
        <f>ROUND(R29*(R12)/100,2)</f>
        <v>-125.32</v>
      </c>
      <c r="GL29">
        <f t="shared" si="48"/>
        <v>0</v>
      </c>
      <c r="GM29">
        <f t="shared" si="49"/>
        <v>-1458.33</v>
      </c>
      <c r="GN29">
        <f t="shared" si="50"/>
        <v>0</v>
      </c>
      <c r="GO29">
        <f t="shared" si="51"/>
        <v>0</v>
      </c>
      <c r="GP29">
        <f t="shared" si="52"/>
        <v>-1458.33</v>
      </c>
      <c r="GR29">
        <v>0</v>
      </c>
      <c r="GS29">
        <v>0</v>
      </c>
      <c r="GT29">
        <v>0</v>
      </c>
      <c r="GU29" t="s">
        <v>3</v>
      </c>
      <c r="GV29">
        <f t="shared" si="53"/>
        <v>0</v>
      </c>
      <c r="GW29">
        <v>1</v>
      </c>
      <c r="GX29">
        <f t="shared" si="54"/>
        <v>0</v>
      </c>
      <c r="HA29">
        <v>0</v>
      </c>
      <c r="HB29">
        <v>0</v>
      </c>
      <c r="HC29">
        <f t="shared" si="55"/>
        <v>0</v>
      </c>
      <c r="IK29">
        <v>0</v>
      </c>
    </row>
    <row r="30" spans="1:245">
      <c r="A30">
        <v>17</v>
      </c>
      <c r="B30">
        <v>1</v>
      </c>
      <c r="C30">
        <f>ROW(SmtRes!A5)</f>
        <v>5</v>
      </c>
      <c r="D30">
        <f>ROW(EtalonRes!A5)</f>
        <v>5</v>
      </c>
      <c r="E30" t="s">
        <v>27</v>
      </c>
      <c r="F30" t="s">
        <v>28</v>
      </c>
      <c r="G30" t="s">
        <v>29</v>
      </c>
      <c r="H30" t="s">
        <v>18</v>
      </c>
      <c r="I30">
        <f>ROUND(75*0.25/100,9)</f>
        <v>0.1875</v>
      </c>
      <c r="J30">
        <v>0</v>
      </c>
      <c r="O30">
        <f t="shared" si="21"/>
        <v>2536.31</v>
      </c>
      <c r="P30">
        <f t="shared" si="22"/>
        <v>0</v>
      </c>
      <c r="Q30">
        <f t="shared" si="23"/>
        <v>0</v>
      </c>
      <c r="R30">
        <f t="shared" si="24"/>
        <v>0</v>
      </c>
      <c r="S30">
        <f t="shared" si="25"/>
        <v>2536.31</v>
      </c>
      <c r="T30">
        <f t="shared" si="26"/>
        <v>0</v>
      </c>
      <c r="U30">
        <f t="shared" si="27"/>
        <v>16.11375</v>
      </c>
      <c r="V30">
        <f t="shared" si="28"/>
        <v>0</v>
      </c>
      <c r="W30">
        <f t="shared" si="29"/>
        <v>0</v>
      </c>
      <c r="X30">
        <f t="shared" si="30"/>
        <v>1775.42</v>
      </c>
      <c r="Y30">
        <f t="shared" si="31"/>
        <v>253.63</v>
      </c>
      <c r="AA30">
        <v>42225948</v>
      </c>
      <c r="AB30">
        <f t="shared" si="32"/>
        <v>13526.96</v>
      </c>
      <c r="AC30">
        <f>ROUND((ES30),6)</f>
        <v>0</v>
      </c>
      <c r="AD30">
        <f>ROUND((((ET30)-(EU30))+AE30),6)</f>
        <v>0</v>
      </c>
      <c r="AE30">
        <f t="shared" si="33"/>
        <v>0</v>
      </c>
      <c r="AF30">
        <f t="shared" si="33"/>
        <v>13526.96</v>
      </c>
      <c r="AG30">
        <f t="shared" si="34"/>
        <v>0</v>
      </c>
      <c r="AH30">
        <f t="shared" si="35"/>
        <v>85.94</v>
      </c>
      <c r="AI30">
        <f t="shared" si="35"/>
        <v>0</v>
      </c>
      <c r="AJ30">
        <f t="shared" si="36"/>
        <v>0</v>
      </c>
      <c r="AK30">
        <v>13526.96</v>
      </c>
      <c r="AL30">
        <v>0</v>
      </c>
      <c r="AM30">
        <v>0</v>
      </c>
      <c r="AN30">
        <v>0</v>
      </c>
      <c r="AO30">
        <v>13526.96</v>
      </c>
      <c r="AP30">
        <v>0</v>
      </c>
      <c r="AQ30">
        <v>85.94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0</v>
      </c>
      <c r="BI30">
        <v>4</v>
      </c>
      <c r="BJ30" t="s">
        <v>30</v>
      </c>
      <c r="BM30">
        <v>0</v>
      </c>
      <c r="BN30">
        <v>0</v>
      </c>
      <c r="BO30" t="s">
        <v>3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37"/>
        <v>2536.31</v>
      </c>
      <c r="CQ30">
        <f t="shared" si="38"/>
        <v>0</v>
      </c>
      <c r="CR30">
        <f>((((ET30)*BB30-(EU30)*BS30)+AE30*BS30)*AV30)</f>
        <v>0</v>
      </c>
      <c r="CS30">
        <f t="shared" si="39"/>
        <v>0</v>
      </c>
      <c r="CT30">
        <f t="shared" si="40"/>
        <v>13526.96</v>
      </c>
      <c r="CU30">
        <f t="shared" si="41"/>
        <v>0</v>
      </c>
      <c r="CV30">
        <f t="shared" si="42"/>
        <v>85.94</v>
      </c>
      <c r="CW30">
        <f t="shared" si="43"/>
        <v>0</v>
      </c>
      <c r="CX30">
        <f t="shared" si="44"/>
        <v>0</v>
      </c>
      <c r="CY30">
        <f t="shared" si="45"/>
        <v>1775.4169999999999</v>
      </c>
      <c r="CZ30">
        <f t="shared" si="46"/>
        <v>253.63099999999997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1005</v>
      </c>
      <c r="DV30" t="s">
        <v>18</v>
      </c>
      <c r="DW30" t="s">
        <v>18</v>
      </c>
      <c r="DX30">
        <v>100</v>
      </c>
      <c r="EE30">
        <v>40050625</v>
      </c>
      <c r="EF30">
        <v>1</v>
      </c>
      <c r="EG30" t="s">
        <v>20</v>
      </c>
      <c r="EH30">
        <v>0</v>
      </c>
      <c r="EI30" t="s">
        <v>3</v>
      </c>
      <c r="EJ30">
        <v>4</v>
      </c>
      <c r="EK30">
        <v>0</v>
      </c>
      <c r="EL30" t="s">
        <v>21</v>
      </c>
      <c r="EM30" t="s">
        <v>22</v>
      </c>
      <c r="EO30" t="s">
        <v>3</v>
      </c>
      <c r="EQ30">
        <v>0</v>
      </c>
      <c r="ER30">
        <v>13526.96</v>
      </c>
      <c r="ES30">
        <v>0</v>
      </c>
      <c r="ET30">
        <v>0</v>
      </c>
      <c r="EU30">
        <v>0</v>
      </c>
      <c r="EV30">
        <v>13526.96</v>
      </c>
      <c r="EW30">
        <v>85.94</v>
      </c>
      <c r="EX30">
        <v>0</v>
      </c>
      <c r="EY30">
        <v>0</v>
      </c>
      <c r="FQ30">
        <v>0</v>
      </c>
      <c r="FR30">
        <f t="shared" si="47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-505051938</v>
      </c>
      <c r="GG30">
        <v>2</v>
      </c>
      <c r="GH30">
        <v>1</v>
      </c>
      <c r="GI30">
        <v>-2</v>
      </c>
      <c r="GJ30">
        <v>0</v>
      </c>
      <c r="GK30">
        <f>ROUND(R30*(R12)/100,2)</f>
        <v>0</v>
      </c>
      <c r="GL30">
        <f t="shared" si="48"/>
        <v>0</v>
      </c>
      <c r="GM30">
        <f t="shared" si="49"/>
        <v>4565.3599999999997</v>
      </c>
      <c r="GN30">
        <f t="shared" si="50"/>
        <v>0</v>
      </c>
      <c r="GO30">
        <f t="shared" si="51"/>
        <v>0</v>
      </c>
      <c r="GP30">
        <f t="shared" si="52"/>
        <v>4565.3599999999997</v>
      </c>
      <c r="GR30">
        <v>0</v>
      </c>
      <c r="GS30">
        <v>0</v>
      </c>
      <c r="GT30">
        <v>0</v>
      </c>
      <c r="GU30" t="s">
        <v>3</v>
      </c>
      <c r="GV30">
        <f t="shared" si="53"/>
        <v>0</v>
      </c>
      <c r="GW30">
        <v>1</v>
      </c>
      <c r="GX30">
        <f t="shared" si="54"/>
        <v>0</v>
      </c>
      <c r="HA30">
        <v>0</v>
      </c>
      <c r="HB30">
        <v>0</v>
      </c>
      <c r="HC30">
        <f t="shared" si="55"/>
        <v>0</v>
      </c>
      <c r="IK30">
        <v>0</v>
      </c>
    </row>
    <row r="31" spans="1:245">
      <c r="A31">
        <v>17</v>
      </c>
      <c r="B31">
        <v>1</v>
      </c>
      <c r="C31">
        <f>ROW(SmtRes!A6)</f>
        <v>6</v>
      </c>
      <c r="D31">
        <f>ROW(EtalonRes!A6)</f>
        <v>6</v>
      </c>
      <c r="E31" t="s">
        <v>31</v>
      </c>
      <c r="F31" t="s">
        <v>32</v>
      </c>
      <c r="G31" t="s">
        <v>33</v>
      </c>
      <c r="H31" t="s">
        <v>18</v>
      </c>
      <c r="I31">
        <f>ROUND(-75*0.25/100,9)</f>
        <v>-0.1875</v>
      </c>
      <c r="J31">
        <v>0</v>
      </c>
      <c r="O31">
        <f t="shared" si="21"/>
        <v>-633.92999999999995</v>
      </c>
      <c r="P31">
        <f t="shared" si="22"/>
        <v>0</v>
      </c>
      <c r="Q31">
        <f t="shared" si="23"/>
        <v>0</v>
      </c>
      <c r="R31">
        <f t="shared" si="24"/>
        <v>0</v>
      </c>
      <c r="S31">
        <f t="shared" si="25"/>
        <v>-633.92999999999995</v>
      </c>
      <c r="T31">
        <f t="shared" si="26"/>
        <v>0</v>
      </c>
      <c r="U31">
        <f t="shared" si="27"/>
        <v>-4.0274999999999999</v>
      </c>
      <c r="V31">
        <f t="shared" si="28"/>
        <v>0</v>
      </c>
      <c r="W31">
        <f t="shared" si="29"/>
        <v>0</v>
      </c>
      <c r="X31">
        <f t="shared" si="30"/>
        <v>-443.75</v>
      </c>
      <c r="Y31">
        <f t="shared" si="31"/>
        <v>-63.39</v>
      </c>
      <c r="AA31">
        <v>42225948</v>
      </c>
      <c r="AB31">
        <f t="shared" si="32"/>
        <v>3380.95</v>
      </c>
      <c r="AC31">
        <f>ROUND((ES31),6)</f>
        <v>0</v>
      </c>
      <c r="AD31">
        <f>ROUND((((ET31)-(EU31))+AE31),6)</f>
        <v>0</v>
      </c>
      <c r="AE31">
        <f t="shared" si="33"/>
        <v>0</v>
      </c>
      <c r="AF31">
        <f t="shared" si="33"/>
        <v>3380.95</v>
      </c>
      <c r="AG31">
        <f t="shared" si="34"/>
        <v>0</v>
      </c>
      <c r="AH31">
        <f t="shared" si="35"/>
        <v>21.48</v>
      </c>
      <c r="AI31">
        <f t="shared" si="35"/>
        <v>0</v>
      </c>
      <c r="AJ31">
        <f t="shared" si="36"/>
        <v>0</v>
      </c>
      <c r="AK31">
        <v>3380.95</v>
      </c>
      <c r="AL31">
        <v>0</v>
      </c>
      <c r="AM31">
        <v>0</v>
      </c>
      <c r="AN31">
        <v>0</v>
      </c>
      <c r="AO31">
        <v>3380.95</v>
      </c>
      <c r="AP31">
        <v>0</v>
      </c>
      <c r="AQ31">
        <v>21.48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4</v>
      </c>
      <c r="BJ31" t="s">
        <v>34</v>
      </c>
      <c r="BM31">
        <v>0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70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37"/>
        <v>-633.92999999999995</v>
      </c>
      <c r="CQ31">
        <f t="shared" si="38"/>
        <v>0</v>
      </c>
      <c r="CR31">
        <f>((((ET31)*BB31-(EU31)*BS31)+AE31*BS31)*AV31)</f>
        <v>0</v>
      </c>
      <c r="CS31">
        <f t="shared" si="39"/>
        <v>0</v>
      </c>
      <c r="CT31">
        <f t="shared" si="40"/>
        <v>3380.95</v>
      </c>
      <c r="CU31">
        <f t="shared" si="41"/>
        <v>0</v>
      </c>
      <c r="CV31">
        <f t="shared" si="42"/>
        <v>21.48</v>
      </c>
      <c r="CW31">
        <f t="shared" si="43"/>
        <v>0</v>
      </c>
      <c r="CX31">
        <f t="shared" si="44"/>
        <v>0</v>
      </c>
      <c r="CY31">
        <f t="shared" si="45"/>
        <v>-443.75099999999998</v>
      </c>
      <c r="CZ31">
        <f t="shared" si="46"/>
        <v>-63.392999999999994</v>
      </c>
      <c r="DC31" t="s">
        <v>3</v>
      </c>
      <c r="DD31" t="s">
        <v>3</v>
      </c>
      <c r="DE31" t="s">
        <v>3</v>
      </c>
      <c r="DF31" t="s">
        <v>3</v>
      </c>
      <c r="DG31" t="s">
        <v>3</v>
      </c>
      <c r="DH31" t="s">
        <v>3</v>
      </c>
      <c r="DI31" t="s">
        <v>3</v>
      </c>
      <c r="DJ31" t="s">
        <v>3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1005</v>
      </c>
      <c r="DV31" t="s">
        <v>18</v>
      </c>
      <c r="DW31" t="s">
        <v>18</v>
      </c>
      <c r="DX31">
        <v>100</v>
      </c>
      <c r="EE31">
        <v>40050625</v>
      </c>
      <c r="EF31">
        <v>1</v>
      </c>
      <c r="EG31" t="s">
        <v>20</v>
      </c>
      <c r="EH31">
        <v>0</v>
      </c>
      <c r="EI31" t="s">
        <v>3</v>
      </c>
      <c r="EJ31">
        <v>4</v>
      </c>
      <c r="EK31">
        <v>0</v>
      </c>
      <c r="EL31" t="s">
        <v>21</v>
      </c>
      <c r="EM31" t="s">
        <v>22</v>
      </c>
      <c r="EO31" t="s">
        <v>3</v>
      </c>
      <c r="EQ31">
        <v>0</v>
      </c>
      <c r="ER31">
        <v>3380.95</v>
      </c>
      <c r="ES31">
        <v>0</v>
      </c>
      <c r="ET31">
        <v>0</v>
      </c>
      <c r="EU31">
        <v>0</v>
      </c>
      <c r="EV31">
        <v>3380.95</v>
      </c>
      <c r="EW31">
        <v>21.48</v>
      </c>
      <c r="EX31">
        <v>0</v>
      </c>
      <c r="EY31">
        <v>0</v>
      </c>
      <c r="FQ31">
        <v>0</v>
      </c>
      <c r="FR31">
        <f t="shared" si="47"/>
        <v>0</v>
      </c>
      <c r="FS31">
        <v>0</v>
      </c>
      <c r="FX31">
        <v>70</v>
      </c>
      <c r="FY31">
        <v>10</v>
      </c>
      <c r="GA31" t="s">
        <v>3</v>
      </c>
      <c r="GD31">
        <v>0</v>
      </c>
      <c r="GF31">
        <v>764291226</v>
      </c>
      <c r="GG31">
        <v>2</v>
      </c>
      <c r="GH31">
        <v>1</v>
      </c>
      <c r="GI31">
        <v>-2</v>
      </c>
      <c r="GJ31">
        <v>0</v>
      </c>
      <c r="GK31">
        <f>ROUND(R31*(R12)/100,2)</f>
        <v>0</v>
      </c>
      <c r="GL31">
        <f t="shared" si="48"/>
        <v>0</v>
      </c>
      <c r="GM31">
        <f t="shared" si="49"/>
        <v>-1141.07</v>
      </c>
      <c r="GN31">
        <f t="shared" si="50"/>
        <v>0</v>
      </c>
      <c r="GO31">
        <f t="shared" si="51"/>
        <v>0</v>
      </c>
      <c r="GP31">
        <f t="shared" si="52"/>
        <v>-1141.07</v>
      </c>
      <c r="GR31">
        <v>0</v>
      </c>
      <c r="GS31">
        <v>0</v>
      </c>
      <c r="GT31">
        <v>0</v>
      </c>
      <c r="GU31" t="s">
        <v>3</v>
      </c>
      <c r="GV31">
        <f t="shared" si="53"/>
        <v>0</v>
      </c>
      <c r="GW31">
        <v>1</v>
      </c>
      <c r="GX31">
        <f t="shared" si="54"/>
        <v>0</v>
      </c>
      <c r="HA31">
        <v>0</v>
      </c>
      <c r="HB31">
        <v>0</v>
      </c>
      <c r="HC31">
        <f t="shared" si="55"/>
        <v>0</v>
      </c>
      <c r="IK31">
        <v>0</v>
      </c>
    </row>
    <row r="32" spans="1:245">
      <c r="A32">
        <v>17</v>
      </c>
      <c r="B32">
        <v>1</v>
      </c>
      <c r="C32">
        <f>ROW(SmtRes!A8)</f>
        <v>8</v>
      </c>
      <c r="D32">
        <f>ROW(EtalonRes!A8)</f>
        <v>8</v>
      </c>
      <c r="E32" t="s">
        <v>35</v>
      </c>
      <c r="F32" t="s">
        <v>36</v>
      </c>
      <c r="G32" t="s">
        <v>37</v>
      </c>
      <c r="H32" t="s">
        <v>18</v>
      </c>
      <c r="I32">
        <f>ROUND(75/100,9)</f>
        <v>0.75</v>
      </c>
      <c r="J32">
        <v>0</v>
      </c>
      <c r="O32">
        <f t="shared" si="21"/>
        <v>18756.73</v>
      </c>
      <c r="P32">
        <f t="shared" si="22"/>
        <v>11305.05</v>
      </c>
      <c r="Q32">
        <f t="shared" si="23"/>
        <v>0</v>
      </c>
      <c r="R32">
        <f t="shared" si="24"/>
        <v>0</v>
      </c>
      <c r="S32">
        <f t="shared" si="25"/>
        <v>7451.68</v>
      </c>
      <c r="T32">
        <f t="shared" si="26"/>
        <v>0</v>
      </c>
      <c r="U32">
        <f t="shared" si="27"/>
        <v>40.275000000000006</v>
      </c>
      <c r="V32">
        <f t="shared" si="28"/>
        <v>0</v>
      </c>
      <c r="W32">
        <f t="shared" si="29"/>
        <v>0</v>
      </c>
      <c r="X32">
        <f t="shared" si="30"/>
        <v>5216.18</v>
      </c>
      <c r="Y32">
        <f t="shared" si="31"/>
        <v>745.17</v>
      </c>
      <c r="AA32">
        <v>42225948</v>
      </c>
      <c r="AB32">
        <f t="shared" si="32"/>
        <v>25008.97</v>
      </c>
      <c r="AC32">
        <f>ROUND((ES32),6)</f>
        <v>15073.4</v>
      </c>
      <c r="AD32">
        <f>ROUND((((ET32)-(EU32))+AE32),6)</f>
        <v>0</v>
      </c>
      <c r="AE32">
        <f t="shared" si="33"/>
        <v>0</v>
      </c>
      <c r="AF32">
        <f t="shared" si="33"/>
        <v>9935.57</v>
      </c>
      <c r="AG32">
        <f t="shared" si="34"/>
        <v>0</v>
      </c>
      <c r="AH32">
        <f t="shared" si="35"/>
        <v>53.7</v>
      </c>
      <c r="AI32">
        <f t="shared" si="35"/>
        <v>0</v>
      </c>
      <c r="AJ32">
        <f t="shared" si="36"/>
        <v>0</v>
      </c>
      <c r="AK32">
        <v>25008.97</v>
      </c>
      <c r="AL32">
        <v>15073.4</v>
      </c>
      <c r="AM32">
        <v>0</v>
      </c>
      <c r="AN32">
        <v>0</v>
      </c>
      <c r="AO32">
        <v>9935.57</v>
      </c>
      <c r="AP32">
        <v>0</v>
      </c>
      <c r="AQ32">
        <v>53.7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38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37"/>
        <v>18756.73</v>
      </c>
      <c r="CQ32">
        <f t="shared" si="38"/>
        <v>15073.4</v>
      </c>
      <c r="CR32">
        <f>((((ET32)*BB32-(EU32)*BS32)+AE32*BS32)*AV32)</f>
        <v>0</v>
      </c>
      <c r="CS32">
        <f t="shared" si="39"/>
        <v>0</v>
      </c>
      <c r="CT32">
        <f t="shared" si="40"/>
        <v>9935.57</v>
      </c>
      <c r="CU32">
        <f t="shared" si="41"/>
        <v>0</v>
      </c>
      <c r="CV32">
        <f t="shared" si="42"/>
        <v>53.7</v>
      </c>
      <c r="CW32">
        <f t="shared" si="43"/>
        <v>0</v>
      </c>
      <c r="CX32">
        <f t="shared" si="44"/>
        <v>0</v>
      </c>
      <c r="CY32">
        <f t="shared" si="45"/>
        <v>5216.1760000000004</v>
      </c>
      <c r="CZ32">
        <f t="shared" si="46"/>
        <v>745.16800000000001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1005</v>
      </c>
      <c r="DV32" t="s">
        <v>18</v>
      </c>
      <c r="DW32" t="s">
        <v>18</v>
      </c>
      <c r="DX32">
        <v>100</v>
      </c>
      <c r="EE32">
        <v>40050625</v>
      </c>
      <c r="EF32">
        <v>1</v>
      </c>
      <c r="EG32" t="s">
        <v>20</v>
      </c>
      <c r="EH32">
        <v>0</v>
      </c>
      <c r="EI32" t="s">
        <v>3</v>
      </c>
      <c r="EJ32">
        <v>4</v>
      </c>
      <c r="EK32">
        <v>0</v>
      </c>
      <c r="EL32" t="s">
        <v>21</v>
      </c>
      <c r="EM32" t="s">
        <v>22</v>
      </c>
      <c r="EO32" t="s">
        <v>3</v>
      </c>
      <c r="EQ32">
        <v>0</v>
      </c>
      <c r="ER32">
        <v>25008.97</v>
      </c>
      <c r="ES32">
        <v>15073.4</v>
      </c>
      <c r="ET32">
        <v>0</v>
      </c>
      <c r="EU32">
        <v>0</v>
      </c>
      <c r="EV32">
        <v>9935.57</v>
      </c>
      <c r="EW32">
        <v>53.7</v>
      </c>
      <c r="EX32">
        <v>0</v>
      </c>
      <c r="EY32">
        <v>0</v>
      </c>
      <c r="FQ32">
        <v>0</v>
      </c>
      <c r="FR32">
        <f t="shared" si="47"/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-1666003609</v>
      </c>
      <c r="GG32">
        <v>2</v>
      </c>
      <c r="GH32">
        <v>1</v>
      </c>
      <c r="GI32">
        <v>-2</v>
      </c>
      <c r="GJ32">
        <v>0</v>
      </c>
      <c r="GK32">
        <f>ROUND(R32*(R12)/100,2)</f>
        <v>0</v>
      </c>
      <c r="GL32">
        <f t="shared" si="48"/>
        <v>0</v>
      </c>
      <c r="GM32">
        <f t="shared" si="49"/>
        <v>24718.080000000002</v>
      </c>
      <c r="GN32">
        <f t="shared" si="50"/>
        <v>0</v>
      </c>
      <c r="GO32">
        <f t="shared" si="51"/>
        <v>0</v>
      </c>
      <c r="GP32">
        <f t="shared" si="52"/>
        <v>24718.080000000002</v>
      </c>
      <c r="GR32">
        <v>0</v>
      </c>
      <c r="GS32">
        <v>0</v>
      </c>
      <c r="GT32">
        <v>0</v>
      </c>
      <c r="GU32" t="s">
        <v>3</v>
      </c>
      <c r="GV32">
        <f t="shared" si="53"/>
        <v>0</v>
      </c>
      <c r="GW32">
        <v>1</v>
      </c>
      <c r="GX32">
        <f t="shared" si="54"/>
        <v>0</v>
      </c>
      <c r="HA32">
        <v>0</v>
      </c>
      <c r="HB32">
        <v>0</v>
      </c>
      <c r="HC32">
        <f t="shared" si="55"/>
        <v>0</v>
      </c>
      <c r="IK32">
        <v>0</v>
      </c>
    </row>
    <row r="33" spans="1:245">
      <c r="A33">
        <v>17</v>
      </c>
      <c r="B33">
        <v>1</v>
      </c>
      <c r="C33">
        <f>ROW(SmtRes!A10)</f>
        <v>10</v>
      </c>
      <c r="D33">
        <f>ROW(EtalonRes!A10)</f>
        <v>10</v>
      </c>
      <c r="E33" t="s">
        <v>39</v>
      </c>
      <c r="F33" t="s">
        <v>40</v>
      </c>
      <c r="G33" t="s">
        <v>41</v>
      </c>
      <c r="H33" t="s">
        <v>18</v>
      </c>
      <c r="I33">
        <f>ROUND(75/100,9)</f>
        <v>0.75</v>
      </c>
      <c r="J33">
        <v>0</v>
      </c>
      <c r="O33">
        <f t="shared" si="21"/>
        <v>7381.54</v>
      </c>
      <c r="P33">
        <f t="shared" si="22"/>
        <v>5652.53</v>
      </c>
      <c r="Q33">
        <f t="shared" si="23"/>
        <v>0</v>
      </c>
      <c r="R33">
        <f t="shared" si="24"/>
        <v>0</v>
      </c>
      <c r="S33">
        <f t="shared" si="25"/>
        <v>1729.01</v>
      </c>
      <c r="T33">
        <f t="shared" si="26"/>
        <v>0</v>
      </c>
      <c r="U33">
        <f t="shared" si="27"/>
        <v>9.3450000000000006</v>
      </c>
      <c r="V33">
        <f t="shared" si="28"/>
        <v>0</v>
      </c>
      <c r="W33">
        <f t="shared" si="29"/>
        <v>0</v>
      </c>
      <c r="X33">
        <f t="shared" si="30"/>
        <v>1210.31</v>
      </c>
      <c r="Y33">
        <f t="shared" si="31"/>
        <v>172.9</v>
      </c>
      <c r="AA33">
        <v>42225948</v>
      </c>
      <c r="AB33">
        <f t="shared" si="32"/>
        <v>9842.0400000000009</v>
      </c>
      <c r="AC33">
        <f>ROUND(((ES33*2)),6)</f>
        <v>7536.7</v>
      </c>
      <c r="AD33">
        <f>ROUND(((((ET33*2))-((EU33*2)))+AE33),6)</f>
        <v>0</v>
      </c>
      <c r="AE33">
        <f>ROUND(((EU33*2)),6)</f>
        <v>0</v>
      </c>
      <c r="AF33">
        <f>ROUND(((EV33*2)),6)</f>
        <v>2305.34</v>
      </c>
      <c r="AG33">
        <f t="shared" si="34"/>
        <v>0</v>
      </c>
      <c r="AH33">
        <f>((EW33*2))</f>
        <v>12.46</v>
      </c>
      <c r="AI33">
        <f>((EX33*2))</f>
        <v>0</v>
      </c>
      <c r="AJ33">
        <f t="shared" si="36"/>
        <v>0</v>
      </c>
      <c r="AK33">
        <v>4921.0200000000004</v>
      </c>
      <c r="AL33">
        <v>3768.35</v>
      </c>
      <c r="AM33">
        <v>0</v>
      </c>
      <c r="AN33">
        <v>0</v>
      </c>
      <c r="AO33">
        <v>1152.67</v>
      </c>
      <c r="AP33">
        <v>0</v>
      </c>
      <c r="AQ33">
        <v>6.23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42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37"/>
        <v>7381.54</v>
      </c>
      <c r="CQ33">
        <f t="shared" si="38"/>
        <v>7536.7</v>
      </c>
      <c r="CR33">
        <f>(((((ET33*2))*BB33-((EU33*2))*BS33)+AE33*BS33)*AV33)</f>
        <v>0</v>
      </c>
      <c r="CS33">
        <f t="shared" si="39"/>
        <v>0</v>
      </c>
      <c r="CT33">
        <f t="shared" si="40"/>
        <v>2305.34</v>
      </c>
      <c r="CU33">
        <f t="shared" si="41"/>
        <v>0</v>
      </c>
      <c r="CV33">
        <f t="shared" si="42"/>
        <v>12.46</v>
      </c>
      <c r="CW33">
        <f t="shared" si="43"/>
        <v>0</v>
      </c>
      <c r="CX33">
        <f t="shared" si="44"/>
        <v>0</v>
      </c>
      <c r="CY33">
        <f t="shared" si="45"/>
        <v>1210.307</v>
      </c>
      <c r="CZ33">
        <f t="shared" si="46"/>
        <v>172.90099999999998</v>
      </c>
      <c r="DC33" t="s">
        <v>3</v>
      </c>
      <c r="DD33" t="s">
        <v>43</v>
      </c>
      <c r="DE33" t="s">
        <v>43</v>
      </c>
      <c r="DF33" t="s">
        <v>43</v>
      </c>
      <c r="DG33" t="s">
        <v>43</v>
      </c>
      <c r="DH33" t="s">
        <v>3</v>
      </c>
      <c r="DI33" t="s">
        <v>43</v>
      </c>
      <c r="DJ33" t="s">
        <v>43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1005</v>
      </c>
      <c r="DV33" t="s">
        <v>18</v>
      </c>
      <c r="DW33" t="s">
        <v>18</v>
      </c>
      <c r="DX33">
        <v>100</v>
      </c>
      <c r="EE33">
        <v>40050625</v>
      </c>
      <c r="EF33">
        <v>1</v>
      </c>
      <c r="EG33" t="s">
        <v>20</v>
      </c>
      <c r="EH33">
        <v>0</v>
      </c>
      <c r="EI33" t="s">
        <v>3</v>
      </c>
      <c r="EJ33">
        <v>4</v>
      </c>
      <c r="EK33">
        <v>0</v>
      </c>
      <c r="EL33" t="s">
        <v>21</v>
      </c>
      <c r="EM33" t="s">
        <v>22</v>
      </c>
      <c r="EO33" t="s">
        <v>3</v>
      </c>
      <c r="EQ33">
        <v>0</v>
      </c>
      <c r="ER33">
        <v>4921.0200000000004</v>
      </c>
      <c r="ES33">
        <v>3768.35</v>
      </c>
      <c r="ET33">
        <v>0</v>
      </c>
      <c r="EU33">
        <v>0</v>
      </c>
      <c r="EV33">
        <v>1152.67</v>
      </c>
      <c r="EW33">
        <v>6.23</v>
      </c>
      <c r="EX33">
        <v>0</v>
      </c>
      <c r="EY33">
        <v>0</v>
      </c>
      <c r="FQ33">
        <v>0</v>
      </c>
      <c r="FR33">
        <f t="shared" si="47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676035378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48"/>
        <v>0</v>
      </c>
      <c r="GM33">
        <f t="shared" si="49"/>
        <v>8764.75</v>
      </c>
      <c r="GN33">
        <f t="shared" si="50"/>
        <v>0</v>
      </c>
      <c r="GO33">
        <f t="shared" si="51"/>
        <v>0</v>
      </c>
      <c r="GP33">
        <f t="shared" si="52"/>
        <v>8764.75</v>
      </c>
      <c r="GR33">
        <v>0</v>
      </c>
      <c r="GS33">
        <v>0</v>
      </c>
      <c r="GT33">
        <v>0</v>
      </c>
      <c r="GU33" t="s">
        <v>3</v>
      </c>
      <c r="GV33">
        <f t="shared" si="53"/>
        <v>0</v>
      </c>
      <c r="GW33">
        <v>1</v>
      </c>
      <c r="GX33">
        <f t="shared" si="54"/>
        <v>0</v>
      </c>
      <c r="HA33">
        <v>0</v>
      </c>
      <c r="HB33">
        <v>0</v>
      </c>
      <c r="HC33">
        <f t="shared" si="55"/>
        <v>0</v>
      </c>
      <c r="IK33">
        <v>0</v>
      </c>
    </row>
    <row r="34" spans="1:245">
      <c r="A34">
        <v>17</v>
      </c>
      <c r="B34">
        <v>1</v>
      </c>
      <c r="C34">
        <f>ROW(SmtRes!A18)</f>
        <v>18</v>
      </c>
      <c r="D34">
        <f>ROW(EtalonRes!A16)</f>
        <v>16</v>
      </c>
      <c r="E34" t="s">
        <v>44</v>
      </c>
      <c r="F34" t="s">
        <v>45</v>
      </c>
      <c r="G34" t="s">
        <v>46</v>
      </c>
      <c r="H34" t="s">
        <v>18</v>
      </c>
      <c r="I34">
        <f>ROUND(75/100,9)</f>
        <v>0.75</v>
      </c>
      <c r="J34">
        <v>0</v>
      </c>
      <c r="O34">
        <f t="shared" si="21"/>
        <v>25638.09</v>
      </c>
      <c r="P34">
        <f t="shared" si="22"/>
        <v>2595.9499999999998</v>
      </c>
      <c r="Q34">
        <f t="shared" si="23"/>
        <v>0</v>
      </c>
      <c r="R34">
        <f t="shared" si="24"/>
        <v>0</v>
      </c>
      <c r="S34">
        <f t="shared" si="25"/>
        <v>23042.14</v>
      </c>
      <c r="T34">
        <f t="shared" si="26"/>
        <v>0</v>
      </c>
      <c r="U34">
        <f t="shared" si="27"/>
        <v>116.44499999999999</v>
      </c>
      <c r="V34">
        <f t="shared" si="28"/>
        <v>0</v>
      </c>
      <c r="W34">
        <f t="shared" si="29"/>
        <v>0</v>
      </c>
      <c r="X34">
        <f t="shared" si="30"/>
        <v>16129.5</v>
      </c>
      <c r="Y34">
        <f t="shared" si="31"/>
        <v>2304.21</v>
      </c>
      <c r="AA34">
        <v>42225948</v>
      </c>
      <c r="AB34">
        <f t="shared" si="32"/>
        <v>34184.11</v>
      </c>
      <c r="AC34">
        <f>ROUND((ES34),6)</f>
        <v>3461.26</v>
      </c>
      <c r="AD34">
        <f t="shared" ref="AD34:AD39" si="56">ROUND((((ET34)-(EU34))+AE34),6)</f>
        <v>0</v>
      </c>
      <c r="AE34">
        <f t="shared" ref="AE34:AF37" si="57">ROUND((EU34),6)</f>
        <v>0</v>
      </c>
      <c r="AF34">
        <f t="shared" si="57"/>
        <v>30722.85</v>
      </c>
      <c r="AG34">
        <f t="shared" si="34"/>
        <v>0</v>
      </c>
      <c r="AH34">
        <f t="shared" ref="AH34:AI37" si="58">(EW34)</f>
        <v>155.26</v>
      </c>
      <c r="AI34">
        <f t="shared" si="58"/>
        <v>0</v>
      </c>
      <c r="AJ34">
        <f t="shared" si="36"/>
        <v>0</v>
      </c>
      <c r="AK34">
        <v>34184.11</v>
      </c>
      <c r="AL34">
        <v>3461.26</v>
      </c>
      <c r="AM34">
        <v>0</v>
      </c>
      <c r="AN34">
        <v>0</v>
      </c>
      <c r="AO34">
        <v>30722.85</v>
      </c>
      <c r="AP34">
        <v>0</v>
      </c>
      <c r="AQ34">
        <v>155.26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47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37"/>
        <v>25638.09</v>
      </c>
      <c r="CQ34">
        <f t="shared" si="38"/>
        <v>3461.26</v>
      </c>
      <c r="CR34">
        <f t="shared" ref="CR34:CR39" si="59">((((ET34)*BB34-(EU34)*BS34)+AE34*BS34)*AV34)</f>
        <v>0</v>
      </c>
      <c r="CS34">
        <f t="shared" si="39"/>
        <v>0</v>
      </c>
      <c r="CT34">
        <f t="shared" si="40"/>
        <v>30722.85</v>
      </c>
      <c r="CU34">
        <f t="shared" si="41"/>
        <v>0</v>
      </c>
      <c r="CV34">
        <f t="shared" si="42"/>
        <v>155.26</v>
      </c>
      <c r="CW34">
        <f t="shared" si="43"/>
        <v>0</v>
      </c>
      <c r="CX34">
        <f t="shared" si="44"/>
        <v>0</v>
      </c>
      <c r="CY34">
        <f t="shared" si="45"/>
        <v>16129.498</v>
      </c>
      <c r="CZ34">
        <f t="shared" si="46"/>
        <v>2304.2139999999999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1005</v>
      </c>
      <c r="DV34" t="s">
        <v>18</v>
      </c>
      <c r="DW34" t="s">
        <v>18</v>
      </c>
      <c r="DX34">
        <v>100</v>
      </c>
      <c r="EE34">
        <v>40050625</v>
      </c>
      <c r="EF34">
        <v>1</v>
      </c>
      <c r="EG34" t="s">
        <v>20</v>
      </c>
      <c r="EH34">
        <v>0</v>
      </c>
      <c r="EI34" t="s">
        <v>3</v>
      </c>
      <c r="EJ34">
        <v>4</v>
      </c>
      <c r="EK34">
        <v>0</v>
      </c>
      <c r="EL34" t="s">
        <v>21</v>
      </c>
      <c r="EM34" t="s">
        <v>22</v>
      </c>
      <c r="EO34" t="s">
        <v>3</v>
      </c>
      <c r="EQ34">
        <v>0</v>
      </c>
      <c r="ER34">
        <v>34184.11</v>
      </c>
      <c r="ES34">
        <v>3461.26</v>
      </c>
      <c r="ET34">
        <v>0</v>
      </c>
      <c r="EU34">
        <v>0</v>
      </c>
      <c r="EV34">
        <v>30722.85</v>
      </c>
      <c r="EW34">
        <v>155.26</v>
      </c>
      <c r="EX34">
        <v>0</v>
      </c>
      <c r="EY34">
        <v>0</v>
      </c>
      <c r="FQ34">
        <v>0</v>
      </c>
      <c r="FR34">
        <f t="shared" si="47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2094736964</v>
      </c>
      <c r="GG34">
        <v>2</v>
      </c>
      <c r="GH34">
        <v>1</v>
      </c>
      <c r="GI34">
        <v>-2</v>
      </c>
      <c r="GJ34">
        <v>0</v>
      </c>
      <c r="GK34">
        <f>ROUND(R34*(R12)/100,2)</f>
        <v>0</v>
      </c>
      <c r="GL34">
        <f t="shared" si="48"/>
        <v>0</v>
      </c>
      <c r="GM34">
        <f t="shared" si="49"/>
        <v>44071.8</v>
      </c>
      <c r="GN34">
        <f t="shared" si="50"/>
        <v>0</v>
      </c>
      <c r="GO34">
        <f t="shared" si="51"/>
        <v>0</v>
      </c>
      <c r="GP34">
        <f t="shared" si="52"/>
        <v>44071.8</v>
      </c>
      <c r="GR34">
        <v>0</v>
      </c>
      <c r="GS34">
        <v>0</v>
      </c>
      <c r="GT34">
        <v>0</v>
      </c>
      <c r="GU34" t="s">
        <v>3</v>
      </c>
      <c r="GV34">
        <f t="shared" si="53"/>
        <v>0</v>
      </c>
      <c r="GW34">
        <v>1</v>
      </c>
      <c r="GX34">
        <f t="shared" si="54"/>
        <v>0</v>
      </c>
      <c r="HA34">
        <v>0</v>
      </c>
      <c r="HB34">
        <v>0</v>
      </c>
      <c r="HC34">
        <f t="shared" si="55"/>
        <v>0</v>
      </c>
      <c r="IK34">
        <v>0</v>
      </c>
    </row>
    <row r="35" spans="1:245">
      <c r="A35">
        <v>18</v>
      </c>
      <c r="B35">
        <v>1</v>
      </c>
      <c r="C35">
        <v>17</v>
      </c>
      <c r="E35" t="s">
        <v>48</v>
      </c>
      <c r="F35" t="s">
        <v>49</v>
      </c>
      <c r="G35" t="s">
        <v>50</v>
      </c>
      <c r="H35" t="s">
        <v>51</v>
      </c>
      <c r="I35">
        <f>I34*J35</f>
        <v>1260</v>
      </c>
      <c r="J35">
        <v>1680</v>
      </c>
      <c r="O35">
        <f t="shared" si="21"/>
        <v>0</v>
      </c>
      <c r="P35">
        <f t="shared" si="22"/>
        <v>0</v>
      </c>
      <c r="Q35">
        <f t="shared" si="23"/>
        <v>0</v>
      </c>
      <c r="R35">
        <f t="shared" si="24"/>
        <v>0</v>
      </c>
      <c r="S35">
        <f t="shared" si="25"/>
        <v>0</v>
      </c>
      <c r="T35">
        <f t="shared" si="26"/>
        <v>0</v>
      </c>
      <c r="U35">
        <f t="shared" si="27"/>
        <v>0</v>
      </c>
      <c r="V35">
        <f t="shared" si="28"/>
        <v>0</v>
      </c>
      <c r="W35">
        <f t="shared" si="29"/>
        <v>0</v>
      </c>
      <c r="X35">
        <f t="shared" si="30"/>
        <v>0</v>
      </c>
      <c r="Y35">
        <f t="shared" si="31"/>
        <v>0</v>
      </c>
      <c r="AA35">
        <v>42225948</v>
      </c>
      <c r="AB35">
        <f t="shared" si="32"/>
        <v>0</v>
      </c>
      <c r="AC35">
        <f>ROUND((ES35),6)</f>
        <v>0</v>
      </c>
      <c r="AD35">
        <f t="shared" si="56"/>
        <v>0</v>
      </c>
      <c r="AE35">
        <f t="shared" si="57"/>
        <v>0</v>
      </c>
      <c r="AF35">
        <f t="shared" si="57"/>
        <v>0</v>
      </c>
      <c r="AG35">
        <f t="shared" si="34"/>
        <v>0</v>
      </c>
      <c r="AH35">
        <f t="shared" si="58"/>
        <v>0</v>
      </c>
      <c r="AI35">
        <f t="shared" si="58"/>
        <v>0</v>
      </c>
      <c r="AJ35">
        <f t="shared" si="36"/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3</v>
      </c>
      <c r="BI35">
        <v>4</v>
      </c>
      <c r="BJ35" t="s">
        <v>3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37"/>
        <v>0</v>
      </c>
      <c r="CQ35">
        <f t="shared" si="38"/>
        <v>0</v>
      </c>
      <c r="CR35">
        <f t="shared" si="59"/>
        <v>0</v>
      </c>
      <c r="CS35">
        <f t="shared" si="39"/>
        <v>0</v>
      </c>
      <c r="CT35">
        <f t="shared" si="40"/>
        <v>0</v>
      </c>
      <c r="CU35">
        <f t="shared" si="41"/>
        <v>0</v>
      </c>
      <c r="CV35">
        <f t="shared" si="42"/>
        <v>0</v>
      </c>
      <c r="CW35">
        <f t="shared" si="43"/>
        <v>0</v>
      </c>
      <c r="CX35">
        <f t="shared" si="44"/>
        <v>0</v>
      </c>
      <c r="CY35">
        <f t="shared" si="45"/>
        <v>0</v>
      </c>
      <c r="CZ35">
        <f t="shared" si="46"/>
        <v>0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1010</v>
      </c>
      <c r="DV35" t="s">
        <v>51</v>
      </c>
      <c r="DW35" t="s">
        <v>51</v>
      </c>
      <c r="DX35">
        <v>1</v>
      </c>
      <c r="EE35">
        <v>40050625</v>
      </c>
      <c r="EF35">
        <v>1</v>
      </c>
      <c r="EG35" t="s">
        <v>20</v>
      </c>
      <c r="EH35">
        <v>0</v>
      </c>
      <c r="EI35" t="s">
        <v>3</v>
      </c>
      <c r="EJ35">
        <v>4</v>
      </c>
      <c r="EK35">
        <v>0</v>
      </c>
      <c r="EL35" t="s">
        <v>21</v>
      </c>
      <c r="EM35" t="s">
        <v>22</v>
      </c>
      <c r="EO35" t="s">
        <v>3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FQ35">
        <v>0</v>
      </c>
      <c r="FR35">
        <f t="shared" si="47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-2077348890</v>
      </c>
      <c r="GG35">
        <v>2</v>
      </c>
      <c r="GH35">
        <v>1</v>
      </c>
      <c r="GI35">
        <v>-2</v>
      </c>
      <c r="GJ35">
        <v>0</v>
      </c>
      <c r="GK35">
        <f>ROUND(R35*(R12)/100,2)</f>
        <v>0</v>
      </c>
      <c r="GL35">
        <f t="shared" si="48"/>
        <v>0</v>
      </c>
      <c r="GM35">
        <f t="shared" si="49"/>
        <v>0</v>
      </c>
      <c r="GN35">
        <f t="shared" si="50"/>
        <v>0</v>
      </c>
      <c r="GO35">
        <f t="shared" si="51"/>
        <v>0</v>
      </c>
      <c r="GP35">
        <f t="shared" si="52"/>
        <v>0</v>
      </c>
      <c r="GR35">
        <v>0</v>
      </c>
      <c r="GS35">
        <v>0</v>
      </c>
      <c r="GT35">
        <v>0</v>
      </c>
      <c r="GU35" t="s">
        <v>3</v>
      </c>
      <c r="GV35">
        <f t="shared" si="53"/>
        <v>0</v>
      </c>
      <c r="GW35">
        <v>1</v>
      </c>
      <c r="GX35">
        <f t="shared" si="54"/>
        <v>0</v>
      </c>
      <c r="HA35">
        <v>0</v>
      </c>
      <c r="HB35">
        <v>0</v>
      </c>
      <c r="HC35">
        <f t="shared" si="55"/>
        <v>0</v>
      </c>
      <c r="IK35">
        <v>0</v>
      </c>
    </row>
    <row r="36" spans="1:245">
      <c r="A36">
        <v>18</v>
      </c>
      <c r="B36">
        <v>1</v>
      </c>
      <c r="C36">
        <v>15</v>
      </c>
      <c r="E36" t="s">
        <v>52</v>
      </c>
      <c r="F36" t="s">
        <v>53</v>
      </c>
      <c r="G36" t="s">
        <v>54</v>
      </c>
      <c r="H36" t="s">
        <v>51</v>
      </c>
      <c r="I36">
        <f>I34*J36</f>
        <v>315</v>
      </c>
      <c r="J36">
        <v>420</v>
      </c>
      <c r="O36">
        <f t="shared" si="21"/>
        <v>59535</v>
      </c>
      <c r="P36">
        <f t="shared" si="22"/>
        <v>59535</v>
      </c>
      <c r="Q36">
        <f t="shared" si="23"/>
        <v>0</v>
      </c>
      <c r="R36">
        <f t="shared" si="24"/>
        <v>0</v>
      </c>
      <c r="S36">
        <f t="shared" si="25"/>
        <v>0</v>
      </c>
      <c r="T36">
        <f t="shared" si="26"/>
        <v>0</v>
      </c>
      <c r="U36">
        <f t="shared" si="27"/>
        <v>0</v>
      </c>
      <c r="V36">
        <f t="shared" si="28"/>
        <v>0</v>
      </c>
      <c r="W36">
        <f t="shared" si="29"/>
        <v>0</v>
      </c>
      <c r="X36">
        <f t="shared" si="30"/>
        <v>0</v>
      </c>
      <c r="Y36">
        <f t="shared" si="31"/>
        <v>0</v>
      </c>
      <c r="AA36">
        <v>42225948</v>
      </c>
      <c r="AB36">
        <f t="shared" si="32"/>
        <v>189</v>
      </c>
      <c r="AC36">
        <f>ROUND((ES36),6)</f>
        <v>189</v>
      </c>
      <c r="AD36">
        <f t="shared" si="56"/>
        <v>0</v>
      </c>
      <c r="AE36">
        <f t="shared" si="57"/>
        <v>0</v>
      </c>
      <c r="AF36">
        <f t="shared" si="57"/>
        <v>0</v>
      </c>
      <c r="AG36">
        <f t="shared" si="34"/>
        <v>0</v>
      </c>
      <c r="AH36">
        <f t="shared" si="58"/>
        <v>0</v>
      </c>
      <c r="AI36">
        <f t="shared" si="58"/>
        <v>0</v>
      </c>
      <c r="AJ36">
        <f t="shared" si="36"/>
        <v>0</v>
      </c>
      <c r="AK36">
        <v>189</v>
      </c>
      <c r="AL36">
        <v>189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70</v>
      </c>
      <c r="AU36">
        <v>10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3</v>
      </c>
      <c r="BI36">
        <v>4</v>
      </c>
      <c r="BJ36" t="s">
        <v>55</v>
      </c>
      <c r="BM36">
        <v>0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70</v>
      </c>
      <c r="CA36">
        <v>10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37"/>
        <v>59535</v>
      </c>
      <c r="CQ36">
        <f t="shared" si="38"/>
        <v>189</v>
      </c>
      <c r="CR36">
        <f t="shared" si="59"/>
        <v>0</v>
      </c>
      <c r="CS36">
        <f t="shared" si="39"/>
        <v>0</v>
      </c>
      <c r="CT36">
        <f t="shared" si="40"/>
        <v>0</v>
      </c>
      <c r="CU36">
        <f t="shared" si="41"/>
        <v>0</v>
      </c>
      <c r="CV36">
        <f t="shared" si="42"/>
        <v>0</v>
      </c>
      <c r="CW36">
        <f t="shared" si="43"/>
        <v>0</v>
      </c>
      <c r="CX36">
        <f t="shared" si="44"/>
        <v>0</v>
      </c>
      <c r="CY36">
        <f t="shared" si="45"/>
        <v>0</v>
      </c>
      <c r="CZ36">
        <f t="shared" si="46"/>
        <v>0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1010</v>
      </c>
      <c r="DV36" t="s">
        <v>51</v>
      </c>
      <c r="DW36" t="s">
        <v>51</v>
      </c>
      <c r="DX36">
        <v>1</v>
      </c>
      <c r="EE36">
        <v>40050625</v>
      </c>
      <c r="EF36">
        <v>1</v>
      </c>
      <c r="EG36" t="s">
        <v>20</v>
      </c>
      <c r="EH36">
        <v>0</v>
      </c>
      <c r="EI36" t="s">
        <v>3</v>
      </c>
      <c r="EJ36">
        <v>4</v>
      </c>
      <c r="EK36">
        <v>0</v>
      </c>
      <c r="EL36" t="s">
        <v>21</v>
      </c>
      <c r="EM36" t="s">
        <v>22</v>
      </c>
      <c r="EO36" t="s">
        <v>3</v>
      </c>
      <c r="EQ36">
        <v>0</v>
      </c>
      <c r="ER36">
        <v>189</v>
      </c>
      <c r="ES36">
        <v>189</v>
      </c>
      <c r="ET36">
        <v>0</v>
      </c>
      <c r="EU36">
        <v>0</v>
      </c>
      <c r="EV36">
        <v>0</v>
      </c>
      <c r="EW36">
        <v>0</v>
      </c>
      <c r="EX36">
        <v>0</v>
      </c>
      <c r="FQ36">
        <v>0</v>
      </c>
      <c r="FR36">
        <f t="shared" si="47"/>
        <v>0</v>
      </c>
      <c r="FS36">
        <v>0</v>
      </c>
      <c r="FX36">
        <v>70</v>
      </c>
      <c r="FY36">
        <v>10</v>
      </c>
      <c r="GA36" t="s">
        <v>3</v>
      </c>
      <c r="GD36">
        <v>0</v>
      </c>
      <c r="GF36">
        <v>-849394457</v>
      </c>
      <c r="GG36">
        <v>2</v>
      </c>
      <c r="GH36">
        <v>1</v>
      </c>
      <c r="GI36">
        <v>-2</v>
      </c>
      <c r="GJ36">
        <v>0</v>
      </c>
      <c r="GK36">
        <f>ROUND(R36*(R12)/100,2)</f>
        <v>0</v>
      </c>
      <c r="GL36">
        <f t="shared" si="48"/>
        <v>0</v>
      </c>
      <c r="GM36">
        <f t="shared" si="49"/>
        <v>59535</v>
      </c>
      <c r="GN36">
        <f t="shared" si="50"/>
        <v>0</v>
      </c>
      <c r="GO36">
        <f t="shared" si="51"/>
        <v>0</v>
      </c>
      <c r="GP36">
        <f t="shared" si="52"/>
        <v>59535</v>
      </c>
      <c r="GR36">
        <v>0</v>
      </c>
      <c r="GS36">
        <v>0</v>
      </c>
      <c r="GT36">
        <v>0</v>
      </c>
      <c r="GU36" t="s">
        <v>3</v>
      </c>
      <c r="GV36">
        <f t="shared" si="53"/>
        <v>0</v>
      </c>
      <c r="GW36">
        <v>1</v>
      </c>
      <c r="GX36">
        <f t="shared" si="54"/>
        <v>0</v>
      </c>
      <c r="HA36">
        <v>0</v>
      </c>
      <c r="HB36">
        <v>0</v>
      </c>
      <c r="HC36">
        <f t="shared" si="55"/>
        <v>0</v>
      </c>
      <c r="IK36">
        <v>0</v>
      </c>
    </row>
    <row r="37" spans="1:245">
      <c r="A37">
        <v>18</v>
      </c>
      <c r="B37">
        <v>1</v>
      </c>
      <c r="C37">
        <v>18</v>
      </c>
      <c r="E37" t="s">
        <v>56</v>
      </c>
      <c r="F37" t="s">
        <v>57</v>
      </c>
      <c r="G37" t="s">
        <v>58</v>
      </c>
      <c r="H37" t="s">
        <v>51</v>
      </c>
      <c r="I37">
        <f>I34*J37</f>
        <v>480</v>
      </c>
      <c r="J37">
        <v>640</v>
      </c>
      <c r="O37">
        <f t="shared" si="21"/>
        <v>59601.599999999999</v>
      </c>
      <c r="P37">
        <f t="shared" si="22"/>
        <v>59601.599999999999</v>
      </c>
      <c r="Q37">
        <f t="shared" si="23"/>
        <v>0</v>
      </c>
      <c r="R37">
        <f t="shared" si="24"/>
        <v>0</v>
      </c>
      <c r="S37">
        <f t="shared" si="25"/>
        <v>0</v>
      </c>
      <c r="T37">
        <f t="shared" si="26"/>
        <v>0</v>
      </c>
      <c r="U37">
        <f t="shared" si="27"/>
        <v>0</v>
      </c>
      <c r="V37">
        <f t="shared" si="28"/>
        <v>0</v>
      </c>
      <c r="W37">
        <f t="shared" si="29"/>
        <v>0</v>
      </c>
      <c r="X37">
        <f t="shared" si="30"/>
        <v>0</v>
      </c>
      <c r="Y37">
        <f t="shared" si="31"/>
        <v>0</v>
      </c>
      <c r="AA37">
        <v>42225948</v>
      </c>
      <c r="AB37">
        <f t="shared" si="32"/>
        <v>124.17</v>
      </c>
      <c r="AC37">
        <f>ROUND((ES37),6)</f>
        <v>124.17</v>
      </c>
      <c r="AD37">
        <f t="shared" si="56"/>
        <v>0</v>
      </c>
      <c r="AE37">
        <f t="shared" si="57"/>
        <v>0</v>
      </c>
      <c r="AF37">
        <f t="shared" si="57"/>
        <v>0</v>
      </c>
      <c r="AG37">
        <f t="shared" si="34"/>
        <v>0</v>
      </c>
      <c r="AH37">
        <f t="shared" si="58"/>
        <v>0</v>
      </c>
      <c r="AI37">
        <f t="shared" si="58"/>
        <v>0</v>
      </c>
      <c r="AJ37">
        <f t="shared" si="36"/>
        <v>0</v>
      </c>
      <c r="AK37">
        <v>124.17</v>
      </c>
      <c r="AL37">
        <v>124.17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3</v>
      </c>
      <c r="BI37">
        <v>4</v>
      </c>
      <c r="BJ37" t="s">
        <v>3</v>
      </c>
      <c r="BM37">
        <v>0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70</v>
      </c>
      <c r="CA37">
        <v>10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37"/>
        <v>59601.599999999999</v>
      </c>
      <c r="CQ37">
        <f t="shared" si="38"/>
        <v>124.17</v>
      </c>
      <c r="CR37">
        <f t="shared" si="59"/>
        <v>0</v>
      </c>
      <c r="CS37">
        <f t="shared" si="39"/>
        <v>0</v>
      </c>
      <c r="CT37">
        <f t="shared" si="40"/>
        <v>0</v>
      </c>
      <c r="CU37">
        <f t="shared" si="41"/>
        <v>0</v>
      </c>
      <c r="CV37">
        <f t="shared" si="42"/>
        <v>0</v>
      </c>
      <c r="CW37">
        <f t="shared" si="43"/>
        <v>0</v>
      </c>
      <c r="CX37">
        <f t="shared" si="44"/>
        <v>0</v>
      </c>
      <c r="CY37">
        <f t="shared" si="45"/>
        <v>0</v>
      </c>
      <c r="CZ37">
        <f t="shared" si="46"/>
        <v>0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1010</v>
      </c>
      <c r="DV37" t="s">
        <v>51</v>
      </c>
      <c r="DW37" t="s">
        <v>51</v>
      </c>
      <c r="DX37">
        <v>1</v>
      </c>
      <c r="EE37">
        <v>40050625</v>
      </c>
      <c r="EF37">
        <v>1</v>
      </c>
      <c r="EG37" t="s">
        <v>20</v>
      </c>
      <c r="EH37">
        <v>0</v>
      </c>
      <c r="EI37" t="s">
        <v>3</v>
      </c>
      <c r="EJ37">
        <v>4</v>
      </c>
      <c r="EK37">
        <v>0</v>
      </c>
      <c r="EL37" t="s">
        <v>21</v>
      </c>
      <c r="EM37" t="s">
        <v>22</v>
      </c>
      <c r="EO37" t="s">
        <v>3</v>
      </c>
      <c r="EQ37">
        <v>0</v>
      </c>
      <c r="ER37">
        <v>124.17</v>
      </c>
      <c r="ES37">
        <v>124.17</v>
      </c>
      <c r="ET37">
        <v>0</v>
      </c>
      <c r="EU37">
        <v>0</v>
      </c>
      <c r="EV37">
        <v>0</v>
      </c>
      <c r="EW37">
        <v>0</v>
      </c>
      <c r="EX37">
        <v>0</v>
      </c>
      <c r="FQ37">
        <v>0</v>
      </c>
      <c r="FR37">
        <f t="shared" si="47"/>
        <v>0</v>
      </c>
      <c r="FS37">
        <v>0</v>
      </c>
      <c r="FX37">
        <v>70</v>
      </c>
      <c r="FY37">
        <v>10</v>
      </c>
      <c r="GA37" t="s">
        <v>3</v>
      </c>
      <c r="GD37">
        <v>0</v>
      </c>
      <c r="GF37">
        <v>1132781643</v>
      </c>
      <c r="GG37">
        <v>2</v>
      </c>
      <c r="GH37">
        <v>0</v>
      </c>
      <c r="GI37">
        <v>-2</v>
      </c>
      <c r="GJ37">
        <v>0</v>
      </c>
      <c r="GK37">
        <f>ROUND(R37*(R12)/100,2)</f>
        <v>0</v>
      </c>
      <c r="GL37">
        <f t="shared" si="48"/>
        <v>0</v>
      </c>
      <c r="GM37">
        <f t="shared" si="49"/>
        <v>59601.599999999999</v>
      </c>
      <c r="GN37">
        <f t="shared" si="50"/>
        <v>0</v>
      </c>
      <c r="GO37">
        <f t="shared" si="51"/>
        <v>0</v>
      </c>
      <c r="GP37">
        <f t="shared" si="52"/>
        <v>59601.599999999999</v>
      </c>
      <c r="GR37">
        <v>0</v>
      </c>
      <c r="GS37">
        <v>0</v>
      </c>
      <c r="GT37">
        <v>0</v>
      </c>
      <c r="GU37" t="s">
        <v>3</v>
      </c>
      <c r="GV37">
        <f t="shared" si="53"/>
        <v>0</v>
      </c>
      <c r="GW37">
        <v>1</v>
      </c>
      <c r="GX37">
        <f t="shared" si="54"/>
        <v>0</v>
      </c>
      <c r="HA37">
        <v>0</v>
      </c>
      <c r="HB37">
        <v>0</v>
      </c>
      <c r="HC37">
        <f t="shared" si="55"/>
        <v>0</v>
      </c>
      <c r="IK37">
        <v>0</v>
      </c>
    </row>
    <row r="38" spans="1:245">
      <c r="A38">
        <v>17</v>
      </c>
      <c r="B38">
        <v>1</v>
      </c>
      <c r="C38">
        <f>ROW(SmtRes!A22)</f>
        <v>22</v>
      </c>
      <c r="D38">
        <f>ROW(EtalonRes!A20)</f>
        <v>20</v>
      </c>
      <c r="E38" t="s">
        <v>59</v>
      </c>
      <c r="F38" t="s">
        <v>60</v>
      </c>
      <c r="G38" t="s">
        <v>61</v>
      </c>
      <c r="H38" t="s">
        <v>18</v>
      </c>
      <c r="I38">
        <f>ROUND(-75/100,9)</f>
        <v>-0.75</v>
      </c>
      <c r="J38">
        <v>0</v>
      </c>
      <c r="O38">
        <f t="shared" si="21"/>
        <v>-564.37</v>
      </c>
      <c r="P38">
        <f t="shared" si="22"/>
        <v>-53.63</v>
      </c>
      <c r="Q38">
        <f t="shared" si="23"/>
        <v>0</v>
      </c>
      <c r="R38">
        <f t="shared" si="24"/>
        <v>0</v>
      </c>
      <c r="S38">
        <f t="shared" si="25"/>
        <v>-510.74</v>
      </c>
      <c r="T38">
        <f t="shared" si="26"/>
        <v>0</v>
      </c>
      <c r="U38">
        <f t="shared" si="27"/>
        <v>-3.5029999971749994</v>
      </c>
      <c r="V38">
        <f t="shared" si="28"/>
        <v>0</v>
      </c>
      <c r="W38">
        <f t="shared" si="29"/>
        <v>0</v>
      </c>
      <c r="X38">
        <f t="shared" si="30"/>
        <v>-357.52</v>
      </c>
      <c r="Y38">
        <f t="shared" si="31"/>
        <v>-51.07</v>
      </c>
      <c r="AA38">
        <v>42225948</v>
      </c>
      <c r="AB38">
        <f t="shared" si="32"/>
        <v>752.49104699999998</v>
      </c>
      <c r="AC38">
        <f>ROUND(((ES38*0.59047619)),6)</f>
        <v>71.506666999999993</v>
      </c>
      <c r="AD38">
        <f t="shared" si="56"/>
        <v>0</v>
      </c>
      <c r="AE38">
        <f>ROUND((EU38),6)</f>
        <v>0</v>
      </c>
      <c r="AF38">
        <f>ROUND(((EV38*0.59047619)),6)</f>
        <v>680.98437999999999</v>
      </c>
      <c r="AG38">
        <f t="shared" si="34"/>
        <v>0</v>
      </c>
      <c r="AH38">
        <f>((EW38*0.59047619))</f>
        <v>4.6706666628999995</v>
      </c>
      <c r="AI38">
        <f>(EX38)</f>
        <v>0</v>
      </c>
      <c r="AJ38">
        <f t="shared" si="36"/>
        <v>0</v>
      </c>
      <c r="AK38">
        <v>1274.3800000000001</v>
      </c>
      <c r="AL38">
        <v>121.1</v>
      </c>
      <c r="AM38">
        <v>0</v>
      </c>
      <c r="AN38">
        <v>0</v>
      </c>
      <c r="AO38">
        <v>1153.28</v>
      </c>
      <c r="AP38">
        <v>0</v>
      </c>
      <c r="AQ38">
        <v>7.91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0</v>
      </c>
      <c r="BI38">
        <v>4</v>
      </c>
      <c r="BJ38" t="s">
        <v>62</v>
      </c>
      <c r="BM38">
        <v>0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10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37"/>
        <v>-564.37</v>
      </c>
      <c r="CQ38">
        <f t="shared" si="38"/>
        <v>71.506666999999993</v>
      </c>
      <c r="CR38">
        <f t="shared" si="59"/>
        <v>0</v>
      </c>
      <c r="CS38">
        <f t="shared" si="39"/>
        <v>0</v>
      </c>
      <c r="CT38">
        <f t="shared" si="40"/>
        <v>680.98437999999999</v>
      </c>
      <c r="CU38">
        <f t="shared" si="41"/>
        <v>0</v>
      </c>
      <c r="CV38">
        <f t="shared" si="42"/>
        <v>4.6706666628999995</v>
      </c>
      <c r="CW38">
        <f t="shared" si="43"/>
        <v>0</v>
      </c>
      <c r="CX38">
        <f t="shared" si="44"/>
        <v>0</v>
      </c>
      <c r="CY38">
        <f t="shared" si="45"/>
        <v>-357.51800000000003</v>
      </c>
      <c r="CZ38">
        <f t="shared" si="46"/>
        <v>-51.073999999999998</v>
      </c>
      <c r="DC38" t="s">
        <v>3</v>
      </c>
      <c r="DD38" t="s">
        <v>63</v>
      </c>
      <c r="DE38" t="s">
        <v>3</v>
      </c>
      <c r="DF38" t="s">
        <v>3</v>
      </c>
      <c r="DG38" t="s">
        <v>63</v>
      </c>
      <c r="DH38" t="s">
        <v>3</v>
      </c>
      <c r="DI38" t="s">
        <v>63</v>
      </c>
      <c r="DJ38" t="s">
        <v>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1005</v>
      </c>
      <c r="DV38" t="s">
        <v>18</v>
      </c>
      <c r="DW38" t="s">
        <v>18</v>
      </c>
      <c r="DX38">
        <v>100</v>
      </c>
      <c r="EE38">
        <v>40050625</v>
      </c>
      <c r="EF38">
        <v>1</v>
      </c>
      <c r="EG38" t="s">
        <v>20</v>
      </c>
      <c r="EH38">
        <v>0</v>
      </c>
      <c r="EI38" t="s">
        <v>3</v>
      </c>
      <c r="EJ38">
        <v>4</v>
      </c>
      <c r="EK38">
        <v>0</v>
      </c>
      <c r="EL38" t="s">
        <v>21</v>
      </c>
      <c r="EM38" t="s">
        <v>22</v>
      </c>
      <c r="EO38" t="s">
        <v>3</v>
      </c>
      <c r="EQ38">
        <v>0</v>
      </c>
      <c r="ER38">
        <v>1274.3800000000001</v>
      </c>
      <c r="ES38">
        <v>121.1</v>
      </c>
      <c r="ET38">
        <v>0</v>
      </c>
      <c r="EU38">
        <v>0</v>
      </c>
      <c r="EV38">
        <v>1153.28</v>
      </c>
      <c r="EW38">
        <v>7.91</v>
      </c>
      <c r="EX38">
        <v>0</v>
      </c>
      <c r="EY38">
        <v>0</v>
      </c>
      <c r="FQ38">
        <v>0</v>
      </c>
      <c r="FR38">
        <f t="shared" si="47"/>
        <v>0</v>
      </c>
      <c r="FS38">
        <v>0</v>
      </c>
      <c r="FX38">
        <v>70</v>
      </c>
      <c r="FY38">
        <v>10</v>
      </c>
      <c r="GA38" t="s">
        <v>3</v>
      </c>
      <c r="GD38">
        <v>0</v>
      </c>
      <c r="GF38">
        <v>-249557281</v>
      </c>
      <c r="GG38">
        <v>2</v>
      </c>
      <c r="GH38">
        <v>1</v>
      </c>
      <c r="GI38">
        <v>-2</v>
      </c>
      <c r="GJ38">
        <v>0</v>
      </c>
      <c r="GK38">
        <f>ROUND(R38*(R12)/100,2)</f>
        <v>0</v>
      </c>
      <c r="GL38">
        <f t="shared" si="48"/>
        <v>0</v>
      </c>
      <c r="GM38">
        <f t="shared" si="49"/>
        <v>-972.96</v>
      </c>
      <c r="GN38">
        <f t="shared" si="50"/>
        <v>0</v>
      </c>
      <c r="GO38">
        <f t="shared" si="51"/>
        <v>0</v>
      </c>
      <c r="GP38">
        <f t="shared" si="52"/>
        <v>-972.96</v>
      </c>
      <c r="GR38">
        <v>0</v>
      </c>
      <c r="GS38">
        <v>0</v>
      </c>
      <c r="GT38">
        <v>0</v>
      </c>
      <c r="GU38" t="s">
        <v>3</v>
      </c>
      <c r="GV38">
        <f t="shared" si="53"/>
        <v>0</v>
      </c>
      <c r="GW38">
        <v>1</v>
      </c>
      <c r="GX38">
        <f t="shared" si="54"/>
        <v>0</v>
      </c>
      <c r="HA38">
        <v>0</v>
      </c>
      <c r="HB38">
        <v>0</v>
      </c>
      <c r="HC38">
        <f t="shared" si="55"/>
        <v>0</v>
      </c>
      <c r="IK38">
        <v>0</v>
      </c>
    </row>
    <row r="39" spans="1:245">
      <c r="A39">
        <v>18</v>
      </c>
      <c r="B39">
        <v>1</v>
      </c>
      <c r="C39">
        <v>22</v>
      </c>
      <c r="E39" t="s">
        <v>64</v>
      </c>
      <c r="F39" t="s">
        <v>49</v>
      </c>
      <c r="G39" t="s">
        <v>50</v>
      </c>
      <c r="H39" t="s">
        <v>51</v>
      </c>
      <c r="I39">
        <f>I38*J39</f>
        <v>-465</v>
      </c>
      <c r="J39">
        <v>620</v>
      </c>
      <c r="O39">
        <f t="shared" si="21"/>
        <v>0</v>
      </c>
      <c r="P39">
        <f t="shared" si="22"/>
        <v>0</v>
      </c>
      <c r="Q39">
        <f t="shared" si="23"/>
        <v>0</v>
      </c>
      <c r="R39">
        <f t="shared" si="24"/>
        <v>0</v>
      </c>
      <c r="S39">
        <f t="shared" si="25"/>
        <v>0</v>
      </c>
      <c r="T39">
        <f t="shared" si="26"/>
        <v>0</v>
      </c>
      <c r="U39">
        <f t="shared" si="27"/>
        <v>0</v>
      </c>
      <c r="V39">
        <f t="shared" si="28"/>
        <v>0</v>
      </c>
      <c r="W39">
        <f t="shared" si="29"/>
        <v>0</v>
      </c>
      <c r="X39">
        <f t="shared" si="30"/>
        <v>0</v>
      </c>
      <c r="Y39">
        <f t="shared" si="31"/>
        <v>0</v>
      </c>
      <c r="AA39">
        <v>42225948</v>
      </c>
      <c r="AB39">
        <f t="shared" si="32"/>
        <v>0</v>
      </c>
      <c r="AC39">
        <f>ROUND((ES39),6)</f>
        <v>0</v>
      </c>
      <c r="AD39">
        <f t="shared" si="56"/>
        <v>0</v>
      </c>
      <c r="AE39">
        <f>ROUND((EU39),6)</f>
        <v>0</v>
      </c>
      <c r="AF39">
        <f>ROUND((EV39),6)</f>
        <v>0</v>
      </c>
      <c r="AG39">
        <f t="shared" si="34"/>
        <v>0</v>
      </c>
      <c r="AH39">
        <f>(EW39)</f>
        <v>0</v>
      </c>
      <c r="AI39">
        <f>(EX39)</f>
        <v>0</v>
      </c>
      <c r="AJ39">
        <f t="shared" si="36"/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70</v>
      </c>
      <c r="AU39">
        <v>10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3</v>
      </c>
      <c r="BI39">
        <v>4</v>
      </c>
      <c r="BJ39" t="s">
        <v>3</v>
      </c>
      <c r="BM39">
        <v>0</v>
      </c>
      <c r="BN39">
        <v>0</v>
      </c>
      <c r="BO39" t="s">
        <v>3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70</v>
      </c>
      <c r="CA39">
        <v>10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37"/>
        <v>0</v>
      </c>
      <c r="CQ39">
        <f t="shared" si="38"/>
        <v>0</v>
      </c>
      <c r="CR39">
        <f t="shared" si="59"/>
        <v>0</v>
      </c>
      <c r="CS39">
        <f t="shared" si="39"/>
        <v>0</v>
      </c>
      <c r="CT39">
        <f t="shared" si="40"/>
        <v>0</v>
      </c>
      <c r="CU39">
        <f t="shared" si="41"/>
        <v>0</v>
      </c>
      <c r="CV39">
        <f t="shared" si="42"/>
        <v>0</v>
      </c>
      <c r="CW39">
        <f t="shared" si="43"/>
        <v>0</v>
      </c>
      <c r="CX39">
        <f t="shared" si="44"/>
        <v>0</v>
      </c>
      <c r="CY39">
        <f t="shared" si="45"/>
        <v>0</v>
      </c>
      <c r="CZ39">
        <f t="shared" si="46"/>
        <v>0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1010</v>
      </c>
      <c r="DV39" t="s">
        <v>51</v>
      </c>
      <c r="DW39" t="s">
        <v>51</v>
      </c>
      <c r="DX39">
        <v>1</v>
      </c>
      <c r="EE39">
        <v>40050625</v>
      </c>
      <c r="EF39">
        <v>1</v>
      </c>
      <c r="EG39" t="s">
        <v>20</v>
      </c>
      <c r="EH39">
        <v>0</v>
      </c>
      <c r="EI39" t="s">
        <v>3</v>
      </c>
      <c r="EJ39">
        <v>4</v>
      </c>
      <c r="EK39">
        <v>0</v>
      </c>
      <c r="EL39" t="s">
        <v>21</v>
      </c>
      <c r="EM39" t="s">
        <v>22</v>
      </c>
      <c r="EO39" t="s">
        <v>3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FQ39">
        <v>0</v>
      </c>
      <c r="FR39">
        <f t="shared" si="47"/>
        <v>0</v>
      </c>
      <c r="FS39">
        <v>0</v>
      </c>
      <c r="FX39">
        <v>70</v>
      </c>
      <c r="FY39">
        <v>10</v>
      </c>
      <c r="GA39" t="s">
        <v>3</v>
      </c>
      <c r="GD39">
        <v>0</v>
      </c>
      <c r="GF39">
        <v>-2077348890</v>
      </c>
      <c r="GG39">
        <v>2</v>
      </c>
      <c r="GH39">
        <v>1</v>
      </c>
      <c r="GI39">
        <v>-2</v>
      </c>
      <c r="GJ39">
        <v>0</v>
      </c>
      <c r="GK39">
        <f>ROUND(R39*(R12)/100,2)</f>
        <v>0</v>
      </c>
      <c r="GL39">
        <f t="shared" si="48"/>
        <v>0</v>
      </c>
      <c r="GM39">
        <f t="shared" si="49"/>
        <v>0</v>
      </c>
      <c r="GN39">
        <f t="shared" si="50"/>
        <v>0</v>
      </c>
      <c r="GO39">
        <f t="shared" si="51"/>
        <v>0</v>
      </c>
      <c r="GP39">
        <f t="shared" si="52"/>
        <v>0</v>
      </c>
      <c r="GR39">
        <v>0</v>
      </c>
      <c r="GS39">
        <v>0</v>
      </c>
      <c r="GT39">
        <v>0</v>
      </c>
      <c r="GU39" t="s">
        <v>3</v>
      </c>
      <c r="GV39">
        <f t="shared" si="53"/>
        <v>0</v>
      </c>
      <c r="GW39">
        <v>1</v>
      </c>
      <c r="GX39">
        <f t="shared" si="54"/>
        <v>0</v>
      </c>
      <c r="HA39">
        <v>0</v>
      </c>
      <c r="HB39">
        <v>0</v>
      </c>
      <c r="HC39">
        <f t="shared" si="55"/>
        <v>0</v>
      </c>
      <c r="IK39">
        <v>0</v>
      </c>
    </row>
    <row r="41" spans="1:245">
      <c r="A41" s="2">
        <v>51</v>
      </c>
      <c r="B41" s="2">
        <f>B24</f>
        <v>1</v>
      </c>
      <c r="C41" s="2">
        <f>A24</f>
        <v>4</v>
      </c>
      <c r="D41" s="2">
        <f>ROW(A24)</f>
        <v>24</v>
      </c>
      <c r="E41" s="2"/>
      <c r="F41" s="2" t="str">
        <f>IF(F24&lt;&gt;"",F24,"")</f>
        <v>Новый раздел</v>
      </c>
      <c r="G41" s="2" t="str">
        <f>IF(G24&lt;&gt;"",G24,"")</f>
        <v>Устройство цветника - 75м2</v>
      </c>
      <c r="H41" s="2">
        <v>0</v>
      </c>
      <c r="I41" s="2"/>
      <c r="J41" s="2"/>
      <c r="K41" s="2"/>
      <c r="L41" s="2"/>
      <c r="M41" s="2"/>
      <c r="N41" s="2"/>
      <c r="O41" s="2">
        <f t="shared" ref="O41:T41" si="60">ROUND(AB41,2)</f>
        <v>175378.94</v>
      </c>
      <c r="P41" s="2">
        <f t="shared" si="60"/>
        <v>138636.5</v>
      </c>
      <c r="Q41" s="2">
        <f t="shared" si="60"/>
        <v>630.44000000000005</v>
      </c>
      <c r="R41" s="2">
        <f t="shared" si="60"/>
        <v>348.14</v>
      </c>
      <c r="S41" s="2">
        <f t="shared" si="60"/>
        <v>36112</v>
      </c>
      <c r="T41" s="2">
        <f t="shared" si="60"/>
        <v>0</v>
      </c>
      <c r="U41" s="2">
        <f>AH41</f>
        <v>193.27262500282498</v>
      </c>
      <c r="V41" s="2">
        <f>AI41</f>
        <v>0</v>
      </c>
      <c r="W41" s="2">
        <f>ROUND(AJ41,2)</f>
        <v>0</v>
      </c>
      <c r="X41" s="2">
        <f>ROUND(AK41,2)</f>
        <v>25278.42</v>
      </c>
      <c r="Y41" s="2">
        <f>ROUND(AL41,2)</f>
        <v>3611.21</v>
      </c>
      <c r="Z41" s="2"/>
      <c r="AA41" s="2"/>
      <c r="AB41" s="2">
        <f>ROUND(SUMIF(AA28:AA39,"=42225948",O28:O39),2)</f>
        <v>175378.94</v>
      </c>
      <c r="AC41" s="2">
        <f>ROUND(SUMIF(AA28:AA39,"=42225948",P28:P39),2)</f>
        <v>138636.5</v>
      </c>
      <c r="AD41" s="2">
        <f>ROUND(SUMIF(AA28:AA39,"=42225948",Q28:Q39),2)</f>
        <v>630.44000000000005</v>
      </c>
      <c r="AE41" s="2">
        <f>ROUND(SUMIF(AA28:AA39,"=42225948",R28:R39),2)</f>
        <v>348.14</v>
      </c>
      <c r="AF41" s="2">
        <f>ROUND(SUMIF(AA28:AA39,"=42225948",S28:S39),2)</f>
        <v>36112</v>
      </c>
      <c r="AG41" s="2">
        <f>ROUND(SUMIF(AA28:AA39,"=42225948",T28:T39),2)</f>
        <v>0</v>
      </c>
      <c r="AH41" s="2">
        <f>SUMIF(AA28:AA39,"=42225948",U28:U39)</f>
        <v>193.27262500282498</v>
      </c>
      <c r="AI41" s="2">
        <f>SUMIF(AA28:AA39,"=42225948",V28:V39)</f>
        <v>0</v>
      </c>
      <c r="AJ41" s="2">
        <f>ROUND(SUMIF(AA28:AA39,"=42225948",W28:W39),2)</f>
        <v>0</v>
      </c>
      <c r="AK41" s="2">
        <f>ROUND(SUMIF(AA28:AA39,"=42225948",X28:X39),2)</f>
        <v>25278.42</v>
      </c>
      <c r="AL41" s="2">
        <f>ROUND(SUMIF(AA28:AA39,"=42225948",Y28:Y39),2)</f>
        <v>3611.21</v>
      </c>
      <c r="AM41" s="2"/>
      <c r="AN41" s="2"/>
      <c r="AO41" s="2">
        <f t="shared" ref="AO41:BC41" si="61">ROUND(BX41,2)</f>
        <v>0</v>
      </c>
      <c r="AP41" s="2">
        <f t="shared" si="61"/>
        <v>0</v>
      </c>
      <c r="AQ41" s="2">
        <f t="shared" si="61"/>
        <v>0</v>
      </c>
      <c r="AR41" s="2">
        <f t="shared" si="61"/>
        <v>204644.56</v>
      </c>
      <c r="AS41" s="2">
        <f t="shared" si="61"/>
        <v>0</v>
      </c>
      <c r="AT41" s="2">
        <f t="shared" si="61"/>
        <v>0</v>
      </c>
      <c r="AU41" s="2">
        <f t="shared" si="61"/>
        <v>204644.56</v>
      </c>
      <c r="AV41" s="2">
        <f t="shared" si="61"/>
        <v>138636.5</v>
      </c>
      <c r="AW41" s="2">
        <f t="shared" si="61"/>
        <v>138636.5</v>
      </c>
      <c r="AX41" s="2">
        <f t="shared" si="61"/>
        <v>0</v>
      </c>
      <c r="AY41" s="2">
        <f t="shared" si="61"/>
        <v>138636.5</v>
      </c>
      <c r="AZ41" s="2">
        <f t="shared" si="61"/>
        <v>0</v>
      </c>
      <c r="BA41" s="2">
        <f t="shared" si="61"/>
        <v>0</v>
      </c>
      <c r="BB41" s="2">
        <f t="shared" si="61"/>
        <v>0</v>
      </c>
      <c r="BC41" s="2">
        <f t="shared" si="61"/>
        <v>0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>
        <f>ROUND(SUMIF(AA28:AA39,"=42225948",FQ28:FQ39),2)</f>
        <v>0</v>
      </c>
      <c r="BY41" s="2">
        <f>ROUND(SUMIF(AA28:AA39,"=42225948",FR28:FR39),2)</f>
        <v>0</v>
      </c>
      <c r="BZ41" s="2">
        <f>ROUND(SUMIF(AA28:AA39,"=42225948",GL28:GL39),2)</f>
        <v>0</v>
      </c>
      <c r="CA41" s="2">
        <f>ROUND(SUMIF(AA28:AA39,"=42225948",GM28:GM39),2)</f>
        <v>204644.56</v>
      </c>
      <c r="CB41" s="2">
        <f>ROUND(SUMIF(AA28:AA39,"=42225948",GN28:GN39),2)</f>
        <v>0</v>
      </c>
      <c r="CC41" s="2">
        <f>ROUND(SUMIF(AA28:AA39,"=42225948",GO28:GO39),2)</f>
        <v>0</v>
      </c>
      <c r="CD41" s="2">
        <f>ROUND(SUMIF(AA28:AA39,"=42225948",GP28:GP39),2)</f>
        <v>204644.56</v>
      </c>
      <c r="CE41" s="2">
        <f>AC41-BX41</f>
        <v>138636.5</v>
      </c>
      <c r="CF41" s="2">
        <f>AC41-BY41</f>
        <v>138636.5</v>
      </c>
      <c r="CG41" s="2">
        <f>BX41-BZ41</f>
        <v>0</v>
      </c>
      <c r="CH41" s="2">
        <f>AC41-BX41-BY41+BZ41</f>
        <v>138636.5</v>
      </c>
      <c r="CI41" s="2">
        <f>BY41-BZ41</f>
        <v>0</v>
      </c>
      <c r="CJ41" s="2">
        <f>ROUND(SUMIF(AA28:AA39,"=42225948",GX28:GX39),2)</f>
        <v>0</v>
      </c>
      <c r="CK41" s="2">
        <f>ROUND(SUMIF(AA28:AA39,"=42225948",GY28:GY39),2)</f>
        <v>0</v>
      </c>
      <c r="CL41" s="2">
        <f>ROUND(SUMIF(AA28:AA39,"=42225948",GZ28:GZ39),2)</f>
        <v>0</v>
      </c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>
        <v>0</v>
      </c>
    </row>
    <row r="43" spans="1:245">
      <c r="A43" s="4">
        <v>50</v>
      </c>
      <c r="B43" s="4">
        <v>0</v>
      </c>
      <c r="C43" s="4">
        <v>0</v>
      </c>
      <c r="D43" s="4">
        <v>1</v>
      </c>
      <c r="E43" s="4">
        <v>201</v>
      </c>
      <c r="F43" s="4">
        <f>ROUND(Source!O41,O43)</f>
        <v>175378.94</v>
      </c>
      <c r="G43" s="4" t="s">
        <v>65</v>
      </c>
      <c r="H43" s="4" t="s">
        <v>66</v>
      </c>
      <c r="I43" s="4"/>
      <c r="J43" s="4"/>
      <c r="K43" s="4">
        <v>201</v>
      </c>
      <c r="L43" s="4">
        <v>1</v>
      </c>
      <c r="M43" s="4">
        <v>3</v>
      </c>
      <c r="N43" s="4" t="s">
        <v>3</v>
      </c>
      <c r="O43" s="4">
        <v>2</v>
      </c>
      <c r="P43" s="4"/>
      <c r="Q43" s="4"/>
      <c r="R43" s="4"/>
      <c r="S43" s="4"/>
      <c r="T43" s="4"/>
      <c r="U43" s="4"/>
      <c r="V43" s="4"/>
      <c r="W43" s="4"/>
    </row>
    <row r="44" spans="1:245">
      <c r="A44" s="4">
        <v>50</v>
      </c>
      <c r="B44" s="4">
        <v>0</v>
      </c>
      <c r="C44" s="4">
        <v>0</v>
      </c>
      <c r="D44" s="4">
        <v>1</v>
      </c>
      <c r="E44" s="4">
        <v>202</v>
      </c>
      <c r="F44" s="4">
        <f>ROUND(Source!P41,O44)</f>
        <v>138636.5</v>
      </c>
      <c r="G44" s="4" t="s">
        <v>67</v>
      </c>
      <c r="H44" s="4" t="s">
        <v>68</v>
      </c>
      <c r="I44" s="4"/>
      <c r="J44" s="4"/>
      <c r="K44" s="4">
        <v>202</v>
      </c>
      <c r="L44" s="4">
        <v>2</v>
      </c>
      <c r="M44" s="4">
        <v>3</v>
      </c>
      <c r="N44" s="4" t="s">
        <v>3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45">
      <c r="A45" s="4">
        <v>50</v>
      </c>
      <c r="B45" s="4">
        <v>0</v>
      </c>
      <c r="C45" s="4">
        <v>0</v>
      </c>
      <c r="D45" s="4">
        <v>1</v>
      </c>
      <c r="E45" s="4">
        <v>222</v>
      </c>
      <c r="F45" s="4">
        <f>ROUND(Source!AO41,O45)</f>
        <v>0</v>
      </c>
      <c r="G45" s="4" t="s">
        <v>69</v>
      </c>
      <c r="H45" s="4" t="s">
        <v>70</v>
      </c>
      <c r="I45" s="4"/>
      <c r="J45" s="4"/>
      <c r="K45" s="4">
        <v>222</v>
      </c>
      <c r="L45" s="4">
        <v>3</v>
      </c>
      <c r="M45" s="4">
        <v>3</v>
      </c>
      <c r="N45" s="4" t="s">
        <v>3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45">
      <c r="A46" s="4">
        <v>50</v>
      </c>
      <c r="B46" s="4">
        <v>0</v>
      </c>
      <c r="C46" s="4">
        <v>0</v>
      </c>
      <c r="D46" s="4">
        <v>1</v>
      </c>
      <c r="E46" s="4">
        <v>225</v>
      </c>
      <c r="F46" s="4">
        <f>ROUND(Source!AV41,O46)</f>
        <v>138636.5</v>
      </c>
      <c r="G46" s="4" t="s">
        <v>71</v>
      </c>
      <c r="H46" s="4" t="s">
        <v>72</v>
      </c>
      <c r="I46" s="4"/>
      <c r="J46" s="4"/>
      <c r="K46" s="4">
        <v>225</v>
      </c>
      <c r="L46" s="4">
        <v>4</v>
      </c>
      <c r="M46" s="4">
        <v>3</v>
      </c>
      <c r="N46" s="4" t="s">
        <v>3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45">
      <c r="A47" s="4">
        <v>50</v>
      </c>
      <c r="B47" s="4">
        <v>0</v>
      </c>
      <c r="C47" s="4">
        <v>0</v>
      </c>
      <c r="D47" s="4">
        <v>1</v>
      </c>
      <c r="E47" s="4">
        <v>226</v>
      </c>
      <c r="F47" s="4">
        <f>ROUND(Source!AW41,O47)</f>
        <v>138636.5</v>
      </c>
      <c r="G47" s="4" t="s">
        <v>73</v>
      </c>
      <c r="H47" s="4" t="s">
        <v>74</v>
      </c>
      <c r="I47" s="4"/>
      <c r="J47" s="4"/>
      <c r="K47" s="4">
        <v>226</v>
      </c>
      <c r="L47" s="4">
        <v>5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>
      <c r="A48" s="4">
        <v>50</v>
      </c>
      <c r="B48" s="4">
        <v>0</v>
      </c>
      <c r="C48" s="4">
        <v>0</v>
      </c>
      <c r="D48" s="4">
        <v>1</v>
      </c>
      <c r="E48" s="4">
        <v>227</v>
      </c>
      <c r="F48" s="4">
        <f>ROUND(Source!AX41,O48)</f>
        <v>0</v>
      </c>
      <c r="G48" s="4" t="s">
        <v>75</v>
      </c>
      <c r="H48" s="4" t="s">
        <v>76</v>
      </c>
      <c r="I48" s="4"/>
      <c r="J48" s="4"/>
      <c r="K48" s="4">
        <v>227</v>
      </c>
      <c r="L48" s="4">
        <v>6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>
      <c r="A49" s="4">
        <v>50</v>
      </c>
      <c r="B49" s="4">
        <v>0</v>
      </c>
      <c r="C49" s="4">
        <v>0</v>
      </c>
      <c r="D49" s="4">
        <v>1</v>
      </c>
      <c r="E49" s="4">
        <v>228</v>
      </c>
      <c r="F49" s="4">
        <f>ROUND(Source!AY41,O49)</f>
        <v>138636.5</v>
      </c>
      <c r="G49" s="4" t="s">
        <v>77</v>
      </c>
      <c r="H49" s="4" t="s">
        <v>78</v>
      </c>
      <c r="I49" s="4"/>
      <c r="J49" s="4"/>
      <c r="K49" s="4">
        <v>228</v>
      </c>
      <c r="L49" s="4">
        <v>7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>
      <c r="A50" s="4">
        <v>50</v>
      </c>
      <c r="B50" s="4">
        <v>0</v>
      </c>
      <c r="C50" s="4">
        <v>0</v>
      </c>
      <c r="D50" s="4">
        <v>1</v>
      </c>
      <c r="E50" s="4">
        <v>216</v>
      </c>
      <c r="F50" s="4">
        <f>ROUND(Source!AP41,O50)</f>
        <v>0</v>
      </c>
      <c r="G50" s="4" t="s">
        <v>79</v>
      </c>
      <c r="H50" s="4" t="s">
        <v>80</v>
      </c>
      <c r="I50" s="4"/>
      <c r="J50" s="4"/>
      <c r="K50" s="4">
        <v>216</v>
      </c>
      <c r="L50" s="4">
        <v>8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>
      <c r="A51" s="4">
        <v>50</v>
      </c>
      <c r="B51" s="4">
        <v>0</v>
      </c>
      <c r="C51" s="4">
        <v>0</v>
      </c>
      <c r="D51" s="4">
        <v>1</v>
      </c>
      <c r="E51" s="4">
        <v>223</v>
      </c>
      <c r="F51" s="4">
        <f>ROUND(Source!AQ41,O51)</f>
        <v>0</v>
      </c>
      <c r="G51" s="4" t="s">
        <v>81</v>
      </c>
      <c r="H51" s="4" t="s">
        <v>82</v>
      </c>
      <c r="I51" s="4"/>
      <c r="J51" s="4"/>
      <c r="K51" s="4">
        <v>223</v>
      </c>
      <c r="L51" s="4">
        <v>9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>
      <c r="A52" s="4">
        <v>50</v>
      </c>
      <c r="B52" s="4">
        <v>0</v>
      </c>
      <c r="C52" s="4">
        <v>0</v>
      </c>
      <c r="D52" s="4">
        <v>1</v>
      </c>
      <c r="E52" s="4">
        <v>229</v>
      </c>
      <c r="F52" s="4">
        <f>ROUND(Source!AZ41,O52)</f>
        <v>0</v>
      </c>
      <c r="G52" s="4" t="s">
        <v>83</v>
      </c>
      <c r="H52" s="4" t="s">
        <v>84</v>
      </c>
      <c r="I52" s="4"/>
      <c r="J52" s="4"/>
      <c r="K52" s="4">
        <v>229</v>
      </c>
      <c r="L52" s="4">
        <v>10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>
      <c r="A53" s="4">
        <v>50</v>
      </c>
      <c r="B53" s="4">
        <v>0</v>
      </c>
      <c r="C53" s="4">
        <v>0</v>
      </c>
      <c r="D53" s="4">
        <v>1</v>
      </c>
      <c r="E53" s="4">
        <v>203</v>
      </c>
      <c r="F53" s="4">
        <f>ROUND(Source!Q41,O53)</f>
        <v>630.44000000000005</v>
      </c>
      <c r="G53" s="4" t="s">
        <v>85</v>
      </c>
      <c r="H53" s="4" t="s">
        <v>86</v>
      </c>
      <c r="I53" s="4"/>
      <c r="J53" s="4"/>
      <c r="K53" s="4">
        <v>203</v>
      </c>
      <c r="L53" s="4">
        <v>11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>
      <c r="A54" s="4">
        <v>50</v>
      </c>
      <c r="B54" s="4">
        <v>0</v>
      </c>
      <c r="C54" s="4">
        <v>0</v>
      </c>
      <c r="D54" s="4">
        <v>1</v>
      </c>
      <c r="E54" s="4">
        <v>231</v>
      </c>
      <c r="F54" s="4">
        <f>ROUND(Source!BB41,O54)</f>
        <v>0</v>
      </c>
      <c r="G54" s="4" t="s">
        <v>87</v>
      </c>
      <c r="H54" s="4" t="s">
        <v>88</v>
      </c>
      <c r="I54" s="4"/>
      <c r="J54" s="4"/>
      <c r="K54" s="4">
        <v>231</v>
      </c>
      <c r="L54" s="4">
        <v>12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>
      <c r="A55" s="4">
        <v>50</v>
      </c>
      <c r="B55" s="4">
        <v>0</v>
      </c>
      <c r="C55" s="4">
        <v>0</v>
      </c>
      <c r="D55" s="4">
        <v>1</v>
      </c>
      <c r="E55" s="4">
        <v>204</v>
      </c>
      <c r="F55" s="4">
        <f>ROUND(Source!R41,O55)</f>
        <v>348.14</v>
      </c>
      <c r="G55" s="4" t="s">
        <v>89</v>
      </c>
      <c r="H55" s="4" t="s">
        <v>90</v>
      </c>
      <c r="I55" s="4"/>
      <c r="J55" s="4"/>
      <c r="K55" s="4">
        <v>204</v>
      </c>
      <c r="L55" s="4">
        <v>13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>
      <c r="A56" s="4">
        <v>50</v>
      </c>
      <c r="B56" s="4">
        <v>0</v>
      </c>
      <c r="C56" s="4">
        <v>0</v>
      </c>
      <c r="D56" s="4">
        <v>1</v>
      </c>
      <c r="E56" s="4">
        <v>205</v>
      </c>
      <c r="F56" s="4">
        <f>ROUND(Source!S41,O56)</f>
        <v>36112</v>
      </c>
      <c r="G56" s="4" t="s">
        <v>91</v>
      </c>
      <c r="H56" s="4" t="s">
        <v>92</v>
      </c>
      <c r="I56" s="4"/>
      <c r="J56" s="4"/>
      <c r="K56" s="4">
        <v>205</v>
      </c>
      <c r="L56" s="4">
        <v>14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>
      <c r="A57" s="4">
        <v>50</v>
      </c>
      <c r="B57" s="4">
        <v>0</v>
      </c>
      <c r="C57" s="4">
        <v>0</v>
      </c>
      <c r="D57" s="4">
        <v>1</v>
      </c>
      <c r="E57" s="4">
        <v>232</v>
      </c>
      <c r="F57" s="4">
        <f>ROUND(Source!BC41,O57)</f>
        <v>0</v>
      </c>
      <c r="G57" s="4" t="s">
        <v>93</v>
      </c>
      <c r="H57" s="4" t="s">
        <v>94</v>
      </c>
      <c r="I57" s="4"/>
      <c r="J57" s="4"/>
      <c r="K57" s="4">
        <v>232</v>
      </c>
      <c r="L57" s="4">
        <v>15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>
      <c r="A58" s="4">
        <v>50</v>
      </c>
      <c r="B58" s="4">
        <v>0</v>
      </c>
      <c r="C58" s="4">
        <v>0</v>
      </c>
      <c r="D58" s="4">
        <v>1</v>
      </c>
      <c r="E58" s="4">
        <v>214</v>
      </c>
      <c r="F58" s="4">
        <f>ROUND(Source!AS41,O58)</f>
        <v>0</v>
      </c>
      <c r="G58" s="4" t="s">
        <v>95</v>
      </c>
      <c r="H58" s="4" t="s">
        <v>96</v>
      </c>
      <c r="I58" s="4"/>
      <c r="J58" s="4"/>
      <c r="K58" s="4">
        <v>214</v>
      </c>
      <c r="L58" s="4">
        <v>16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>
      <c r="A59" s="4">
        <v>50</v>
      </c>
      <c r="B59" s="4">
        <v>0</v>
      </c>
      <c r="C59" s="4">
        <v>0</v>
      </c>
      <c r="D59" s="4">
        <v>1</v>
      </c>
      <c r="E59" s="4">
        <v>215</v>
      </c>
      <c r="F59" s="4">
        <f>ROUND(Source!AT41,O59)</f>
        <v>0</v>
      </c>
      <c r="G59" s="4" t="s">
        <v>97</v>
      </c>
      <c r="H59" s="4" t="s">
        <v>98</v>
      </c>
      <c r="I59" s="4"/>
      <c r="J59" s="4"/>
      <c r="K59" s="4">
        <v>215</v>
      </c>
      <c r="L59" s="4">
        <v>17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>
      <c r="A60" s="4">
        <v>50</v>
      </c>
      <c r="B60" s="4">
        <v>0</v>
      </c>
      <c r="C60" s="4">
        <v>0</v>
      </c>
      <c r="D60" s="4">
        <v>1</v>
      </c>
      <c r="E60" s="4">
        <v>217</v>
      </c>
      <c r="F60" s="4">
        <f>ROUND(Source!AU41,O60)</f>
        <v>204644.56</v>
      </c>
      <c r="G60" s="4" t="s">
        <v>99</v>
      </c>
      <c r="H60" s="4" t="s">
        <v>100</v>
      </c>
      <c r="I60" s="4"/>
      <c r="J60" s="4"/>
      <c r="K60" s="4">
        <v>217</v>
      </c>
      <c r="L60" s="4">
        <v>18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>
      <c r="A61" s="4">
        <v>50</v>
      </c>
      <c r="B61" s="4">
        <v>0</v>
      </c>
      <c r="C61" s="4">
        <v>0</v>
      </c>
      <c r="D61" s="4">
        <v>1</v>
      </c>
      <c r="E61" s="4">
        <v>230</v>
      </c>
      <c r="F61" s="4">
        <f>ROUND(Source!BA41,O61)</f>
        <v>0</v>
      </c>
      <c r="G61" s="4" t="s">
        <v>101</v>
      </c>
      <c r="H61" s="4" t="s">
        <v>102</v>
      </c>
      <c r="I61" s="4"/>
      <c r="J61" s="4"/>
      <c r="K61" s="4">
        <v>230</v>
      </c>
      <c r="L61" s="4">
        <v>19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>
      <c r="A62" s="4">
        <v>50</v>
      </c>
      <c r="B62" s="4">
        <v>0</v>
      </c>
      <c r="C62" s="4">
        <v>0</v>
      </c>
      <c r="D62" s="4">
        <v>1</v>
      </c>
      <c r="E62" s="4">
        <v>206</v>
      </c>
      <c r="F62" s="4">
        <f>ROUND(Source!T41,O62)</f>
        <v>0</v>
      </c>
      <c r="G62" s="4" t="s">
        <v>103</v>
      </c>
      <c r="H62" s="4" t="s">
        <v>104</v>
      </c>
      <c r="I62" s="4"/>
      <c r="J62" s="4"/>
      <c r="K62" s="4">
        <v>206</v>
      </c>
      <c r="L62" s="4">
        <v>20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>
      <c r="A63" s="4">
        <v>50</v>
      </c>
      <c r="B63" s="4">
        <v>0</v>
      </c>
      <c r="C63" s="4">
        <v>0</v>
      </c>
      <c r="D63" s="4">
        <v>1</v>
      </c>
      <c r="E63" s="4">
        <v>207</v>
      </c>
      <c r="F63" s="4">
        <f>Source!U41</f>
        <v>193.27262500282498</v>
      </c>
      <c r="G63" s="4" t="s">
        <v>105</v>
      </c>
      <c r="H63" s="4" t="s">
        <v>106</v>
      </c>
      <c r="I63" s="4"/>
      <c r="J63" s="4"/>
      <c r="K63" s="4">
        <v>207</v>
      </c>
      <c r="L63" s="4">
        <v>21</v>
      </c>
      <c r="M63" s="4">
        <v>3</v>
      </c>
      <c r="N63" s="4" t="s">
        <v>3</v>
      </c>
      <c r="O63" s="4">
        <v>-1</v>
      </c>
      <c r="P63" s="4"/>
      <c r="Q63" s="4"/>
      <c r="R63" s="4"/>
      <c r="S63" s="4"/>
      <c r="T63" s="4"/>
      <c r="U63" s="4"/>
      <c r="V63" s="4"/>
      <c r="W63" s="4"/>
    </row>
    <row r="64" spans="1:23">
      <c r="A64" s="4">
        <v>50</v>
      </c>
      <c r="B64" s="4">
        <v>0</v>
      </c>
      <c r="C64" s="4">
        <v>0</v>
      </c>
      <c r="D64" s="4">
        <v>1</v>
      </c>
      <c r="E64" s="4">
        <v>208</v>
      </c>
      <c r="F64" s="4">
        <f>Source!V41</f>
        <v>0</v>
      </c>
      <c r="G64" s="4" t="s">
        <v>107</v>
      </c>
      <c r="H64" s="4" t="s">
        <v>108</v>
      </c>
      <c r="I64" s="4"/>
      <c r="J64" s="4"/>
      <c r="K64" s="4">
        <v>208</v>
      </c>
      <c r="L64" s="4">
        <v>22</v>
      </c>
      <c r="M64" s="4">
        <v>3</v>
      </c>
      <c r="N64" s="4" t="s">
        <v>3</v>
      </c>
      <c r="O64" s="4">
        <v>-1</v>
      </c>
      <c r="P64" s="4"/>
      <c r="Q64" s="4"/>
      <c r="R64" s="4"/>
      <c r="S64" s="4"/>
      <c r="T64" s="4"/>
      <c r="U64" s="4"/>
      <c r="V64" s="4"/>
      <c r="W64" s="4"/>
    </row>
    <row r="65" spans="1:245">
      <c r="A65" s="4">
        <v>50</v>
      </c>
      <c r="B65" s="4">
        <v>0</v>
      </c>
      <c r="C65" s="4">
        <v>0</v>
      </c>
      <c r="D65" s="4">
        <v>1</v>
      </c>
      <c r="E65" s="4">
        <v>209</v>
      </c>
      <c r="F65" s="4">
        <f>ROUND(Source!W41,O65)</f>
        <v>0</v>
      </c>
      <c r="G65" s="4" t="s">
        <v>109</v>
      </c>
      <c r="H65" s="4" t="s">
        <v>110</v>
      </c>
      <c r="I65" s="4"/>
      <c r="J65" s="4"/>
      <c r="K65" s="4">
        <v>209</v>
      </c>
      <c r="L65" s="4">
        <v>23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45">
      <c r="A66" s="4">
        <v>50</v>
      </c>
      <c r="B66" s="4">
        <v>0</v>
      </c>
      <c r="C66" s="4">
        <v>0</v>
      </c>
      <c r="D66" s="4">
        <v>1</v>
      </c>
      <c r="E66" s="4">
        <v>210</v>
      </c>
      <c r="F66" s="4">
        <f>ROUND(Source!X41,O66)</f>
        <v>25278.42</v>
      </c>
      <c r="G66" s="4" t="s">
        <v>111</v>
      </c>
      <c r="H66" s="4" t="s">
        <v>112</v>
      </c>
      <c r="I66" s="4"/>
      <c r="J66" s="4"/>
      <c r="K66" s="4">
        <v>210</v>
      </c>
      <c r="L66" s="4">
        <v>24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45">
      <c r="A67" s="4">
        <v>50</v>
      </c>
      <c r="B67" s="4">
        <v>0</v>
      </c>
      <c r="C67" s="4">
        <v>0</v>
      </c>
      <c r="D67" s="4">
        <v>1</v>
      </c>
      <c r="E67" s="4">
        <v>211</v>
      </c>
      <c r="F67" s="4">
        <f>ROUND(Source!Y41,O67)</f>
        <v>3611.21</v>
      </c>
      <c r="G67" s="4" t="s">
        <v>113</v>
      </c>
      <c r="H67" s="4" t="s">
        <v>114</v>
      </c>
      <c r="I67" s="4"/>
      <c r="J67" s="4"/>
      <c r="K67" s="4">
        <v>211</v>
      </c>
      <c r="L67" s="4">
        <v>25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45">
      <c r="A68" s="4">
        <v>50</v>
      </c>
      <c r="B68" s="4">
        <v>0</v>
      </c>
      <c r="C68" s="4">
        <v>0</v>
      </c>
      <c r="D68" s="4">
        <v>1</v>
      </c>
      <c r="E68" s="4">
        <v>224</v>
      </c>
      <c r="F68" s="4">
        <f>ROUND(Source!AR41,O68)</f>
        <v>204644.56</v>
      </c>
      <c r="G68" s="4" t="s">
        <v>115</v>
      </c>
      <c r="H68" s="4" t="s">
        <v>116</v>
      </c>
      <c r="I68" s="4"/>
      <c r="J68" s="4"/>
      <c r="K68" s="4">
        <v>224</v>
      </c>
      <c r="L68" s="4">
        <v>26</v>
      </c>
      <c r="M68" s="4">
        <v>3</v>
      </c>
      <c r="N68" s="4" t="s">
        <v>3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69" spans="1:245">
      <c r="A69" s="4">
        <v>50</v>
      </c>
      <c r="B69" s="4">
        <v>1</v>
      </c>
      <c r="C69" s="4">
        <v>0</v>
      </c>
      <c r="D69" s="4">
        <v>2</v>
      </c>
      <c r="E69" s="4">
        <v>0</v>
      </c>
      <c r="F69" s="4">
        <f>ROUND(F68,O69)</f>
        <v>204644.56</v>
      </c>
      <c r="G69" s="4" t="s">
        <v>4</v>
      </c>
      <c r="H69" s="4" t="s">
        <v>117</v>
      </c>
      <c r="I69" s="4"/>
      <c r="J69" s="4"/>
      <c r="K69" s="4">
        <v>212</v>
      </c>
      <c r="L69" s="4">
        <v>27</v>
      </c>
      <c r="M69" s="4">
        <v>0</v>
      </c>
      <c r="N69" s="4" t="s">
        <v>3</v>
      </c>
      <c r="O69" s="4">
        <v>2</v>
      </c>
      <c r="P69" s="4"/>
      <c r="Q69" s="4"/>
      <c r="R69" s="4"/>
      <c r="S69" s="4"/>
      <c r="T69" s="4"/>
      <c r="U69" s="4"/>
      <c r="V69" s="4"/>
      <c r="W69" s="4"/>
    </row>
    <row r="70" spans="1:245">
      <c r="A70" s="4">
        <v>50</v>
      </c>
      <c r="B70" s="4">
        <v>1</v>
      </c>
      <c r="C70" s="4">
        <v>0</v>
      </c>
      <c r="D70" s="4">
        <v>2</v>
      </c>
      <c r="E70" s="4">
        <v>0</v>
      </c>
      <c r="F70" s="4">
        <f>ROUND(F69*0.2,O70)</f>
        <v>40928.910000000003</v>
      </c>
      <c r="G70" s="4" t="s">
        <v>23</v>
      </c>
      <c r="H70" s="4" t="s">
        <v>118</v>
      </c>
      <c r="I70" s="4"/>
      <c r="J70" s="4"/>
      <c r="K70" s="4">
        <v>212</v>
      </c>
      <c r="L70" s="4">
        <v>28</v>
      </c>
      <c r="M70" s="4">
        <v>0</v>
      </c>
      <c r="N70" s="4" t="s">
        <v>3</v>
      </c>
      <c r="O70" s="4">
        <v>2</v>
      </c>
      <c r="P70" s="4"/>
      <c r="Q70" s="4"/>
      <c r="R70" s="4"/>
      <c r="S70" s="4"/>
      <c r="T70" s="4"/>
      <c r="U70" s="4"/>
      <c r="V70" s="4"/>
      <c r="W70" s="4"/>
    </row>
    <row r="71" spans="1:245">
      <c r="A71" s="4">
        <v>50</v>
      </c>
      <c r="B71" s="4">
        <v>1</v>
      </c>
      <c r="C71" s="4">
        <v>0</v>
      </c>
      <c r="D71" s="4">
        <v>2</v>
      </c>
      <c r="E71" s="4">
        <v>0</v>
      </c>
      <c r="F71" s="4">
        <f>ROUND(F69+F70,O71)</f>
        <v>245573.47</v>
      </c>
      <c r="G71" s="4" t="s">
        <v>27</v>
      </c>
      <c r="H71" s="4" t="s">
        <v>119</v>
      </c>
      <c r="I71" s="4"/>
      <c r="J71" s="4"/>
      <c r="K71" s="4">
        <v>212</v>
      </c>
      <c r="L71" s="4">
        <v>29</v>
      </c>
      <c r="M71" s="4">
        <v>0</v>
      </c>
      <c r="N71" s="4" t="s">
        <v>3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3" spans="1:245">
      <c r="A73" s="1">
        <v>4</v>
      </c>
      <c r="B73" s="1">
        <v>1</v>
      </c>
      <c r="C73" s="1"/>
      <c r="D73" s="1">
        <f>ROW(A90)</f>
        <v>90</v>
      </c>
      <c r="E73" s="1"/>
      <c r="F73" s="1" t="s">
        <v>14</v>
      </c>
      <c r="G73" s="1" t="s">
        <v>120</v>
      </c>
      <c r="H73" s="1" t="s">
        <v>3</v>
      </c>
      <c r="I73" s="1">
        <v>0</v>
      </c>
      <c r="J73" s="1"/>
      <c r="K73" s="1">
        <v>-1</v>
      </c>
      <c r="L73" s="1"/>
      <c r="M73" s="1"/>
      <c r="N73" s="1"/>
      <c r="O73" s="1"/>
      <c r="P73" s="1"/>
      <c r="Q73" s="1"/>
      <c r="R73" s="1"/>
      <c r="S73" s="1"/>
      <c r="T73" s="1"/>
      <c r="U73" s="1" t="s">
        <v>3</v>
      </c>
      <c r="V73" s="1">
        <v>0</v>
      </c>
      <c r="W73" s="1"/>
      <c r="X73" s="1"/>
      <c r="Y73" s="1"/>
      <c r="Z73" s="1"/>
      <c r="AA73" s="1"/>
      <c r="AB73" s="1" t="s">
        <v>3</v>
      </c>
      <c r="AC73" s="1" t="s">
        <v>3</v>
      </c>
      <c r="AD73" s="1" t="s">
        <v>3</v>
      </c>
      <c r="AE73" s="1" t="s">
        <v>3</v>
      </c>
      <c r="AF73" s="1" t="s">
        <v>3</v>
      </c>
      <c r="AG73" s="1" t="s">
        <v>3</v>
      </c>
      <c r="AH73" s="1"/>
      <c r="AI73" s="1"/>
      <c r="AJ73" s="1"/>
      <c r="AK73" s="1"/>
      <c r="AL73" s="1"/>
      <c r="AM73" s="1"/>
      <c r="AN73" s="1"/>
      <c r="AO73" s="1"/>
      <c r="AP73" s="1" t="s">
        <v>3</v>
      </c>
      <c r="AQ73" s="1" t="s">
        <v>3</v>
      </c>
      <c r="AR73" s="1" t="s">
        <v>3</v>
      </c>
      <c r="AS73" s="1"/>
      <c r="AT73" s="1"/>
      <c r="AU73" s="1"/>
      <c r="AV73" s="1"/>
      <c r="AW73" s="1"/>
      <c r="AX73" s="1"/>
      <c r="AY73" s="1"/>
      <c r="AZ73" s="1" t="s">
        <v>3</v>
      </c>
      <c r="BA73" s="1"/>
      <c r="BB73" s="1" t="s">
        <v>3</v>
      </c>
      <c r="BC73" s="1" t="s">
        <v>3</v>
      </c>
      <c r="BD73" s="1" t="s">
        <v>3</v>
      </c>
      <c r="BE73" s="1" t="s">
        <v>3</v>
      </c>
      <c r="BF73" s="1" t="s">
        <v>3</v>
      </c>
      <c r="BG73" s="1" t="s">
        <v>3</v>
      </c>
      <c r="BH73" s="1" t="s">
        <v>3</v>
      </c>
      <c r="BI73" s="1" t="s">
        <v>3</v>
      </c>
      <c r="BJ73" s="1" t="s">
        <v>3</v>
      </c>
      <c r="BK73" s="1" t="s">
        <v>3</v>
      </c>
      <c r="BL73" s="1" t="s">
        <v>3</v>
      </c>
      <c r="BM73" s="1" t="s">
        <v>3</v>
      </c>
      <c r="BN73" s="1" t="s">
        <v>3</v>
      </c>
      <c r="BO73" s="1" t="s">
        <v>3</v>
      </c>
      <c r="BP73" s="1" t="s">
        <v>3</v>
      </c>
      <c r="BQ73" s="1"/>
      <c r="BR73" s="1"/>
      <c r="BS73" s="1"/>
      <c r="BT73" s="1"/>
      <c r="BU73" s="1"/>
      <c r="BV73" s="1"/>
      <c r="BW73" s="1"/>
      <c r="BX73" s="1">
        <v>0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>
        <v>0</v>
      </c>
    </row>
    <row r="75" spans="1:245">
      <c r="A75" s="2">
        <v>52</v>
      </c>
      <c r="B75" s="2">
        <f t="shared" ref="B75:G75" si="62">B90</f>
        <v>1</v>
      </c>
      <c r="C75" s="2">
        <f t="shared" si="62"/>
        <v>4</v>
      </c>
      <c r="D75" s="2">
        <f t="shared" si="62"/>
        <v>73</v>
      </c>
      <c r="E75" s="2">
        <f t="shared" si="62"/>
        <v>0</v>
      </c>
      <c r="F75" s="2" t="str">
        <f t="shared" si="62"/>
        <v>Новый раздел</v>
      </c>
      <c r="G75" s="2" t="str">
        <f t="shared" si="62"/>
        <v>Посадка кустарников - 229шт.</v>
      </c>
      <c r="H75" s="2"/>
      <c r="I75" s="2"/>
      <c r="J75" s="2"/>
      <c r="K75" s="2"/>
      <c r="L75" s="2"/>
      <c r="M75" s="2"/>
      <c r="N75" s="2"/>
      <c r="O75" s="2">
        <f t="shared" ref="O75:AT75" si="63">O90</f>
        <v>355701.35</v>
      </c>
      <c r="P75" s="2">
        <f t="shared" si="63"/>
        <v>238024.77</v>
      </c>
      <c r="Q75" s="2">
        <f t="shared" si="63"/>
        <v>17854.689999999999</v>
      </c>
      <c r="R75" s="2">
        <f t="shared" si="63"/>
        <v>4482.18</v>
      </c>
      <c r="S75" s="2">
        <f t="shared" si="63"/>
        <v>99821.89</v>
      </c>
      <c r="T75" s="2">
        <f t="shared" si="63"/>
        <v>0</v>
      </c>
      <c r="U75" s="2">
        <f t="shared" si="63"/>
        <v>503.99579499999999</v>
      </c>
      <c r="V75" s="2">
        <f t="shared" si="63"/>
        <v>0</v>
      </c>
      <c r="W75" s="2">
        <f t="shared" si="63"/>
        <v>0</v>
      </c>
      <c r="X75" s="2">
        <f t="shared" si="63"/>
        <v>69875.33</v>
      </c>
      <c r="Y75" s="2">
        <f t="shared" si="63"/>
        <v>9982.19</v>
      </c>
      <c r="Z75" s="2">
        <f t="shared" si="63"/>
        <v>0</v>
      </c>
      <c r="AA75" s="2">
        <f t="shared" si="63"/>
        <v>0</v>
      </c>
      <c r="AB75" s="2">
        <f t="shared" si="63"/>
        <v>355701.35</v>
      </c>
      <c r="AC75" s="2">
        <f t="shared" si="63"/>
        <v>238024.77</v>
      </c>
      <c r="AD75" s="2">
        <f t="shared" si="63"/>
        <v>17854.689999999999</v>
      </c>
      <c r="AE75" s="2">
        <f t="shared" si="63"/>
        <v>4482.18</v>
      </c>
      <c r="AF75" s="2">
        <f t="shared" si="63"/>
        <v>99821.89</v>
      </c>
      <c r="AG75" s="2">
        <f t="shared" si="63"/>
        <v>0</v>
      </c>
      <c r="AH75" s="2">
        <f t="shared" si="63"/>
        <v>503.99579499999999</v>
      </c>
      <c r="AI75" s="2">
        <f t="shared" si="63"/>
        <v>0</v>
      </c>
      <c r="AJ75" s="2">
        <f t="shared" si="63"/>
        <v>0</v>
      </c>
      <c r="AK75" s="2">
        <f t="shared" si="63"/>
        <v>69875.33</v>
      </c>
      <c r="AL75" s="2">
        <f t="shared" si="63"/>
        <v>9982.19</v>
      </c>
      <c r="AM75" s="2">
        <f t="shared" si="63"/>
        <v>0</v>
      </c>
      <c r="AN75" s="2">
        <f t="shared" si="63"/>
        <v>0</v>
      </c>
      <c r="AO75" s="2">
        <f t="shared" si="63"/>
        <v>0</v>
      </c>
      <c r="AP75" s="2">
        <f t="shared" si="63"/>
        <v>0</v>
      </c>
      <c r="AQ75" s="2">
        <f t="shared" si="63"/>
        <v>0</v>
      </c>
      <c r="AR75" s="2">
        <f t="shared" si="63"/>
        <v>440399.62</v>
      </c>
      <c r="AS75" s="2">
        <f t="shared" si="63"/>
        <v>0</v>
      </c>
      <c r="AT75" s="2">
        <f t="shared" si="63"/>
        <v>0</v>
      </c>
      <c r="AU75" s="2">
        <f t="shared" ref="AU75:BZ75" si="64">AU90</f>
        <v>440399.62</v>
      </c>
      <c r="AV75" s="2">
        <f t="shared" si="64"/>
        <v>238024.77</v>
      </c>
      <c r="AW75" s="2">
        <f t="shared" si="64"/>
        <v>238024.77</v>
      </c>
      <c r="AX75" s="2">
        <f t="shared" si="64"/>
        <v>0</v>
      </c>
      <c r="AY75" s="2">
        <f t="shared" si="64"/>
        <v>238024.77</v>
      </c>
      <c r="AZ75" s="2">
        <f t="shared" si="64"/>
        <v>0</v>
      </c>
      <c r="BA75" s="2">
        <f t="shared" si="64"/>
        <v>0</v>
      </c>
      <c r="BB75" s="2">
        <f t="shared" si="64"/>
        <v>0</v>
      </c>
      <c r="BC75" s="2">
        <f t="shared" si="64"/>
        <v>0</v>
      </c>
      <c r="BD75" s="2">
        <f t="shared" si="64"/>
        <v>0</v>
      </c>
      <c r="BE75" s="2">
        <f t="shared" si="64"/>
        <v>0</v>
      </c>
      <c r="BF75" s="2">
        <f t="shared" si="64"/>
        <v>0</v>
      </c>
      <c r="BG75" s="2">
        <f t="shared" si="64"/>
        <v>0</v>
      </c>
      <c r="BH75" s="2">
        <f t="shared" si="64"/>
        <v>0</v>
      </c>
      <c r="BI75" s="2">
        <f t="shared" si="64"/>
        <v>0</v>
      </c>
      <c r="BJ75" s="2">
        <f t="shared" si="64"/>
        <v>0</v>
      </c>
      <c r="BK75" s="2">
        <f t="shared" si="64"/>
        <v>0</v>
      </c>
      <c r="BL75" s="2">
        <f t="shared" si="64"/>
        <v>0</v>
      </c>
      <c r="BM75" s="2">
        <f t="shared" si="64"/>
        <v>0</v>
      </c>
      <c r="BN75" s="2">
        <f t="shared" si="64"/>
        <v>0</v>
      </c>
      <c r="BO75" s="2">
        <f t="shared" si="64"/>
        <v>0</v>
      </c>
      <c r="BP75" s="2">
        <f t="shared" si="64"/>
        <v>0</v>
      </c>
      <c r="BQ75" s="2">
        <f t="shared" si="64"/>
        <v>0</v>
      </c>
      <c r="BR75" s="2">
        <f t="shared" si="64"/>
        <v>0</v>
      </c>
      <c r="BS75" s="2">
        <f t="shared" si="64"/>
        <v>0</v>
      </c>
      <c r="BT75" s="2">
        <f t="shared" si="64"/>
        <v>0</v>
      </c>
      <c r="BU75" s="2">
        <f t="shared" si="64"/>
        <v>0</v>
      </c>
      <c r="BV75" s="2">
        <f t="shared" si="64"/>
        <v>0</v>
      </c>
      <c r="BW75" s="2">
        <f t="shared" si="64"/>
        <v>0</v>
      </c>
      <c r="BX75" s="2">
        <f t="shared" si="64"/>
        <v>0</v>
      </c>
      <c r="BY75" s="2">
        <f t="shared" si="64"/>
        <v>0</v>
      </c>
      <c r="BZ75" s="2">
        <f t="shared" si="64"/>
        <v>0</v>
      </c>
      <c r="CA75" s="2">
        <f t="shared" ref="CA75:DF75" si="65">CA90</f>
        <v>440399.62</v>
      </c>
      <c r="CB75" s="2">
        <f t="shared" si="65"/>
        <v>0</v>
      </c>
      <c r="CC75" s="2">
        <f t="shared" si="65"/>
        <v>0</v>
      </c>
      <c r="CD75" s="2">
        <f t="shared" si="65"/>
        <v>440399.62</v>
      </c>
      <c r="CE75" s="2">
        <f t="shared" si="65"/>
        <v>238024.77</v>
      </c>
      <c r="CF75" s="2">
        <f t="shared" si="65"/>
        <v>238024.77</v>
      </c>
      <c r="CG75" s="2">
        <f t="shared" si="65"/>
        <v>0</v>
      </c>
      <c r="CH75" s="2">
        <f t="shared" si="65"/>
        <v>238024.77</v>
      </c>
      <c r="CI75" s="2">
        <f t="shared" si="65"/>
        <v>0</v>
      </c>
      <c r="CJ75" s="2">
        <f t="shared" si="65"/>
        <v>0</v>
      </c>
      <c r="CK75" s="2">
        <f t="shared" si="65"/>
        <v>0</v>
      </c>
      <c r="CL75" s="2">
        <f t="shared" si="65"/>
        <v>0</v>
      </c>
      <c r="CM75" s="2">
        <f t="shared" si="65"/>
        <v>0</v>
      </c>
      <c r="CN75" s="2">
        <f t="shared" si="65"/>
        <v>0</v>
      </c>
      <c r="CO75" s="2">
        <f t="shared" si="65"/>
        <v>0</v>
      </c>
      <c r="CP75" s="2">
        <f t="shared" si="65"/>
        <v>0</v>
      </c>
      <c r="CQ75" s="2">
        <f t="shared" si="65"/>
        <v>0</v>
      </c>
      <c r="CR75" s="2">
        <f t="shared" si="65"/>
        <v>0</v>
      </c>
      <c r="CS75" s="2">
        <f t="shared" si="65"/>
        <v>0</v>
      </c>
      <c r="CT75" s="2">
        <f t="shared" si="65"/>
        <v>0</v>
      </c>
      <c r="CU75" s="2">
        <f t="shared" si="65"/>
        <v>0</v>
      </c>
      <c r="CV75" s="2">
        <f t="shared" si="65"/>
        <v>0</v>
      </c>
      <c r="CW75" s="2">
        <f t="shared" si="65"/>
        <v>0</v>
      </c>
      <c r="CX75" s="2">
        <f t="shared" si="65"/>
        <v>0</v>
      </c>
      <c r="CY75" s="2">
        <f t="shared" si="65"/>
        <v>0</v>
      </c>
      <c r="CZ75" s="2">
        <f t="shared" si="65"/>
        <v>0</v>
      </c>
      <c r="DA75" s="2">
        <f t="shared" si="65"/>
        <v>0</v>
      </c>
      <c r="DB75" s="2">
        <f t="shared" si="65"/>
        <v>0</v>
      </c>
      <c r="DC75" s="2">
        <f t="shared" si="65"/>
        <v>0</v>
      </c>
      <c r="DD75" s="2">
        <f t="shared" si="65"/>
        <v>0</v>
      </c>
      <c r="DE75" s="2">
        <f t="shared" si="65"/>
        <v>0</v>
      </c>
      <c r="DF75" s="2">
        <f t="shared" si="65"/>
        <v>0</v>
      </c>
      <c r="DG75" s="3">
        <f t="shared" ref="DG75:EL75" si="66">DG90</f>
        <v>0</v>
      </c>
      <c r="DH75" s="3">
        <f t="shared" si="66"/>
        <v>0</v>
      </c>
      <c r="DI75" s="3">
        <f t="shared" si="66"/>
        <v>0</v>
      </c>
      <c r="DJ75" s="3">
        <f t="shared" si="66"/>
        <v>0</v>
      </c>
      <c r="DK75" s="3">
        <f t="shared" si="66"/>
        <v>0</v>
      </c>
      <c r="DL75" s="3">
        <f t="shared" si="66"/>
        <v>0</v>
      </c>
      <c r="DM75" s="3">
        <f t="shared" si="66"/>
        <v>0</v>
      </c>
      <c r="DN75" s="3">
        <f t="shared" si="66"/>
        <v>0</v>
      </c>
      <c r="DO75" s="3">
        <f t="shared" si="66"/>
        <v>0</v>
      </c>
      <c r="DP75" s="3">
        <f t="shared" si="66"/>
        <v>0</v>
      </c>
      <c r="DQ75" s="3">
        <f t="shared" si="66"/>
        <v>0</v>
      </c>
      <c r="DR75" s="3">
        <f t="shared" si="66"/>
        <v>0</v>
      </c>
      <c r="DS75" s="3">
        <f t="shared" si="66"/>
        <v>0</v>
      </c>
      <c r="DT75" s="3">
        <f t="shared" si="66"/>
        <v>0</v>
      </c>
      <c r="DU75" s="3">
        <f t="shared" si="66"/>
        <v>0</v>
      </c>
      <c r="DV75" s="3">
        <f t="shared" si="66"/>
        <v>0</v>
      </c>
      <c r="DW75" s="3">
        <f t="shared" si="66"/>
        <v>0</v>
      </c>
      <c r="DX75" s="3">
        <f t="shared" si="66"/>
        <v>0</v>
      </c>
      <c r="DY75" s="3">
        <f t="shared" si="66"/>
        <v>0</v>
      </c>
      <c r="DZ75" s="3">
        <f t="shared" si="66"/>
        <v>0</v>
      </c>
      <c r="EA75" s="3">
        <f t="shared" si="66"/>
        <v>0</v>
      </c>
      <c r="EB75" s="3">
        <f t="shared" si="66"/>
        <v>0</v>
      </c>
      <c r="EC75" s="3">
        <f t="shared" si="66"/>
        <v>0</v>
      </c>
      <c r="ED75" s="3">
        <f t="shared" si="66"/>
        <v>0</v>
      </c>
      <c r="EE75" s="3">
        <f t="shared" si="66"/>
        <v>0</v>
      </c>
      <c r="EF75" s="3">
        <f t="shared" si="66"/>
        <v>0</v>
      </c>
      <c r="EG75" s="3">
        <f t="shared" si="66"/>
        <v>0</v>
      </c>
      <c r="EH75" s="3">
        <f t="shared" si="66"/>
        <v>0</v>
      </c>
      <c r="EI75" s="3">
        <f t="shared" si="66"/>
        <v>0</v>
      </c>
      <c r="EJ75" s="3">
        <f t="shared" si="66"/>
        <v>0</v>
      </c>
      <c r="EK75" s="3">
        <f t="shared" si="66"/>
        <v>0</v>
      </c>
      <c r="EL75" s="3">
        <f t="shared" si="66"/>
        <v>0</v>
      </c>
      <c r="EM75" s="3">
        <f t="shared" ref="EM75:FR75" si="67">EM90</f>
        <v>0</v>
      </c>
      <c r="EN75" s="3">
        <f t="shared" si="67"/>
        <v>0</v>
      </c>
      <c r="EO75" s="3">
        <f t="shared" si="67"/>
        <v>0</v>
      </c>
      <c r="EP75" s="3">
        <f t="shared" si="67"/>
        <v>0</v>
      </c>
      <c r="EQ75" s="3">
        <f t="shared" si="67"/>
        <v>0</v>
      </c>
      <c r="ER75" s="3">
        <f t="shared" si="67"/>
        <v>0</v>
      </c>
      <c r="ES75" s="3">
        <f t="shared" si="67"/>
        <v>0</v>
      </c>
      <c r="ET75" s="3">
        <f t="shared" si="67"/>
        <v>0</v>
      </c>
      <c r="EU75" s="3">
        <f t="shared" si="67"/>
        <v>0</v>
      </c>
      <c r="EV75" s="3">
        <f t="shared" si="67"/>
        <v>0</v>
      </c>
      <c r="EW75" s="3">
        <f t="shared" si="67"/>
        <v>0</v>
      </c>
      <c r="EX75" s="3">
        <f t="shared" si="67"/>
        <v>0</v>
      </c>
      <c r="EY75" s="3">
        <f t="shared" si="67"/>
        <v>0</v>
      </c>
      <c r="EZ75" s="3">
        <f t="shared" si="67"/>
        <v>0</v>
      </c>
      <c r="FA75" s="3">
        <f t="shared" si="67"/>
        <v>0</v>
      </c>
      <c r="FB75" s="3">
        <f t="shared" si="67"/>
        <v>0</v>
      </c>
      <c r="FC75" s="3">
        <f t="shared" si="67"/>
        <v>0</v>
      </c>
      <c r="FD75" s="3">
        <f t="shared" si="67"/>
        <v>0</v>
      </c>
      <c r="FE75" s="3">
        <f t="shared" si="67"/>
        <v>0</v>
      </c>
      <c r="FF75" s="3">
        <f t="shared" si="67"/>
        <v>0</v>
      </c>
      <c r="FG75" s="3">
        <f t="shared" si="67"/>
        <v>0</v>
      </c>
      <c r="FH75" s="3">
        <f t="shared" si="67"/>
        <v>0</v>
      </c>
      <c r="FI75" s="3">
        <f t="shared" si="67"/>
        <v>0</v>
      </c>
      <c r="FJ75" s="3">
        <f t="shared" si="67"/>
        <v>0</v>
      </c>
      <c r="FK75" s="3">
        <f t="shared" si="67"/>
        <v>0</v>
      </c>
      <c r="FL75" s="3">
        <f t="shared" si="67"/>
        <v>0</v>
      </c>
      <c r="FM75" s="3">
        <f t="shared" si="67"/>
        <v>0</v>
      </c>
      <c r="FN75" s="3">
        <f t="shared" si="67"/>
        <v>0</v>
      </c>
      <c r="FO75" s="3">
        <f t="shared" si="67"/>
        <v>0</v>
      </c>
      <c r="FP75" s="3">
        <f t="shared" si="67"/>
        <v>0</v>
      </c>
      <c r="FQ75" s="3">
        <f t="shared" si="67"/>
        <v>0</v>
      </c>
      <c r="FR75" s="3">
        <f t="shared" si="67"/>
        <v>0</v>
      </c>
      <c r="FS75" s="3">
        <f t="shared" ref="FS75:GX75" si="68">FS90</f>
        <v>0</v>
      </c>
      <c r="FT75" s="3">
        <f t="shared" si="68"/>
        <v>0</v>
      </c>
      <c r="FU75" s="3">
        <f t="shared" si="68"/>
        <v>0</v>
      </c>
      <c r="FV75" s="3">
        <f t="shared" si="68"/>
        <v>0</v>
      </c>
      <c r="FW75" s="3">
        <f t="shared" si="68"/>
        <v>0</v>
      </c>
      <c r="FX75" s="3">
        <f t="shared" si="68"/>
        <v>0</v>
      </c>
      <c r="FY75" s="3">
        <f t="shared" si="68"/>
        <v>0</v>
      </c>
      <c r="FZ75" s="3">
        <f t="shared" si="68"/>
        <v>0</v>
      </c>
      <c r="GA75" s="3">
        <f t="shared" si="68"/>
        <v>0</v>
      </c>
      <c r="GB75" s="3">
        <f t="shared" si="68"/>
        <v>0</v>
      </c>
      <c r="GC75" s="3">
        <f t="shared" si="68"/>
        <v>0</v>
      </c>
      <c r="GD75" s="3">
        <f t="shared" si="68"/>
        <v>0</v>
      </c>
      <c r="GE75" s="3">
        <f t="shared" si="68"/>
        <v>0</v>
      </c>
      <c r="GF75" s="3">
        <f t="shared" si="68"/>
        <v>0</v>
      </c>
      <c r="GG75" s="3">
        <f t="shared" si="68"/>
        <v>0</v>
      </c>
      <c r="GH75" s="3">
        <f t="shared" si="68"/>
        <v>0</v>
      </c>
      <c r="GI75" s="3">
        <f t="shared" si="68"/>
        <v>0</v>
      </c>
      <c r="GJ75" s="3">
        <f t="shared" si="68"/>
        <v>0</v>
      </c>
      <c r="GK75" s="3">
        <f t="shared" si="68"/>
        <v>0</v>
      </c>
      <c r="GL75" s="3">
        <f t="shared" si="68"/>
        <v>0</v>
      </c>
      <c r="GM75" s="3">
        <f t="shared" si="68"/>
        <v>0</v>
      </c>
      <c r="GN75" s="3">
        <f t="shared" si="68"/>
        <v>0</v>
      </c>
      <c r="GO75" s="3">
        <f t="shared" si="68"/>
        <v>0</v>
      </c>
      <c r="GP75" s="3">
        <f t="shared" si="68"/>
        <v>0</v>
      </c>
      <c r="GQ75" s="3">
        <f t="shared" si="68"/>
        <v>0</v>
      </c>
      <c r="GR75" s="3">
        <f t="shared" si="68"/>
        <v>0</v>
      </c>
      <c r="GS75" s="3">
        <f t="shared" si="68"/>
        <v>0</v>
      </c>
      <c r="GT75" s="3">
        <f t="shared" si="68"/>
        <v>0</v>
      </c>
      <c r="GU75" s="3">
        <f t="shared" si="68"/>
        <v>0</v>
      </c>
      <c r="GV75" s="3">
        <f t="shared" si="68"/>
        <v>0</v>
      </c>
      <c r="GW75" s="3">
        <f t="shared" si="68"/>
        <v>0</v>
      </c>
      <c r="GX75" s="3">
        <f t="shared" si="68"/>
        <v>0</v>
      </c>
    </row>
    <row r="77" spans="1:245">
      <c r="A77">
        <v>17</v>
      </c>
      <c r="B77">
        <v>1</v>
      </c>
      <c r="C77">
        <f>ROW(SmtRes!A27)</f>
        <v>27</v>
      </c>
      <c r="D77">
        <f>ROW(EtalonRes!A25)</f>
        <v>25</v>
      </c>
      <c r="E77" t="s">
        <v>121</v>
      </c>
      <c r="F77" t="s">
        <v>122</v>
      </c>
      <c r="G77" t="s">
        <v>123</v>
      </c>
      <c r="H77" t="s">
        <v>124</v>
      </c>
      <c r="I77">
        <f>ROUND((229*0.4)/10,9)</f>
        <v>9.16</v>
      </c>
      <c r="J77">
        <v>0</v>
      </c>
      <c r="O77">
        <f t="shared" ref="O77:O88" si="69">ROUND(CP77,2)</f>
        <v>38546.559999999998</v>
      </c>
      <c r="P77">
        <f t="shared" ref="P77:P88" si="70">ROUND(CQ77*I77,2)</f>
        <v>19003.060000000001</v>
      </c>
      <c r="Q77">
        <f t="shared" ref="Q77:Q88" si="71">ROUND(CR77*I77,2)</f>
        <v>2334.61</v>
      </c>
      <c r="R77">
        <f t="shared" ref="R77:R88" si="72">ROUND(CS77*I77,2)</f>
        <v>853.9</v>
      </c>
      <c r="S77">
        <f t="shared" ref="S77:S88" si="73">ROUND(CT77*I77,2)</f>
        <v>17208.89</v>
      </c>
      <c r="T77">
        <f t="shared" ref="T77:T88" si="74">ROUND(CU77*I77,2)</f>
        <v>0</v>
      </c>
      <c r="U77">
        <f t="shared" ref="U77:U88" si="75">CV77*I77</f>
        <v>101.7676</v>
      </c>
      <c r="V77">
        <f t="shared" ref="V77:V88" si="76">CW77*I77</f>
        <v>0</v>
      </c>
      <c r="W77">
        <f t="shared" ref="W77:W88" si="77">ROUND(CX77*I77,2)</f>
        <v>0</v>
      </c>
      <c r="X77">
        <f t="shared" ref="X77:X88" si="78">ROUND(CY77,2)</f>
        <v>12046.22</v>
      </c>
      <c r="Y77">
        <f t="shared" ref="Y77:Y88" si="79">ROUND(CZ77,2)</f>
        <v>1720.89</v>
      </c>
      <c r="AA77">
        <v>42225948</v>
      </c>
      <c r="AB77">
        <f t="shared" ref="AB77:AB88" si="80">ROUND((AC77+AD77+AF77),6)</f>
        <v>4208.1400000000003</v>
      </c>
      <c r="AC77">
        <f t="shared" ref="AC77:AC88" si="81">ROUND((ES77),6)</f>
        <v>2074.5700000000002</v>
      </c>
      <c r="AD77">
        <f t="shared" ref="AD77:AD88" si="82">ROUND((((ET77)-(EU77))+AE77),6)</f>
        <v>254.87</v>
      </c>
      <c r="AE77">
        <f t="shared" ref="AE77:AE88" si="83">ROUND((EU77),6)</f>
        <v>93.22</v>
      </c>
      <c r="AF77">
        <f t="shared" ref="AF77:AF88" si="84">ROUND((EV77),6)</f>
        <v>1878.7</v>
      </c>
      <c r="AG77">
        <f t="shared" ref="AG77:AG88" si="85">ROUND((AP77),6)</f>
        <v>0</v>
      </c>
      <c r="AH77">
        <f t="shared" ref="AH77:AH88" si="86">(EW77)</f>
        <v>11.11</v>
      </c>
      <c r="AI77">
        <f t="shared" ref="AI77:AI88" si="87">(EX77)</f>
        <v>0</v>
      </c>
      <c r="AJ77">
        <f t="shared" ref="AJ77:AJ88" si="88">(AS77)</f>
        <v>0</v>
      </c>
      <c r="AK77">
        <v>4208.1400000000003</v>
      </c>
      <c r="AL77">
        <v>2074.5700000000002</v>
      </c>
      <c r="AM77">
        <v>254.87</v>
      </c>
      <c r="AN77">
        <v>93.22</v>
      </c>
      <c r="AO77">
        <v>1878.7</v>
      </c>
      <c r="AP77">
        <v>0</v>
      </c>
      <c r="AQ77">
        <v>11.11</v>
      </c>
      <c r="AR77">
        <v>0</v>
      </c>
      <c r="AS77">
        <v>0</v>
      </c>
      <c r="AT77">
        <v>70</v>
      </c>
      <c r="AU77">
        <v>10</v>
      </c>
      <c r="AV77">
        <v>1</v>
      </c>
      <c r="AW77">
        <v>1</v>
      </c>
      <c r="AZ77">
        <v>1</v>
      </c>
      <c r="BA77">
        <v>1</v>
      </c>
      <c r="BB77">
        <v>1</v>
      </c>
      <c r="BC77">
        <v>1</v>
      </c>
      <c r="BD77" t="s">
        <v>3</v>
      </c>
      <c r="BE77" t="s">
        <v>3</v>
      </c>
      <c r="BF77" t="s">
        <v>3</v>
      </c>
      <c r="BG77" t="s">
        <v>3</v>
      </c>
      <c r="BH77">
        <v>0</v>
      </c>
      <c r="BI77">
        <v>4</v>
      </c>
      <c r="BJ77" t="s">
        <v>125</v>
      </c>
      <c r="BM77">
        <v>0</v>
      </c>
      <c r="BN77">
        <v>0</v>
      </c>
      <c r="BO77" t="s">
        <v>3</v>
      </c>
      <c r="BP77">
        <v>0</v>
      </c>
      <c r="BQ77">
        <v>1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 t="s">
        <v>3</v>
      </c>
      <c r="BZ77">
        <v>70</v>
      </c>
      <c r="CA77">
        <v>10</v>
      </c>
      <c r="CE77">
        <v>0</v>
      </c>
      <c r="CF77">
        <v>0</v>
      </c>
      <c r="CG77">
        <v>0</v>
      </c>
      <c r="CM77">
        <v>0</v>
      </c>
      <c r="CN77" t="s">
        <v>3</v>
      </c>
      <c r="CO77">
        <v>0</v>
      </c>
      <c r="CP77">
        <f t="shared" ref="CP77:CP88" si="89">(P77+Q77+S77)</f>
        <v>38546.559999999998</v>
      </c>
      <c r="CQ77">
        <f t="shared" ref="CQ77:CQ88" si="90">(AC77*BC77*AW77)</f>
        <v>2074.5700000000002</v>
      </c>
      <c r="CR77">
        <f t="shared" ref="CR77:CR88" si="91">((((ET77)*BB77-(EU77)*BS77)+AE77*BS77)*AV77)</f>
        <v>254.87</v>
      </c>
      <c r="CS77">
        <f t="shared" ref="CS77:CS88" si="92">(AE77*BS77*AV77)</f>
        <v>93.22</v>
      </c>
      <c r="CT77">
        <f t="shared" ref="CT77:CT88" si="93">(AF77*BA77*AV77)</f>
        <v>1878.7</v>
      </c>
      <c r="CU77">
        <f t="shared" ref="CU77:CU88" si="94">AG77</f>
        <v>0</v>
      </c>
      <c r="CV77">
        <f t="shared" ref="CV77:CV88" si="95">(AH77*AV77)</f>
        <v>11.11</v>
      </c>
      <c r="CW77">
        <f t="shared" ref="CW77:CW88" si="96">AI77</f>
        <v>0</v>
      </c>
      <c r="CX77">
        <f t="shared" ref="CX77:CX88" si="97">AJ77</f>
        <v>0</v>
      </c>
      <c r="CY77">
        <f t="shared" ref="CY77:CY88" si="98">((S77*BZ77)/100)</f>
        <v>12046.223</v>
      </c>
      <c r="CZ77">
        <f t="shared" ref="CZ77:CZ88" si="99">((S77*CA77)/100)</f>
        <v>1720.8889999999999</v>
      </c>
      <c r="DC77" t="s">
        <v>3</v>
      </c>
      <c r="DD77" t="s">
        <v>3</v>
      </c>
      <c r="DE77" t="s">
        <v>3</v>
      </c>
      <c r="DF77" t="s">
        <v>3</v>
      </c>
      <c r="DG77" t="s">
        <v>3</v>
      </c>
      <c r="DH77" t="s">
        <v>3</v>
      </c>
      <c r="DI77" t="s">
        <v>3</v>
      </c>
      <c r="DJ77" t="s">
        <v>3</v>
      </c>
      <c r="DK77" t="s">
        <v>3</v>
      </c>
      <c r="DL77" t="s">
        <v>3</v>
      </c>
      <c r="DM77" t="s">
        <v>3</v>
      </c>
      <c r="DN77">
        <v>0</v>
      </c>
      <c r="DO77">
        <v>0</v>
      </c>
      <c r="DP77">
        <v>1</v>
      </c>
      <c r="DQ77">
        <v>1</v>
      </c>
      <c r="DU77">
        <v>1013</v>
      </c>
      <c r="DV77" t="s">
        <v>124</v>
      </c>
      <c r="DW77" t="s">
        <v>124</v>
      </c>
      <c r="DX77">
        <v>1</v>
      </c>
      <c r="EE77">
        <v>40050625</v>
      </c>
      <c r="EF77">
        <v>1</v>
      </c>
      <c r="EG77" t="s">
        <v>20</v>
      </c>
      <c r="EH77">
        <v>0</v>
      </c>
      <c r="EI77" t="s">
        <v>3</v>
      </c>
      <c r="EJ77">
        <v>4</v>
      </c>
      <c r="EK77">
        <v>0</v>
      </c>
      <c r="EL77" t="s">
        <v>21</v>
      </c>
      <c r="EM77" t="s">
        <v>22</v>
      </c>
      <c r="EO77" t="s">
        <v>3</v>
      </c>
      <c r="EQ77">
        <v>0</v>
      </c>
      <c r="ER77">
        <v>4208.1400000000003</v>
      </c>
      <c r="ES77">
        <v>2074.5700000000002</v>
      </c>
      <c r="ET77">
        <v>254.87</v>
      </c>
      <c r="EU77">
        <v>93.22</v>
      </c>
      <c r="EV77">
        <v>1878.7</v>
      </c>
      <c r="EW77">
        <v>11.11</v>
      </c>
      <c r="EX77">
        <v>0</v>
      </c>
      <c r="EY77">
        <v>0</v>
      </c>
      <c r="FQ77">
        <v>0</v>
      </c>
      <c r="FR77">
        <f t="shared" ref="FR77:FR88" si="100">ROUND(IF(AND(BH77=3,BI77=3),P77,0),2)</f>
        <v>0</v>
      </c>
      <c r="FS77">
        <v>0</v>
      </c>
      <c r="FX77">
        <v>70</v>
      </c>
      <c r="FY77">
        <v>10</v>
      </c>
      <c r="GA77" t="s">
        <v>3</v>
      </c>
      <c r="GD77">
        <v>0</v>
      </c>
      <c r="GF77">
        <v>-1714821807</v>
      </c>
      <c r="GG77">
        <v>2</v>
      </c>
      <c r="GH77">
        <v>1</v>
      </c>
      <c r="GI77">
        <v>-2</v>
      </c>
      <c r="GJ77">
        <v>0</v>
      </c>
      <c r="GK77">
        <f>ROUND(R77*(R12)/100,2)</f>
        <v>922.21</v>
      </c>
      <c r="GL77">
        <f t="shared" ref="GL77:GL88" si="101">ROUND(IF(AND(BH77=3,BI77=3,FS77&lt;&gt;0),P77,0),2)</f>
        <v>0</v>
      </c>
      <c r="GM77">
        <f t="shared" ref="GM77:GM88" si="102">ROUND(O77+X77+Y77+GK77,2)+GX77</f>
        <v>53235.88</v>
      </c>
      <c r="GN77">
        <f t="shared" ref="GN77:GN88" si="103">IF(OR(BI77=0,BI77=1),ROUND(O77+X77+Y77+GK77,2),0)</f>
        <v>0</v>
      </c>
      <c r="GO77">
        <f t="shared" ref="GO77:GO88" si="104">IF(BI77=2,ROUND(O77+X77+Y77+GK77,2),0)</f>
        <v>0</v>
      </c>
      <c r="GP77">
        <f t="shared" ref="GP77:GP88" si="105">IF(BI77=4,ROUND(O77+X77+Y77+GK77,2)+GX77,0)</f>
        <v>53235.88</v>
      </c>
      <c r="GR77">
        <v>0</v>
      </c>
      <c r="GS77">
        <v>0</v>
      </c>
      <c r="GT77">
        <v>0</v>
      </c>
      <c r="GU77" t="s">
        <v>3</v>
      </c>
      <c r="GV77">
        <f t="shared" ref="GV77:GV88" si="106">ROUND((GT77),6)</f>
        <v>0</v>
      </c>
      <c r="GW77">
        <v>1</v>
      </c>
      <c r="GX77">
        <f t="shared" ref="GX77:GX88" si="107">ROUND(HC77*I77,2)</f>
        <v>0</v>
      </c>
      <c r="HA77">
        <v>0</v>
      </c>
      <c r="HB77">
        <v>0</v>
      </c>
      <c r="HC77">
        <f t="shared" ref="HC77:HC88" si="108">GV77*GW77</f>
        <v>0</v>
      </c>
      <c r="IK77">
        <v>0</v>
      </c>
    </row>
    <row r="78" spans="1:245">
      <c r="A78">
        <v>17</v>
      </c>
      <c r="B78">
        <v>1</v>
      </c>
      <c r="C78">
        <f>ROW(SmtRes!A30)</f>
        <v>30</v>
      </c>
      <c r="D78">
        <f>ROW(EtalonRes!A28)</f>
        <v>28</v>
      </c>
      <c r="E78" t="s">
        <v>126</v>
      </c>
      <c r="F78" t="s">
        <v>127</v>
      </c>
      <c r="G78" t="s">
        <v>128</v>
      </c>
      <c r="H78" t="s">
        <v>124</v>
      </c>
      <c r="I78">
        <f>ROUND((229*0.6)/10,9)</f>
        <v>13.74</v>
      </c>
      <c r="J78">
        <v>0</v>
      </c>
      <c r="O78">
        <f t="shared" si="69"/>
        <v>70200.27</v>
      </c>
      <c r="P78">
        <f t="shared" si="70"/>
        <v>28504.59</v>
      </c>
      <c r="Q78">
        <f t="shared" si="71"/>
        <v>0</v>
      </c>
      <c r="R78">
        <f t="shared" si="72"/>
        <v>0</v>
      </c>
      <c r="S78">
        <f t="shared" si="73"/>
        <v>41695.68</v>
      </c>
      <c r="T78">
        <f t="shared" si="74"/>
        <v>0</v>
      </c>
      <c r="U78">
        <f t="shared" si="75"/>
        <v>230.69459999999998</v>
      </c>
      <c r="V78">
        <f t="shared" si="76"/>
        <v>0</v>
      </c>
      <c r="W78">
        <f t="shared" si="77"/>
        <v>0</v>
      </c>
      <c r="X78">
        <f t="shared" si="78"/>
        <v>29186.98</v>
      </c>
      <c r="Y78">
        <f t="shared" si="79"/>
        <v>4169.57</v>
      </c>
      <c r="AA78">
        <v>42225948</v>
      </c>
      <c r="AB78">
        <f t="shared" si="80"/>
        <v>5109.1899999999996</v>
      </c>
      <c r="AC78">
        <f t="shared" si="81"/>
        <v>2074.5700000000002</v>
      </c>
      <c r="AD78">
        <f t="shared" si="82"/>
        <v>0</v>
      </c>
      <c r="AE78">
        <f t="shared" si="83"/>
        <v>0</v>
      </c>
      <c r="AF78">
        <f t="shared" si="84"/>
        <v>3034.62</v>
      </c>
      <c r="AG78">
        <f t="shared" si="85"/>
        <v>0</v>
      </c>
      <c r="AH78">
        <f t="shared" si="86"/>
        <v>16.79</v>
      </c>
      <c r="AI78">
        <f t="shared" si="87"/>
        <v>0</v>
      </c>
      <c r="AJ78">
        <f t="shared" si="88"/>
        <v>0</v>
      </c>
      <c r="AK78">
        <v>5109.1899999999996</v>
      </c>
      <c r="AL78">
        <v>2074.5700000000002</v>
      </c>
      <c r="AM78">
        <v>0</v>
      </c>
      <c r="AN78">
        <v>0</v>
      </c>
      <c r="AO78">
        <v>3034.62</v>
      </c>
      <c r="AP78">
        <v>0</v>
      </c>
      <c r="AQ78">
        <v>16.79</v>
      </c>
      <c r="AR78">
        <v>0</v>
      </c>
      <c r="AS78">
        <v>0</v>
      </c>
      <c r="AT78">
        <v>70</v>
      </c>
      <c r="AU78">
        <v>10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1</v>
      </c>
      <c r="BD78" t="s">
        <v>3</v>
      </c>
      <c r="BE78" t="s">
        <v>3</v>
      </c>
      <c r="BF78" t="s">
        <v>3</v>
      </c>
      <c r="BG78" t="s">
        <v>3</v>
      </c>
      <c r="BH78">
        <v>0</v>
      </c>
      <c r="BI78">
        <v>4</v>
      </c>
      <c r="BJ78" t="s">
        <v>129</v>
      </c>
      <c r="BM78">
        <v>0</v>
      </c>
      <c r="BN78">
        <v>0</v>
      </c>
      <c r="BO78" t="s">
        <v>3</v>
      </c>
      <c r="BP78">
        <v>0</v>
      </c>
      <c r="BQ78">
        <v>1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 t="s">
        <v>3</v>
      </c>
      <c r="BZ78">
        <v>70</v>
      </c>
      <c r="CA78">
        <v>10</v>
      </c>
      <c r="CE78">
        <v>0</v>
      </c>
      <c r="CF78">
        <v>0</v>
      </c>
      <c r="CG78">
        <v>0</v>
      </c>
      <c r="CM78">
        <v>0</v>
      </c>
      <c r="CN78" t="s">
        <v>3</v>
      </c>
      <c r="CO78">
        <v>0</v>
      </c>
      <c r="CP78">
        <f t="shared" si="89"/>
        <v>70200.27</v>
      </c>
      <c r="CQ78">
        <f t="shared" si="90"/>
        <v>2074.5700000000002</v>
      </c>
      <c r="CR78">
        <f t="shared" si="91"/>
        <v>0</v>
      </c>
      <c r="CS78">
        <f t="shared" si="92"/>
        <v>0</v>
      </c>
      <c r="CT78">
        <f t="shared" si="93"/>
        <v>3034.62</v>
      </c>
      <c r="CU78">
        <f t="shared" si="94"/>
        <v>0</v>
      </c>
      <c r="CV78">
        <f t="shared" si="95"/>
        <v>16.79</v>
      </c>
      <c r="CW78">
        <f t="shared" si="96"/>
        <v>0</v>
      </c>
      <c r="CX78">
        <f t="shared" si="97"/>
        <v>0</v>
      </c>
      <c r="CY78">
        <f t="shared" si="98"/>
        <v>29186.976000000002</v>
      </c>
      <c r="CZ78">
        <f t="shared" si="99"/>
        <v>4169.5680000000002</v>
      </c>
      <c r="DC78" t="s">
        <v>3</v>
      </c>
      <c r="DD78" t="s">
        <v>3</v>
      </c>
      <c r="DE78" t="s">
        <v>3</v>
      </c>
      <c r="DF78" t="s">
        <v>3</v>
      </c>
      <c r="DG78" t="s">
        <v>3</v>
      </c>
      <c r="DH78" t="s">
        <v>3</v>
      </c>
      <c r="DI78" t="s">
        <v>3</v>
      </c>
      <c r="DJ78" t="s">
        <v>3</v>
      </c>
      <c r="DK78" t="s">
        <v>3</v>
      </c>
      <c r="DL78" t="s">
        <v>3</v>
      </c>
      <c r="DM78" t="s">
        <v>3</v>
      </c>
      <c r="DN78">
        <v>0</v>
      </c>
      <c r="DO78">
        <v>0</v>
      </c>
      <c r="DP78">
        <v>1</v>
      </c>
      <c r="DQ78">
        <v>1</v>
      </c>
      <c r="DU78">
        <v>1013</v>
      </c>
      <c r="DV78" t="s">
        <v>124</v>
      </c>
      <c r="DW78" t="s">
        <v>124</v>
      </c>
      <c r="DX78">
        <v>1</v>
      </c>
      <c r="EE78">
        <v>40050625</v>
      </c>
      <c r="EF78">
        <v>1</v>
      </c>
      <c r="EG78" t="s">
        <v>20</v>
      </c>
      <c r="EH78">
        <v>0</v>
      </c>
      <c r="EI78" t="s">
        <v>3</v>
      </c>
      <c r="EJ78">
        <v>4</v>
      </c>
      <c r="EK78">
        <v>0</v>
      </c>
      <c r="EL78" t="s">
        <v>21</v>
      </c>
      <c r="EM78" t="s">
        <v>22</v>
      </c>
      <c r="EO78" t="s">
        <v>3</v>
      </c>
      <c r="EQ78">
        <v>0</v>
      </c>
      <c r="ER78">
        <v>5109.1899999999996</v>
      </c>
      <c r="ES78">
        <v>2074.5700000000002</v>
      </c>
      <c r="ET78">
        <v>0</v>
      </c>
      <c r="EU78">
        <v>0</v>
      </c>
      <c r="EV78">
        <v>3034.62</v>
      </c>
      <c r="EW78">
        <v>16.79</v>
      </c>
      <c r="EX78">
        <v>0</v>
      </c>
      <c r="EY78">
        <v>0</v>
      </c>
      <c r="FQ78">
        <v>0</v>
      </c>
      <c r="FR78">
        <f t="shared" si="100"/>
        <v>0</v>
      </c>
      <c r="FS78">
        <v>0</v>
      </c>
      <c r="FX78">
        <v>70</v>
      </c>
      <c r="FY78">
        <v>10</v>
      </c>
      <c r="GA78" t="s">
        <v>3</v>
      </c>
      <c r="GD78">
        <v>0</v>
      </c>
      <c r="GF78">
        <v>-1819128308</v>
      </c>
      <c r="GG78">
        <v>2</v>
      </c>
      <c r="GH78">
        <v>1</v>
      </c>
      <c r="GI78">
        <v>-2</v>
      </c>
      <c r="GJ78">
        <v>0</v>
      </c>
      <c r="GK78">
        <f>ROUND(R78*(R12)/100,2)</f>
        <v>0</v>
      </c>
      <c r="GL78">
        <f t="shared" si="101"/>
        <v>0</v>
      </c>
      <c r="GM78">
        <f t="shared" si="102"/>
        <v>103556.82</v>
      </c>
      <c r="GN78">
        <f t="shared" si="103"/>
        <v>0</v>
      </c>
      <c r="GO78">
        <f t="shared" si="104"/>
        <v>0</v>
      </c>
      <c r="GP78">
        <f t="shared" si="105"/>
        <v>103556.82</v>
      </c>
      <c r="GR78">
        <v>0</v>
      </c>
      <c r="GS78">
        <v>0</v>
      </c>
      <c r="GT78">
        <v>0</v>
      </c>
      <c r="GU78" t="s">
        <v>3</v>
      </c>
      <c r="GV78">
        <f t="shared" si="106"/>
        <v>0</v>
      </c>
      <c r="GW78">
        <v>1</v>
      </c>
      <c r="GX78">
        <f t="shared" si="107"/>
        <v>0</v>
      </c>
      <c r="HA78">
        <v>0</v>
      </c>
      <c r="HB78">
        <v>0</v>
      </c>
      <c r="HC78">
        <f t="shared" si="108"/>
        <v>0</v>
      </c>
      <c r="IK78">
        <v>0</v>
      </c>
    </row>
    <row r="79" spans="1:245">
      <c r="A79">
        <v>17</v>
      </c>
      <c r="B79">
        <v>1</v>
      </c>
      <c r="C79">
        <f>ROW(SmtRes!A31)</f>
        <v>31</v>
      </c>
      <c r="D79">
        <f>ROW(EtalonRes!A29)</f>
        <v>29</v>
      </c>
      <c r="E79" t="s">
        <v>130</v>
      </c>
      <c r="F79" t="s">
        <v>131</v>
      </c>
      <c r="G79" t="s">
        <v>548</v>
      </c>
      <c r="H79" t="s">
        <v>18</v>
      </c>
      <c r="I79">
        <f>ROUND(240.45/100,9)</f>
        <v>2.4045000000000001</v>
      </c>
      <c r="J79">
        <v>0</v>
      </c>
      <c r="O79">
        <f t="shared" si="69"/>
        <v>713.17</v>
      </c>
      <c r="P79">
        <f t="shared" si="70"/>
        <v>0</v>
      </c>
      <c r="Q79">
        <f t="shared" si="71"/>
        <v>713.17</v>
      </c>
      <c r="R79">
        <f t="shared" si="72"/>
        <v>267.93</v>
      </c>
      <c r="S79">
        <f t="shared" si="73"/>
        <v>0</v>
      </c>
      <c r="T79">
        <f t="shared" si="74"/>
        <v>0</v>
      </c>
      <c r="U79">
        <f t="shared" si="75"/>
        <v>0</v>
      </c>
      <c r="V79">
        <f t="shared" si="76"/>
        <v>0</v>
      </c>
      <c r="W79">
        <f t="shared" si="77"/>
        <v>0</v>
      </c>
      <c r="X79">
        <f t="shared" si="78"/>
        <v>0</v>
      </c>
      <c r="Y79">
        <f t="shared" si="79"/>
        <v>0</v>
      </c>
      <c r="AA79">
        <v>42225948</v>
      </c>
      <c r="AB79">
        <f t="shared" si="80"/>
        <v>296.60000000000002</v>
      </c>
      <c r="AC79">
        <f t="shared" si="81"/>
        <v>0</v>
      </c>
      <c r="AD79">
        <f t="shared" si="82"/>
        <v>296.60000000000002</v>
      </c>
      <c r="AE79">
        <f t="shared" si="83"/>
        <v>111.43</v>
      </c>
      <c r="AF79">
        <f t="shared" si="84"/>
        <v>0</v>
      </c>
      <c r="AG79">
        <f t="shared" si="85"/>
        <v>0</v>
      </c>
      <c r="AH79">
        <f t="shared" si="86"/>
        <v>0</v>
      </c>
      <c r="AI79">
        <f t="shared" si="87"/>
        <v>0</v>
      </c>
      <c r="AJ79">
        <f t="shared" si="88"/>
        <v>0</v>
      </c>
      <c r="AK79">
        <v>296.60000000000002</v>
      </c>
      <c r="AL79">
        <v>0</v>
      </c>
      <c r="AM79">
        <v>296.60000000000002</v>
      </c>
      <c r="AN79">
        <v>111.43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70</v>
      </c>
      <c r="AU79">
        <v>10</v>
      </c>
      <c r="AV79">
        <v>1</v>
      </c>
      <c r="AW79">
        <v>1</v>
      </c>
      <c r="AZ79">
        <v>1</v>
      </c>
      <c r="BA79">
        <v>1</v>
      </c>
      <c r="BB79">
        <v>1</v>
      </c>
      <c r="BC79">
        <v>1</v>
      </c>
      <c r="BD79" t="s">
        <v>3</v>
      </c>
      <c r="BE79" t="s">
        <v>3</v>
      </c>
      <c r="BF79" t="s">
        <v>3</v>
      </c>
      <c r="BG79" t="s">
        <v>3</v>
      </c>
      <c r="BH79">
        <v>0</v>
      </c>
      <c r="BI79">
        <v>4</v>
      </c>
      <c r="BJ79" t="s">
        <v>132</v>
      </c>
      <c r="BM79">
        <v>0</v>
      </c>
      <c r="BN79">
        <v>0</v>
      </c>
      <c r="BO79" t="s">
        <v>3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 t="s">
        <v>3</v>
      </c>
      <c r="BZ79">
        <v>70</v>
      </c>
      <c r="CA79">
        <v>10</v>
      </c>
      <c r="CE79">
        <v>0</v>
      </c>
      <c r="CF79">
        <v>0</v>
      </c>
      <c r="CG79">
        <v>0</v>
      </c>
      <c r="CM79">
        <v>0</v>
      </c>
      <c r="CN79" t="s">
        <v>3</v>
      </c>
      <c r="CO79">
        <v>0</v>
      </c>
      <c r="CP79">
        <f t="shared" si="89"/>
        <v>713.17</v>
      </c>
      <c r="CQ79">
        <f t="shared" si="90"/>
        <v>0</v>
      </c>
      <c r="CR79">
        <f t="shared" si="91"/>
        <v>296.60000000000002</v>
      </c>
      <c r="CS79">
        <f t="shared" si="92"/>
        <v>111.43</v>
      </c>
      <c r="CT79">
        <f t="shared" si="93"/>
        <v>0</v>
      </c>
      <c r="CU79">
        <f t="shared" si="94"/>
        <v>0</v>
      </c>
      <c r="CV79">
        <f t="shared" si="95"/>
        <v>0</v>
      </c>
      <c r="CW79">
        <f t="shared" si="96"/>
        <v>0</v>
      </c>
      <c r="CX79">
        <f t="shared" si="97"/>
        <v>0</v>
      </c>
      <c r="CY79">
        <f t="shared" si="98"/>
        <v>0</v>
      </c>
      <c r="CZ79">
        <f t="shared" si="99"/>
        <v>0</v>
      </c>
      <c r="DC79" t="s">
        <v>3</v>
      </c>
      <c r="DD79" t="s">
        <v>3</v>
      </c>
      <c r="DE79" t="s">
        <v>3</v>
      </c>
      <c r="DF79" t="s">
        <v>3</v>
      </c>
      <c r="DG79" t="s">
        <v>3</v>
      </c>
      <c r="DH79" t="s">
        <v>3</v>
      </c>
      <c r="DI79" t="s">
        <v>3</v>
      </c>
      <c r="DJ79" t="s">
        <v>3</v>
      </c>
      <c r="DK79" t="s">
        <v>3</v>
      </c>
      <c r="DL79" t="s">
        <v>3</v>
      </c>
      <c r="DM79" t="s">
        <v>3</v>
      </c>
      <c r="DN79">
        <v>0</v>
      </c>
      <c r="DO79">
        <v>0</v>
      </c>
      <c r="DP79">
        <v>1</v>
      </c>
      <c r="DQ79">
        <v>1</v>
      </c>
      <c r="DU79">
        <v>1005</v>
      </c>
      <c r="DV79" t="s">
        <v>18</v>
      </c>
      <c r="DW79" t="s">
        <v>18</v>
      </c>
      <c r="DX79">
        <v>100</v>
      </c>
      <c r="EE79">
        <v>40050625</v>
      </c>
      <c r="EF79">
        <v>1</v>
      </c>
      <c r="EG79" t="s">
        <v>20</v>
      </c>
      <c r="EH79">
        <v>0</v>
      </c>
      <c r="EI79" t="s">
        <v>3</v>
      </c>
      <c r="EJ79">
        <v>4</v>
      </c>
      <c r="EK79">
        <v>0</v>
      </c>
      <c r="EL79" t="s">
        <v>21</v>
      </c>
      <c r="EM79" t="s">
        <v>22</v>
      </c>
      <c r="EO79" t="s">
        <v>3</v>
      </c>
      <c r="EQ79">
        <v>0</v>
      </c>
      <c r="ER79">
        <v>296.60000000000002</v>
      </c>
      <c r="ES79">
        <v>0</v>
      </c>
      <c r="ET79">
        <v>296.60000000000002</v>
      </c>
      <c r="EU79">
        <v>111.43</v>
      </c>
      <c r="EV79">
        <v>0</v>
      </c>
      <c r="EW79">
        <v>0</v>
      </c>
      <c r="EX79">
        <v>0</v>
      </c>
      <c r="EY79">
        <v>0</v>
      </c>
      <c r="FQ79">
        <v>0</v>
      </c>
      <c r="FR79">
        <f t="shared" si="100"/>
        <v>0</v>
      </c>
      <c r="FS79">
        <v>0</v>
      </c>
      <c r="FX79">
        <v>70</v>
      </c>
      <c r="FY79">
        <v>10</v>
      </c>
      <c r="GA79" t="s">
        <v>3</v>
      </c>
      <c r="GD79">
        <v>0</v>
      </c>
      <c r="GF79">
        <v>-1288882078</v>
      </c>
      <c r="GG79">
        <v>2</v>
      </c>
      <c r="GH79">
        <v>1</v>
      </c>
      <c r="GI79">
        <v>-2</v>
      </c>
      <c r="GJ79">
        <v>0</v>
      </c>
      <c r="GK79">
        <f>ROUND(R79*(R12)/100,2)</f>
        <v>289.36</v>
      </c>
      <c r="GL79">
        <f t="shared" si="101"/>
        <v>0</v>
      </c>
      <c r="GM79">
        <f t="shared" si="102"/>
        <v>1002.53</v>
      </c>
      <c r="GN79">
        <f t="shared" si="103"/>
        <v>0</v>
      </c>
      <c r="GO79">
        <f t="shared" si="104"/>
        <v>0</v>
      </c>
      <c r="GP79">
        <f t="shared" si="105"/>
        <v>1002.53</v>
      </c>
      <c r="GR79">
        <v>0</v>
      </c>
      <c r="GS79">
        <v>0</v>
      </c>
      <c r="GT79">
        <v>0</v>
      </c>
      <c r="GU79" t="s">
        <v>3</v>
      </c>
      <c r="GV79">
        <f t="shared" si="106"/>
        <v>0</v>
      </c>
      <c r="GW79">
        <v>1</v>
      </c>
      <c r="GX79">
        <f t="shared" si="107"/>
        <v>0</v>
      </c>
      <c r="HA79">
        <v>0</v>
      </c>
      <c r="HB79">
        <v>0</v>
      </c>
      <c r="HC79">
        <f t="shared" si="108"/>
        <v>0</v>
      </c>
      <c r="IK79">
        <v>0</v>
      </c>
    </row>
    <row r="80" spans="1:245">
      <c r="A80">
        <v>17</v>
      </c>
      <c r="B80">
        <v>1</v>
      </c>
      <c r="C80">
        <f>ROW(SmtRes!A32)</f>
        <v>32</v>
      </c>
      <c r="D80">
        <f>ROW(EtalonRes!A30)</f>
        <v>30</v>
      </c>
      <c r="E80" t="s">
        <v>133</v>
      </c>
      <c r="F80" t="s">
        <v>134</v>
      </c>
      <c r="G80" t="s">
        <v>135</v>
      </c>
      <c r="H80" t="s">
        <v>18</v>
      </c>
      <c r="I80">
        <f>ROUND(80.15/100,9)</f>
        <v>0.80149999999999999</v>
      </c>
      <c r="J80">
        <v>0</v>
      </c>
      <c r="O80">
        <f t="shared" si="69"/>
        <v>1699.24</v>
      </c>
      <c r="P80">
        <f t="shared" si="70"/>
        <v>0</v>
      </c>
      <c r="Q80">
        <f t="shared" si="71"/>
        <v>0</v>
      </c>
      <c r="R80">
        <f t="shared" si="72"/>
        <v>0</v>
      </c>
      <c r="S80">
        <f t="shared" si="73"/>
        <v>1699.24</v>
      </c>
      <c r="T80">
        <f t="shared" si="74"/>
        <v>0</v>
      </c>
      <c r="U80">
        <f t="shared" si="75"/>
        <v>9.4015950000000004</v>
      </c>
      <c r="V80">
        <f t="shared" si="76"/>
        <v>0</v>
      </c>
      <c r="W80">
        <f t="shared" si="77"/>
        <v>0</v>
      </c>
      <c r="X80">
        <f t="shared" si="78"/>
        <v>1189.47</v>
      </c>
      <c r="Y80">
        <f t="shared" si="79"/>
        <v>169.92</v>
      </c>
      <c r="AA80">
        <v>42225948</v>
      </c>
      <c r="AB80">
        <f t="shared" si="80"/>
        <v>2120.08</v>
      </c>
      <c r="AC80">
        <f t="shared" si="81"/>
        <v>0</v>
      </c>
      <c r="AD80">
        <f t="shared" si="82"/>
        <v>0</v>
      </c>
      <c r="AE80">
        <f t="shared" si="83"/>
        <v>0</v>
      </c>
      <c r="AF80">
        <f t="shared" si="84"/>
        <v>2120.08</v>
      </c>
      <c r="AG80">
        <f t="shared" si="85"/>
        <v>0</v>
      </c>
      <c r="AH80">
        <f t="shared" si="86"/>
        <v>11.73</v>
      </c>
      <c r="AI80">
        <f t="shared" si="87"/>
        <v>0</v>
      </c>
      <c r="AJ80">
        <f t="shared" si="88"/>
        <v>0</v>
      </c>
      <c r="AK80">
        <v>2120.08</v>
      </c>
      <c r="AL80">
        <v>0</v>
      </c>
      <c r="AM80">
        <v>0</v>
      </c>
      <c r="AN80">
        <v>0</v>
      </c>
      <c r="AO80">
        <v>2120.08</v>
      </c>
      <c r="AP80">
        <v>0</v>
      </c>
      <c r="AQ80">
        <v>11.73</v>
      </c>
      <c r="AR80">
        <v>0</v>
      </c>
      <c r="AS80">
        <v>0</v>
      </c>
      <c r="AT80">
        <v>70</v>
      </c>
      <c r="AU80">
        <v>10</v>
      </c>
      <c r="AV80">
        <v>1</v>
      </c>
      <c r="AW80">
        <v>1</v>
      </c>
      <c r="AZ80">
        <v>1</v>
      </c>
      <c r="BA80">
        <v>1</v>
      </c>
      <c r="BB80">
        <v>1</v>
      </c>
      <c r="BC80">
        <v>1</v>
      </c>
      <c r="BD80" t="s">
        <v>3</v>
      </c>
      <c r="BE80" t="s">
        <v>3</v>
      </c>
      <c r="BF80" t="s">
        <v>3</v>
      </c>
      <c r="BG80" t="s">
        <v>3</v>
      </c>
      <c r="BH80">
        <v>0</v>
      </c>
      <c r="BI80">
        <v>4</v>
      </c>
      <c r="BJ80" t="s">
        <v>136</v>
      </c>
      <c r="BM80">
        <v>0</v>
      </c>
      <c r="BN80">
        <v>0</v>
      </c>
      <c r="BO80" t="s">
        <v>3</v>
      </c>
      <c r="BP80">
        <v>0</v>
      </c>
      <c r="BQ80">
        <v>1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 t="s">
        <v>3</v>
      </c>
      <c r="BZ80">
        <v>70</v>
      </c>
      <c r="CA80">
        <v>10</v>
      </c>
      <c r="CE80">
        <v>0</v>
      </c>
      <c r="CF80">
        <v>0</v>
      </c>
      <c r="CG80">
        <v>0</v>
      </c>
      <c r="CM80">
        <v>0</v>
      </c>
      <c r="CN80" t="s">
        <v>3</v>
      </c>
      <c r="CO80">
        <v>0</v>
      </c>
      <c r="CP80">
        <f t="shared" si="89"/>
        <v>1699.24</v>
      </c>
      <c r="CQ80">
        <f t="shared" si="90"/>
        <v>0</v>
      </c>
      <c r="CR80">
        <f t="shared" si="91"/>
        <v>0</v>
      </c>
      <c r="CS80">
        <f t="shared" si="92"/>
        <v>0</v>
      </c>
      <c r="CT80">
        <f t="shared" si="93"/>
        <v>2120.08</v>
      </c>
      <c r="CU80">
        <f t="shared" si="94"/>
        <v>0</v>
      </c>
      <c r="CV80">
        <f t="shared" si="95"/>
        <v>11.73</v>
      </c>
      <c r="CW80">
        <f t="shared" si="96"/>
        <v>0</v>
      </c>
      <c r="CX80">
        <f t="shared" si="97"/>
        <v>0</v>
      </c>
      <c r="CY80">
        <f t="shared" si="98"/>
        <v>1189.4680000000001</v>
      </c>
      <c r="CZ80">
        <f t="shared" si="99"/>
        <v>169.92400000000001</v>
      </c>
      <c r="DC80" t="s">
        <v>3</v>
      </c>
      <c r="DD80" t="s">
        <v>3</v>
      </c>
      <c r="DE80" t="s">
        <v>3</v>
      </c>
      <c r="DF80" t="s">
        <v>3</v>
      </c>
      <c r="DG80" t="s">
        <v>3</v>
      </c>
      <c r="DH80" t="s">
        <v>3</v>
      </c>
      <c r="DI80" t="s">
        <v>3</v>
      </c>
      <c r="DJ80" t="s">
        <v>3</v>
      </c>
      <c r="DK80" t="s">
        <v>3</v>
      </c>
      <c r="DL80" t="s">
        <v>3</v>
      </c>
      <c r="DM80" t="s">
        <v>3</v>
      </c>
      <c r="DN80">
        <v>0</v>
      </c>
      <c r="DO80">
        <v>0</v>
      </c>
      <c r="DP80">
        <v>1</v>
      </c>
      <c r="DQ80">
        <v>1</v>
      </c>
      <c r="DU80">
        <v>1005</v>
      </c>
      <c r="DV80" t="s">
        <v>18</v>
      </c>
      <c r="DW80" t="s">
        <v>18</v>
      </c>
      <c r="DX80">
        <v>100</v>
      </c>
      <c r="EE80">
        <v>40050625</v>
      </c>
      <c r="EF80">
        <v>1</v>
      </c>
      <c r="EG80" t="s">
        <v>20</v>
      </c>
      <c r="EH80">
        <v>0</v>
      </c>
      <c r="EI80" t="s">
        <v>3</v>
      </c>
      <c r="EJ80">
        <v>4</v>
      </c>
      <c r="EK80">
        <v>0</v>
      </c>
      <c r="EL80" t="s">
        <v>21</v>
      </c>
      <c r="EM80" t="s">
        <v>22</v>
      </c>
      <c r="EO80" t="s">
        <v>3</v>
      </c>
      <c r="EQ80">
        <v>0</v>
      </c>
      <c r="ER80">
        <v>2120.08</v>
      </c>
      <c r="ES80">
        <v>0</v>
      </c>
      <c r="ET80">
        <v>0</v>
      </c>
      <c r="EU80">
        <v>0</v>
      </c>
      <c r="EV80">
        <v>2120.08</v>
      </c>
      <c r="EW80">
        <v>11.73</v>
      </c>
      <c r="EX80">
        <v>0</v>
      </c>
      <c r="EY80">
        <v>0</v>
      </c>
      <c r="FQ80">
        <v>0</v>
      </c>
      <c r="FR80">
        <f t="shared" si="100"/>
        <v>0</v>
      </c>
      <c r="FS80">
        <v>0</v>
      </c>
      <c r="FX80">
        <v>70</v>
      </c>
      <c r="FY80">
        <v>10</v>
      </c>
      <c r="GA80" t="s">
        <v>3</v>
      </c>
      <c r="GD80">
        <v>0</v>
      </c>
      <c r="GF80">
        <v>-1973856552</v>
      </c>
      <c r="GG80">
        <v>2</v>
      </c>
      <c r="GH80">
        <v>1</v>
      </c>
      <c r="GI80">
        <v>-2</v>
      </c>
      <c r="GJ80">
        <v>0</v>
      </c>
      <c r="GK80">
        <f>ROUND(R80*(R12)/100,2)</f>
        <v>0</v>
      </c>
      <c r="GL80">
        <f t="shared" si="101"/>
        <v>0</v>
      </c>
      <c r="GM80">
        <f t="shared" si="102"/>
        <v>3058.63</v>
      </c>
      <c r="GN80">
        <f t="shared" si="103"/>
        <v>0</v>
      </c>
      <c r="GO80">
        <f t="shared" si="104"/>
        <v>0</v>
      </c>
      <c r="GP80">
        <f t="shared" si="105"/>
        <v>3058.63</v>
      </c>
      <c r="GR80">
        <v>0</v>
      </c>
      <c r="GS80">
        <v>0</v>
      </c>
      <c r="GT80">
        <v>0</v>
      </c>
      <c r="GU80" t="s">
        <v>3</v>
      </c>
      <c r="GV80">
        <f t="shared" si="106"/>
        <v>0</v>
      </c>
      <c r="GW80">
        <v>1</v>
      </c>
      <c r="GX80">
        <f t="shared" si="107"/>
        <v>0</v>
      </c>
      <c r="HA80">
        <v>0</v>
      </c>
      <c r="HB80">
        <v>0</v>
      </c>
      <c r="HC80">
        <f t="shared" si="108"/>
        <v>0</v>
      </c>
      <c r="IK80">
        <v>0</v>
      </c>
    </row>
    <row r="81" spans="1:245">
      <c r="A81">
        <v>17</v>
      </c>
      <c r="B81">
        <v>1</v>
      </c>
      <c r="C81">
        <f>ROW(SmtRes!A42)</f>
        <v>42</v>
      </c>
      <c r="D81">
        <f>ROW(EtalonRes!A34)</f>
        <v>34</v>
      </c>
      <c r="E81" t="s">
        <v>137</v>
      </c>
      <c r="F81" t="s">
        <v>138</v>
      </c>
      <c r="G81" t="s">
        <v>139</v>
      </c>
      <c r="H81" t="s">
        <v>140</v>
      </c>
      <c r="I81">
        <f>ROUND(229/10,9)</f>
        <v>22.9</v>
      </c>
      <c r="J81">
        <v>0</v>
      </c>
      <c r="O81">
        <f t="shared" si="69"/>
        <v>54888.78</v>
      </c>
      <c r="P81">
        <f t="shared" si="70"/>
        <v>863.79</v>
      </c>
      <c r="Q81">
        <f t="shared" si="71"/>
        <v>14806.91</v>
      </c>
      <c r="R81">
        <f t="shared" si="72"/>
        <v>3360.35</v>
      </c>
      <c r="S81">
        <f t="shared" si="73"/>
        <v>39218.080000000002</v>
      </c>
      <c r="T81">
        <f t="shared" si="74"/>
        <v>0</v>
      </c>
      <c r="U81">
        <f t="shared" si="75"/>
        <v>162.13200000000001</v>
      </c>
      <c r="V81">
        <f t="shared" si="76"/>
        <v>0</v>
      </c>
      <c r="W81">
        <f t="shared" si="77"/>
        <v>0</v>
      </c>
      <c r="X81">
        <f t="shared" si="78"/>
        <v>27452.66</v>
      </c>
      <c r="Y81">
        <f t="shared" si="79"/>
        <v>3921.81</v>
      </c>
      <c r="AA81">
        <v>42225948</v>
      </c>
      <c r="AB81">
        <f t="shared" si="80"/>
        <v>2396.89</v>
      </c>
      <c r="AC81">
        <f t="shared" si="81"/>
        <v>37.72</v>
      </c>
      <c r="AD81">
        <f t="shared" si="82"/>
        <v>646.59</v>
      </c>
      <c r="AE81">
        <f t="shared" si="83"/>
        <v>146.74</v>
      </c>
      <c r="AF81">
        <f t="shared" si="84"/>
        <v>1712.58</v>
      </c>
      <c r="AG81">
        <f t="shared" si="85"/>
        <v>0</v>
      </c>
      <c r="AH81">
        <f t="shared" si="86"/>
        <v>7.08</v>
      </c>
      <c r="AI81">
        <f t="shared" si="87"/>
        <v>0</v>
      </c>
      <c r="AJ81">
        <f t="shared" si="88"/>
        <v>0</v>
      </c>
      <c r="AK81">
        <v>2396.89</v>
      </c>
      <c r="AL81">
        <v>37.72</v>
      </c>
      <c r="AM81">
        <v>646.59</v>
      </c>
      <c r="AN81">
        <v>146.74</v>
      </c>
      <c r="AO81">
        <v>1712.58</v>
      </c>
      <c r="AP81">
        <v>0</v>
      </c>
      <c r="AQ81">
        <v>7.08</v>
      </c>
      <c r="AR81">
        <v>0</v>
      </c>
      <c r="AS81">
        <v>0</v>
      </c>
      <c r="AT81">
        <v>70</v>
      </c>
      <c r="AU81">
        <v>10</v>
      </c>
      <c r="AV81">
        <v>1</v>
      </c>
      <c r="AW81">
        <v>1</v>
      </c>
      <c r="AZ81">
        <v>1</v>
      </c>
      <c r="BA81">
        <v>1</v>
      </c>
      <c r="BB81">
        <v>1</v>
      </c>
      <c r="BC81">
        <v>1</v>
      </c>
      <c r="BD81" t="s">
        <v>3</v>
      </c>
      <c r="BE81" t="s">
        <v>3</v>
      </c>
      <c r="BF81" t="s">
        <v>3</v>
      </c>
      <c r="BG81" t="s">
        <v>3</v>
      </c>
      <c r="BH81">
        <v>0</v>
      </c>
      <c r="BI81">
        <v>4</v>
      </c>
      <c r="BJ81" t="s">
        <v>141</v>
      </c>
      <c r="BM81">
        <v>0</v>
      </c>
      <c r="BN81">
        <v>0</v>
      </c>
      <c r="BO81" t="s">
        <v>3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 t="s">
        <v>3</v>
      </c>
      <c r="BZ81">
        <v>70</v>
      </c>
      <c r="CA81">
        <v>10</v>
      </c>
      <c r="CE81">
        <v>0</v>
      </c>
      <c r="CF81">
        <v>0</v>
      </c>
      <c r="CG81">
        <v>0</v>
      </c>
      <c r="CM81">
        <v>0</v>
      </c>
      <c r="CN81" t="s">
        <v>3</v>
      </c>
      <c r="CO81">
        <v>0</v>
      </c>
      <c r="CP81">
        <f t="shared" si="89"/>
        <v>54888.78</v>
      </c>
      <c r="CQ81">
        <f t="shared" si="90"/>
        <v>37.72</v>
      </c>
      <c r="CR81">
        <f t="shared" si="91"/>
        <v>646.59</v>
      </c>
      <c r="CS81">
        <f t="shared" si="92"/>
        <v>146.74</v>
      </c>
      <c r="CT81">
        <f t="shared" si="93"/>
        <v>1712.58</v>
      </c>
      <c r="CU81">
        <f t="shared" si="94"/>
        <v>0</v>
      </c>
      <c r="CV81">
        <f t="shared" si="95"/>
        <v>7.08</v>
      </c>
      <c r="CW81">
        <f t="shared" si="96"/>
        <v>0</v>
      </c>
      <c r="CX81">
        <f t="shared" si="97"/>
        <v>0</v>
      </c>
      <c r="CY81">
        <f t="shared" si="98"/>
        <v>27452.656000000003</v>
      </c>
      <c r="CZ81">
        <f t="shared" si="99"/>
        <v>3921.8080000000004</v>
      </c>
      <c r="DC81" t="s">
        <v>3</v>
      </c>
      <c r="DD81" t="s">
        <v>3</v>
      </c>
      <c r="DE81" t="s">
        <v>3</v>
      </c>
      <c r="DF81" t="s">
        <v>3</v>
      </c>
      <c r="DG81" t="s">
        <v>3</v>
      </c>
      <c r="DH81" t="s">
        <v>3</v>
      </c>
      <c r="DI81" t="s">
        <v>3</v>
      </c>
      <c r="DJ81" t="s">
        <v>3</v>
      </c>
      <c r="DK81" t="s">
        <v>3</v>
      </c>
      <c r="DL81" t="s">
        <v>3</v>
      </c>
      <c r="DM81" t="s">
        <v>3</v>
      </c>
      <c r="DN81">
        <v>0</v>
      </c>
      <c r="DO81">
        <v>0</v>
      </c>
      <c r="DP81">
        <v>1</v>
      </c>
      <c r="DQ81">
        <v>1</v>
      </c>
      <c r="DU81">
        <v>1010</v>
      </c>
      <c r="DV81" t="s">
        <v>140</v>
      </c>
      <c r="DW81" t="s">
        <v>140</v>
      </c>
      <c r="DX81">
        <v>10</v>
      </c>
      <c r="EE81">
        <v>40050625</v>
      </c>
      <c r="EF81">
        <v>1</v>
      </c>
      <c r="EG81" t="s">
        <v>20</v>
      </c>
      <c r="EH81">
        <v>0</v>
      </c>
      <c r="EI81" t="s">
        <v>3</v>
      </c>
      <c r="EJ81">
        <v>4</v>
      </c>
      <c r="EK81">
        <v>0</v>
      </c>
      <c r="EL81" t="s">
        <v>21</v>
      </c>
      <c r="EM81" t="s">
        <v>22</v>
      </c>
      <c r="EO81" t="s">
        <v>3</v>
      </c>
      <c r="EQ81">
        <v>0</v>
      </c>
      <c r="ER81">
        <v>2396.89</v>
      </c>
      <c r="ES81">
        <v>37.72</v>
      </c>
      <c r="ET81">
        <v>646.59</v>
      </c>
      <c r="EU81">
        <v>146.74</v>
      </c>
      <c r="EV81">
        <v>1712.58</v>
      </c>
      <c r="EW81">
        <v>7.08</v>
      </c>
      <c r="EX81">
        <v>0</v>
      </c>
      <c r="EY81">
        <v>0</v>
      </c>
      <c r="FQ81">
        <v>0</v>
      </c>
      <c r="FR81">
        <f t="shared" si="100"/>
        <v>0</v>
      </c>
      <c r="FS81">
        <v>0</v>
      </c>
      <c r="FX81">
        <v>70</v>
      </c>
      <c r="FY81">
        <v>10</v>
      </c>
      <c r="GA81" t="s">
        <v>3</v>
      </c>
      <c r="GD81">
        <v>0</v>
      </c>
      <c r="GF81">
        <v>-572515647</v>
      </c>
      <c r="GG81">
        <v>2</v>
      </c>
      <c r="GH81">
        <v>1</v>
      </c>
      <c r="GI81">
        <v>-2</v>
      </c>
      <c r="GJ81">
        <v>0</v>
      </c>
      <c r="GK81">
        <f>ROUND(R81*(R12)/100,2)</f>
        <v>3629.18</v>
      </c>
      <c r="GL81">
        <f t="shared" si="101"/>
        <v>0</v>
      </c>
      <c r="GM81">
        <f t="shared" si="102"/>
        <v>89892.43</v>
      </c>
      <c r="GN81">
        <f t="shared" si="103"/>
        <v>0</v>
      </c>
      <c r="GO81">
        <f t="shared" si="104"/>
        <v>0</v>
      </c>
      <c r="GP81">
        <f t="shared" si="105"/>
        <v>89892.43</v>
      </c>
      <c r="GR81">
        <v>0</v>
      </c>
      <c r="GS81">
        <v>0</v>
      </c>
      <c r="GT81">
        <v>0</v>
      </c>
      <c r="GU81" t="s">
        <v>3</v>
      </c>
      <c r="GV81">
        <f t="shared" si="106"/>
        <v>0</v>
      </c>
      <c r="GW81">
        <v>1</v>
      </c>
      <c r="GX81">
        <f t="shared" si="107"/>
        <v>0</v>
      </c>
      <c r="HA81">
        <v>0</v>
      </c>
      <c r="HB81">
        <v>0</v>
      </c>
      <c r="HC81">
        <f t="shared" si="108"/>
        <v>0</v>
      </c>
      <c r="IK81">
        <v>0</v>
      </c>
    </row>
    <row r="82" spans="1:245">
      <c r="A82">
        <v>18</v>
      </c>
      <c r="B82">
        <v>1</v>
      </c>
      <c r="C82">
        <v>36</v>
      </c>
      <c r="E82" t="s">
        <v>142</v>
      </c>
      <c r="F82" t="s">
        <v>143</v>
      </c>
      <c r="G82" t="s">
        <v>144</v>
      </c>
      <c r="H82" t="s">
        <v>51</v>
      </c>
      <c r="I82">
        <f>I81*J82</f>
        <v>20</v>
      </c>
      <c r="J82">
        <v>0.8733624454148472</v>
      </c>
      <c r="O82">
        <f t="shared" si="69"/>
        <v>28187.200000000001</v>
      </c>
      <c r="P82">
        <f t="shared" si="70"/>
        <v>28187.200000000001</v>
      </c>
      <c r="Q82">
        <f t="shared" si="71"/>
        <v>0</v>
      </c>
      <c r="R82">
        <f t="shared" si="72"/>
        <v>0</v>
      </c>
      <c r="S82">
        <f t="shared" si="73"/>
        <v>0</v>
      </c>
      <c r="T82">
        <f t="shared" si="74"/>
        <v>0</v>
      </c>
      <c r="U82">
        <f t="shared" si="75"/>
        <v>0</v>
      </c>
      <c r="V82">
        <f t="shared" si="76"/>
        <v>0</v>
      </c>
      <c r="W82">
        <f t="shared" si="77"/>
        <v>0</v>
      </c>
      <c r="X82">
        <f t="shared" si="78"/>
        <v>0</v>
      </c>
      <c r="Y82">
        <f t="shared" si="79"/>
        <v>0</v>
      </c>
      <c r="AA82">
        <v>42225948</v>
      </c>
      <c r="AB82">
        <f t="shared" si="80"/>
        <v>1409.36</v>
      </c>
      <c r="AC82">
        <f t="shared" si="81"/>
        <v>1409.36</v>
      </c>
      <c r="AD82">
        <f t="shared" si="82"/>
        <v>0</v>
      </c>
      <c r="AE82">
        <f t="shared" si="83"/>
        <v>0</v>
      </c>
      <c r="AF82">
        <f t="shared" si="84"/>
        <v>0</v>
      </c>
      <c r="AG82">
        <f t="shared" si="85"/>
        <v>0</v>
      </c>
      <c r="AH82">
        <f t="shared" si="86"/>
        <v>0</v>
      </c>
      <c r="AI82">
        <f t="shared" si="87"/>
        <v>0</v>
      </c>
      <c r="AJ82">
        <f t="shared" si="88"/>
        <v>0</v>
      </c>
      <c r="AK82">
        <v>1409.36</v>
      </c>
      <c r="AL82">
        <v>1409.36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70</v>
      </c>
      <c r="AU82">
        <v>10</v>
      </c>
      <c r="AV82">
        <v>1</v>
      </c>
      <c r="AW82">
        <v>1</v>
      </c>
      <c r="AZ82">
        <v>1</v>
      </c>
      <c r="BA82">
        <v>1</v>
      </c>
      <c r="BB82">
        <v>1</v>
      </c>
      <c r="BC82">
        <v>1</v>
      </c>
      <c r="BD82" t="s">
        <v>3</v>
      </c>
      <c r="BE82" t="s">
        <v>3</v>
      </c>
      <c r="BF82" t="s">
        <v>3</v>
      </c>
      <c r="BG82" t="s">
        <v>3</v>
      </c>
      <c r="BH82">
        <v>3</v>
      </c>
      <c r="BI82">
        <v>4</v>
      </c>
      <c r="BJ82" t="s">
        <v>145</v>
      </c>
      <c r="BM82">
        <v>0</v>
      </c>
      <c r="BN82">
        <v>0</v>
      </c>
      <c r="BO82" t="s">
        <v>3</v>
      </c>
      <c r="BP82">
        <v>0</v>
      </c>
      <c r="BQ82">
        <v>1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 t="s">
        <v>3</v>
      </c>
      <c r="BZ82">
        <v>70</v>
      </c>
      <c r="CA82">
        <v>10</v>
      </c>
      <c r="CE82">
        <v>0</v>
      </c>
      <c r="CF82">
        <v>0</v>
      </c>
      <c r="CG82">
        <v>0</v>
      </c>
      <c r="CM82">
        <v>0</v>
      </c>
      <c r="CN82" t="s">
        <v>3</v>
      </c>
      <c r="CO82">
        <v>0</v>
      </c>
      <c r="CP82">
        <f t="shared" si="89"/>
        <v>28187.200000000001</v>
      </c>
      <c r="CQ82">
        <f t="shared" si="90"/>
        <v>1409.36</v>
      </c>
      <c r="CR82">
        <f t="shared" si="91"/>
        <v>0</v>
      </c>
      <c r="CS82">
        <f t="shared" si="92"/>
        <v>0</v>
      </c>
      <c r="CT82">
        <f t="shared" si="93"/>
        <v>0</v>
      </c>
      <c r="CU82">
        <f t="shared" si="94"/>
        <v>0</v>
      </c>
      <c r="CV82">
        <f t="shared" si="95"/>
        <v>0</v>
      </c>
      <c r="CW82">
        <f t="shared" si="96"/>
        <v>0</v>
      </c>
      <c r="CX82">
        <f t="shared" si="97"/>
        <v>0</v>
      </c>
      <c r="CY82">
        <f t="shared" si="98"/>
        <v>0</v>
      </c>
      <c r="CZ82">
        <f t="shared" si="99"/>
        <v>0</v>
      </c>
      <c r="DC82" t="s">
        <v>3</v>
      </c>
      <c r="DD82" t="s">
        <v>3</v>
      </c>
      <c r="DE82" t="s">
        <v>3</v>
      </c>
      <c r="DF82" t="s">
        <v>3</v>
      </c>
      <c r="DG82" t="s">
        <v>3</v>
      </c>
      <c r="DH82" t="s">
        <v>3</v>
      </c>
      <c r="DI82" t="s">
        <v>3</v>
      </c>
      <c r="DJ82" t="s">
        <v>3</v>
      </c>
      <c r="DK82" t="s">
        <v>3</v>
      </c>
      <c r="DL82" t="s">
        <v>3</v>
      </c>
      <c r="DM82" t="s">
        <v>3</v>
      </c>
      <c r="DN82">
        <v>0</v>
      </c>
      <c r="DO82">
        <v>0</v>
      </c>
      <c r="DP82">
        <v>1</v>
      </c>
      <c r="DQ82">
        <v>1</v>
      </c>
      <c r="DU82">
        <v>1010</v>
      </c>
      <c r="DV82" t="s">
        <v>51</v>
      </c>
      <c r="DW82" t="s">
        <v>51</v>
      </c>
      <c r="DX82">
        <v>1</v>
      </c>
      <c r="EE82">
        <v>40050625</v>
      </c>
      <c r="EF82">
        <v>1</v>
      </c>
      <c r="EG82" t="s">
        <v>20</v>
      </c>
      <c r="EH82">
        <v>0</v>
      </c>
      <c r="EI82" t="s">
        <v>3</v>
      </c>
      <c r="EJ82">
        <v>4</v>
      </c>
      <c r="EK82">
        <v>0</v>
      </c>
      <c r="EL82" t="s">
        <v>21</v>
      </c>
      <c r="EM82" t="s">
        <v>22</v>
      </c>
      <c r="EO82" t="s">
        <v>3</v>
      </c>
      <c r="EQ82">
        <v>0</v>
      </c>
      <c r="ER82">
        <v>1409.36</v>
      </c>
      <c r="ES82">
        <v>1409.36</v>
      </c>
      <c r="ET82">
        <v>0</v>
      </c>
      <c r="EU82">
        <v>0</v>
      </c>
      <c r="EV82">
        <v>0</v>
      </c>
      <c r="EW82">
        <v>0</v>
      </c>
      <c r="EX82">
        <v>0</v>
      </c>
      <c r="FQ82">
        <v>0</v>
      </c>
      <c r="FR82">
        <f t="shared" si="100"/>
        <v>0</v>
      </c>
      <c r="FS82">
        <v>0</v>
      </c>
      <c r="FX82">
        <v>70</v>
      </c>
      <c r="FY82">
        <v>10</v>
      </c>
      <c r="GA82" t="s">
        <v>3</v>
      </c>
      <c r="GD82">
        <v>0</v>
      </c>
      <c r="GF82">
        <v>1459060616</v>
      </c>
      <c r="GG82">
        <v>2</v>
      </c>
      <c r="GH82">
        <v>1</v>
      </c>
      <c r="GI82">
        <v>-2</v>
      </c>
      <c r="GJ82">
        <v>0</v>
      </c>
      <c r="GK82">
        <f>ROUND(R82*(R12)/100,2)</f>
        <v>0</v>
      </c>
      <c r="GL82">
        <f t="shared" si="101"/>
        <v>0</v>
      </c>
      <c r="GM82">
        <f t="shared" si="102"/>
        <v>28187.200000000001</v>
      </c>
      <c r="GN82">
        <f t="shared" si="103"/>
        <v>0</v>
      </c>
      <c r="GO82">
        <f t="shared" si="104"/>
        <v>0</v>
      </c>
      <c r="GP82">
        <f t="shared" si="105"/>
        <v>28187.200000000001</v>
      </c>
      <c r="GR82">
        <v>0</v>
      </c>
      <c r="GS82">
        <v>0</v>
      </c>
      <c r="GT82">
        <v>0</v>
      </c>
      <c r="GU82" t="s">
        <v>3</v>
      </c>
      <c r="GV82">
        <f t="shared" si="106"/>
        <v>0</v>
      </c>
      <c r="GW82">
        <v>1</v>
      </c>
      <c r="GX82">
        <f t="shared" si="107"/>
        <v>0</v>
      </c>
      <c r="HA82">
        <v>0</v>
      </c>
      <c r="HB82">
        <v>0</v>
      </c>
      <c r="HC82">
        <f t="shared" si="108"/>
        <v>0</v>
      </c>
      <c r="IK82">
        <v>0</v>
      </c>
    </row>
    <row r="83" spans="1:245">
      <c r="A83">
        <v>18</v>
      </c>
      <c r="B83">
        <v>1</v>
      </c>
      <c r="C83">
        <v>37</v>
      </c>
      <c r="E83" t="s">
        <v>146</v>
      </c>
      <c r="F83" t="s">
        <v>57</v>
      </c>
      <c r="G83" t="s">
        <v>147</v>
      </c>
      <c r="H83" t="s">
        <v>51</v>
      </c>
      <c r="I83">
        <f>I81*J83</f>
        <v>2</v>
      </c>
      <c r="J83">
        <v>8.7336244541484725E-2</v>
      </c>
      <c r="O83">
        <f t="shared" si="69"/>
        <v>1750</v>
      </c>
      <c r="P83">
        <f t="shared" si="70"/>
        <v>1750</v>
      </c>
      <c r="Q83">
        <f t="shared" si="71"/>
        <v>0</v>
      </c>
      <c r="R83">
        <f t="shared" si="72"/>
        <v>0</v>
      </c>
      <c r="S83">
        <f t="shared" si="73"/>
        <v>0</v>
      </c>
      <c r="T83">
        <f t="shared" si="74"/>
        <v>0</v>
      </c>
      <c r="U83">
        <f t="shared" si="75"/>
        <v>0</v>
      </c>
      <c r="V83">
        <f t="shared" si="76"/>
        <v>0</v>
      </c>
      <c r="W83">
        <f t="shared" si="77"/>
        <v>0</v>
      </c>
      <c r="X83">
        <f t="shared" si="78"/>
        <v>0</v>
      </c>
      <c r="Y83">
        <f t="shared" si="79"/>
        <v>0</v>
      </c>
      <c r="AA83">
        <v>42225948</v>
      </c>
      <c r="AB83">
        <f t="shared" si="80"/>
        <v>875</v>
      </c>
      <c r="AC83">
        <f t="shared" si="81"/>
        <v>875</v>
      </c>
      <c r="AD83">
        <f t="shared" si="82"/>
        <v>0</v>
      </c>
      <c r="AE83">
        <f t="shared" si="83"/>
        <v>0</v>
      </c>
      <c r="AF83">
        <f t="shared" si="84"/>
        <v>0</v>
      </c>
      <c r="AG83">
        <f t="shared" si="85"/>
        <v>0</v>
      </c>
      <c r="AH83">
        <f t="shared" si="86"/>
        <v>0</v>
      </c>
      <c r="AI83">
        <f t="shared" si="87"/>
        <v>0</v>
      </c>
      <c r="AJ83">
        <f t="shared" si="88"/>
        <v>0</v>
      </c>
      <c r="AK83">
        <v>875</v>
      </c>
      <c r="AL83">
        <v>875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70</v>
      </c>
      <c r="AU83">
        <v>10</v>
      </c>
      <c r="AV83">
        <v>1</v>
      </c>
      <c r="AW83">
        <v>1</v>
      </c>
      <c r="AZ83">
        <v>1</v>
      </c>
      <c r="BA83">
        <v>1</v>
      </c>
      <c r="BB83">
        <v>1</v>
      </c>
      <c r="BC83">
        <v>1</v>
      </c>
      <c r="BD83" t="s">
        <v>3</v>
      </c>
      <c r="BE83" t="s">
        <v>3</v>
      </c>
      <c r="BF83" t="s">
        <v>3</v>
      </c>
      <c r="BG83" t="s">
        <v>3</v>
      </c>
      <c r="BH83">
        <v>3</v>
      </c>
      <c r="BI83">
        <v>4</v>
      </c>
      <c r="BJ83" t="s">
        <v>3</v>
      </c>
      <c r="BM83">
        <v>0</v>
      </c>
      <c r="BN83">
        <v>0</v>
      </c>
      <c r="BO83" t="s">
        <v>3</v>
      </c>
      <c r="BP83">
        <v>0</v>
      </c>
      <c r="BQ83">
        <v>1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 t="s">
        <v>3</v>
      </c>
      <c r="BZ83">
        <v>70</v>
      </c>
      <c r="CA83">
        <v>10</v>
      </c>
      <c r="CE83">
        <v>0</v>
      </c>
      <c r="CF83">
        <v>0</v>
      </c>
      <c r="CG83">
        <v>0</v>
      </c>
      <c r="CM83">
        <v>0</v>
      </c>
      <c r="CN83" t="s">
        <v>3</v>
      </c>
      <c r="CO83">
        <v>0</v>
      </c>
      <c r="CP83">
        <f t="shared" si="89"/>
        <v>1750</v>
      </c>
      <c r="CQ83">
        <f t="shared" si="90"/>
        <v>875</v>
      </c>
      <c r="CR83">
        <f t="shared" si="91"/>
        <v>0</v>
      </c>
      <c r="CS83">
        <f t="shared" si="92"/>
        <v>0</v>
      </c>
      <c r="CT83">
        <f t="shared" si="93"/>
        <v>0</v>
      </c>
      <c r="CU83">
        <f t="shared" si="94"/>
        <v>0</v>
      </c>
      <c r="CV83">
        <f t="shared" si="95"/>
        <v>0</v>
      </c>
      <c r="CW83">
        <f t="shared" si="96"/>
        <v>0</v>
      </c>
      <c r="CX83">
        <f t="shared" si="97"/>
        <v>0</v>
      </c>
      <c r="CY83">
        <f t="shared" si="98"/>
        <v>0</v>
      </c>
      <c r="CZ83">
        <f t="shared" si="99"/>
        <v>0</v>
      </c>
      <c r="DC83" t="s">
        <v>3</v>
      </c>
      <c r="DD83" t="s">
        <v>3</v>
      </c>
      <c r="DE83" t="s">
        <v>3</v>
      </c>
      <c r="DF83" t="s">
        <v>3</v>
      </c>
      <c r="DG83" t="s">
        <v>3</v>
      </c>
      <c r="DH83" t="s">
        <v>3</v>
      </c>
      <c r="DI83" t="s">
        <v>3</v>
      </c>
      <c r="DJ83" t="s">
        <v>3</v>
      </c>
      <c r="DK83" t="s">
        <v>3</v>
      </c>
      <c r="DL83" t="s">
        <v>3</v>
      </c>
      <c r="DM83" t="s">
        <v>3</v>
      </c>
      <c r="DN83">
        <v>0</v>
      </c>
      <c r="DO83">
        <v>0</v>
      </c>
      <c r="DP83">
        <v>1</v>
      </c>
      <c r="DQ83">
        <v>1</v>
      </c>
      <c r="DU83">
        <v>1010</v>
      </c>
      <c r="DV83" t="s">
        <v>51</v>
      </c>
      <c r="DW83" t="s">
        <v>51</v>
      </c>
      <c r="DX83">
        <v>1</v>
      </c>
      <c r="EE83">
        <v>40050625</v>
      </c>
      <c r="EF83">
        <v>1</v>
      </c>
      <c r="EG83" t="s">
        <v>20</v>
      </c>
      <c r="EH83">
        <v>0</v>
      </c>
      <c r="EI83" t="s">
        <v>3</v>
      </c>
      <c r="EJ83">
        <v>4</v>
      </c>
      <c r="EK83">
        <v>0</v>
      </c>
      <c r="EL83" t="s">
        <v>21</v>
      </c>
      <c r="EM83" t="s">
        <v>22</v>
      </c>
      <c r="EO83" t="s">
        <v>3</v>
      </c>
      <c r="EQ83">
        <v>0</v>
      </c>
      <c r="ER83">
        <v>875</v>
      </c>
      <c r="ES83">
        <v>875</v>
      </c>
      <c r="ET83">
        <v>0</v>
      </c>
      <c r="EU83">
        <v>0</v>
      </c>
      <c r="EV83">
        <v>0</v>
      </c>
      <c r="EW83">
        <v>0</v>
      </c>
      <c r="EX83">
        <v>0</v>
      </c>
      <c r="FQ83">
        <v>0</v>
      </c>
      <c r="FR83">
        <f t="shared" si="100"/>
        <v>0</v>
      </c>
      <c r="FS83">
        <v>0</v>
      </c>
      <c r="FX83">
        <v>70</v>
      </c>
      <c r="FY83">
        <v>10</v>
      </c>
      <c r="GA83" t="s">
        <v>3</v>
      </c>
      <c r="GD83">
        <v>0</v>
      </c>
      <c r="GF83">
        <v>-894039636</v>
      </c>
      <c r="GG83">
        <v>2</v>
      </c>
      <c r="GH83">
        <v>0</v>
      </c>
      <c r="GI83">
        <v>-2</v>
      </c>
      <c r="GJ83">
        <v>0</v>
      </c>
      <c r="GK83">
        <f>ROUND(R83*(R12)/100,2)</f>
        <v>0</v>
      </c>
      <c r="GL83">
        <f t="shared" si="101"/>
        <v>0</v>
      </c>
      <c r="GM83">
        <f t="shared" si="102"/>
        <v>1750</v>
      </c>
      <c r="GN83">
        <f t="shared" si="103"/>
        <v>0</v>
      </c>
      <c r="GO83">
        <f t="shared" si="104"/>
        <v>0</v>
      </c>
      <c r="GP83">
        <f t="shared" si="105"/>
        <v>1750</v>
      </c>
      <c r="GR83">
        <v>0</v>
      </c>
      <c r="GS83">
        <v>0</v>
      </c>
      <c r="GT83">
        <v>0</v>
      </c>
      <c r="GU83" t="s">
        <v>3</v>
      </c>
      <c r="GV83">
        <f t="shared" si="106"/>
        <v>0</v>
      </c>
      <c r="GW83">
        <v>1</v>
      </c>
      <c r="GX83">
        <f t="shared" si="107"/>
        <v>0</v>
      </c>
      <c r="HA83">
        <v>0</v>
      </c>
      <c r="HB83">
        <v>0</v>
      </c>
      <c r="HC83">
        <f t="shared" si="108"/>
        <v>0</v>
      </c>
      <c r="IK83">
        <v>0</v>
      </c>
    </row>
    <row r="84" spans="1:245">
      <c r="A84">
        <v>18</v>
      </c>
      <c r="B84">
        <v>1</v>
      </c>
      <c r="C84">
        <v>38</v>
      </c>
      <c r="E84" t="s">
        <v>148</v>
      </c>
      <c r="F84" t="s">
        <v>57</v>
      </c>
      <c r="G84" t="s">
        <v>149</v>
      </c>
      <c r="H84" t="s">
        <v>51</v>
      </c>
      <c r="I84">
        <f>I81*J84</f>
        <v>180</v>
      </c>
      <c r="J84">
        <v>7.860262008733625</v>
      </c>
      <c r="O84">
        <f t="shared" si="69"/>
        <v>136499.4</v>
      </c>
      <c r="P84">
        <f t="shared" si="70"/>
        <v>136499.4</v>
      </c>
      <c r="Q84">
        <f t="shared" si="71"/>
        <v>0</v>
      </c>
      <c r="R84">
        <f t="shared" si="72"/>
        <v>0</v>
      </c>
      <c r="S84">
        <f t="shared" si="73"/>
        <v>0</v>
      </c>
      <c r="T84">
        <f t="shared" si="74"/>
        <v>0</v>
      </c>
      <c r="U84">
        <f t="shared" si="75"/>
        <v>0</v>
      </c>
      <c r="V84">
        <f t="shared" si="76"/>
        <v>0</v>
      </c>
      <c r="W84">
        <f t="shared" si="77"/>
        <v>0</v>
      </c>
      <c r="X84">
        <f t="shared" si="78"/>
        <v>0</v>
      </c>
      <c r="Y84">
        <f t="shared" si="79"/>
        <v>0</v>
      </c>
      <c r="AA84">
        <v>42225948</v>
      </c>
      <c r="AB84">
        <f t="shared" si="80"/>
        <v>758.33</v>
      </c>
      <c r="AC84">
        <f t="shared" si="81"/>
        <v>758.33</v>
      </c>
      <c r="AD84">
        <f t="shared" si="82"/>
        <v>0</v>
      </c>
      <c r="AE84">
        <f t="shared" si="83"/>
        <v>0</v>
      </c>
      <c r="AF84">
        <f t="shared" si="84"/>
        <v>0</v>
      </c>
      <c r="AG84">
        <f t="shared" si="85"/>
        <v>0</v>
      </c>
      <c r="AH84">
        <f t="shared" si="86"/>
        <v>0</v>
      </c>
      <c r="AI84">
        <f t="shared" si="87"/>
        <v>0</v>
      </c>
      <c r="AJ84">
        <f t="shared" si="88"/>
        <v>0</v>
      </c>
      <c r="AK84">
        <v>758.33</v>
      </c>
      <c r="AL84">
        <v>758.33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70</v>
      </c>
      <c r="AU84">
        <v>10</v>
      </c>
      <c r="AV84">
        <v>1</v>
      </c>
      <c r="AW84">
        <v>1</v>
      </c>
      <c r="AZ84">
        <v>1</v>
      </c>
      <c r="BA84">
        <v>1</v>
      </c>
      <c r="BB84">
        <v>1</v>
      </c>
      <c r="BC84">
        <v>1</v>
      </c>
      <c r="BD84" t="s">
        <v>3</v>
      </c>
      <c r="BE84" t="s">
        <v>3</v>
      </c>
      <c r="BF84" t="s">
        <v>3</v>
      </c>
      <c r="BG84" t="s">
        <v>3</v>
      </c>
      <c r="BH84">
        <v>3</v>
      </c>
      <c r="BI84">
        <v>4</v>
      </c>
      <c r="BJ84" t="s">
        <v>3</v>
      </c>
      <c r="BM84">
        <v>0</v>
      </c>
      <c r="BN84">
        <v>0</v>
      </c>
      <c r="BO84" t="s">
        <v>3</v>
      </c>
      <c r="BP84">
        <v>0</v>
      </c>
      <c r="BQ84">
        <v>1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 t="s">
        <v>3</v>
      </c>
      <c r="BZ84">
        <v>70</v>
      </c>
      <c r="CA84">
        <v>10</v>
      </c>
      <c r="CE84">
        <v>0</v>
      </c>
      <c r="CF84">
        <v>0</v>
      </c>
      <c r="CG84">
        <v>0</v>
      </c>
      <c r="CM84">
        <v>0</v>
      </c>
      <c r="CN84" t="s">
        <v>3</v>
      </c>
      <c r="CO84">
        <v>0</v>
      </c>
      <c r="CP84">
        <f t="shared" si="89"/>
        <v>136499.4</v>
      </c>
      <c r="CQ84">
        <f t="shared" si="90"/>
        <v>758.33</v>
      </c>
      <c r="CR84">
        <f t="shared" si="91"/>
        <v>0</v>
      </c>
      <c r="CS84">
        <f t="shared" si="92"/>
        <v>0</v>
      </c>
      <c r="CT84">
        <f t="shared" si="93"/>
        <v>0</v>
      </c>
      <c r="CU84">
        <f t="shared" si="94"/>
        <v>0</v>
      </c>
      <c r="CV84">
        <f t="shared" si="95"/>
        <v>0</v>
      </c>
      <c r="CW84">
        <f t="shared" si="96"/>
        <v>0</v>
      </c>
      <c r="CX84">
        <f t="shared" si="97"/>
        <v>0</v>
      </c>
      <c r="CY84">
        <f t="shared" si="98"/>
        <v>0</v>
      </c>
      <c r="CZ84">
        <f t="shared" si="99"/>
        <v>0</v>
      </c>
      <c r="DC84" t="s">
        <v>3</v>
      </c>
      <c r="DD84" t="s">
        <v>3</v>
      </c>
      <c r="DE84" t="s">
        <v>3</v>
      </c>
      <c r="DF84" t="s">
        <v>3</v>
      </c>
      <c r="DG84" t="s">
        <v>3</v>
      </c>
      <c r="DH84" t="s">
        <v>3</v>
      </c>
      <c r="DI84" t="s">
        <v>3</v>
      </c>
      <c r="DJ84" t="s">
        <v>3</v>
      </c>
      <c r="DK84" t="s">
        <v>3</v>
      </c>
      <c r="DL84" t="s">
        <v>3</v>
      </c>
      <c r="DM84" t="s">
        <v>3</v>
      </c>
      <c r="DN84">
        <v>0</v>
      </c>
      <c r="DO84">
        <v>0</v>
      </c>
      <c r="DP84">
        <v>1</v>
      </c>
      <c r="DQ84">
        <v>1</v>
      </c>
      <c r="DU84">
        <v>1010</v>
      </c>
      <c r="DV84" t="s">
        <v>51</v>
      </c>
      <c r="DW84" t="s">
        <v>51</v>
      </c>
      <c r="DX84">
        <v>1</v>
      </c>
      <c r="EE84">
        <v>40050625</v>
      </c>
      <c r="EF84">
        <v>1</v>
      </c>
      <c r="EG84" t="s">
        <v>20</v>
      </c>
      <c r="EH84">
        <v>0</v>
      </c>
      <c r="EI84" t="s">
        <v>3</v>
      </c>
      <c r="EJ84">
        <v>4</v>
      </c>
      <c r="EK84">
        <v>0</v>
      </c>
      <c r="EL84" t="s">
        <v>21</v>
      </c>
      <c r="EM84" t="s">
        <v>22</v>
      </c>
      <c r="EO84" t="s">
        <v>3</v>
      </c>
      <c r="EQ84">
        <v>0</v>
      </c>
      <c r="ER84">
        <v>758.33</v>
      </c>
      <c r="ES84">
        <v>758.33</v>
      </c>
      <c r="ET84">
        <v>0</v>
      </c>
      <c r="EU84">
        <v>0</v>
      </c>
      <c r="EV84">
        <v>0</v>
      </c>
      <c r="EW84">
        <v>0</v>
      </c>
      <c r="EX84">
        <v>0</v>
      </c>
      <c r="FQ84">
        <v>0</v>
      </c>
      <c r="FR84">
        <f t="shared" si="100"/>
        <v>0</v>
      </c>
      <c r="FS84">
        <v>0</v>
      </c>
      <c r="FX84">
        <v>70</v>
      </c>
      <c r="FY84">
        <v>10</v>
      </c>
      <c r="GA84" t="s">
        <v>3</v>
      </c>
      <c r="GD84">
        <v>0</v>
      </c>
      <c r="GF84">
        <v>-2146232133</v>
      </c>
      <c r="GG84">
        <v>2</v>
      </c>
      <c r="GH84">
        <v>0</v>
      </c>
      <c r="GI84">
        <v>-2</v>
      </c>
      <c r="GJ84">
        <v>0</v>
      </c>
      <c r="GK84">
        <f>ROUND(R84*(R12)/100,2)</f>
        <v>0</v>
      </c>
      <c r="GL84">
        <f t="shared" si="101"/>
        <v>0</v>
      </c>
      <c r="GM84">
        <f t="shared" si="102"/>
        <v>136499.4</v>
      </c>
      <c r="GN84">
        <f t="shared" si="103"/>
        <v>0</v>
      </c>
      <c r="GO84">
        <f t="shared" si="104"/>
        <v>0</v>
      </c>
      <c r="GP84">
        <f t="shared" si="105"/>
        <v>136499.4</v>
      </c>
      <c r="GR84">
        <v>0</v>
      </c>
      <c r="GS84">
        <v>0</v>
      </c>
      <c r="GT84">
        <v>0</v>
      </c>
      <c r="GU84" t="s">
        <v>3</v>
      </c>
      <c r="GV84">
        <f t="shared" si="106"/>
        <v>0</v>
      </c>
      <c r="GW84">
        <v>1</v>
      </c>
      <c r="GX84">
        <f t="shared" si="107"/>
        <v>0</v>
      </c>
      <c r="HA84">
        <v>0</v>
      </c>
      <c r="HB84">
        <v>0</v>
      </c>
      <c r="HC84">
        <f t="shared" si="108"/>
        <v>0</v>
      </c>
      <c r="IK84">
        <v>0</v>
      </c>
    </row>
    <row r="85" spans="1:245">
      <c r="A85">
        <v>18</v>
      </c>
      <c r="B85">
        <v>1</v>
      </c>
      <c r="C85">
        <v>39</v>
      </c>
      <c r="E85" t="s">
        <v>150</v>
      </c>
      <c r="F85" t="s">
        <v>57</v>
      </c>
      <c r="G85" t="s">
        <v>151</v>
      </c>
      <c r="H85" t="s">
        <v>51</v>
      </c>
      <c r="I85">
        <f>I81*J85</f>
        <v>22</v>
      </c>
      <c r="J85">
        <v>0.9606986899563319</v>
      </c>
      <c r="O85">
        <f t="shared" si="69"/>
        <v>16316.74</v>
      </c>
      <c r="P85">
        <f t="shared" si="70"/>
        <v>16316.74</v>
      </c>
      <c r="Q85">
        <f t="shared" si="71"/>
        <v>0</v>
      </c>
      <c r="R85">
        <f t="shared" si="72"/>
        <v>0</v>
      </c>
      <c r="S85">
        <f t="shared" si="73"/>
        <v>0</v>
      </c>
      <c r="T85">
        <f t="shared" si="74"/>
        <v>0</v>
      </c>
      <c r="U85">
        <f t="shared" si="75"/>
        <v>0</v>
      </c>
      <c r="V85">
        <f t="shared" si="76"/>
        <v>0</v>
      </c>
      <c r="W85">
        <f t="shared" si="77"/>
        <v>0</v>
      </c>
      <c r="X85">
        <f t="shared" si="78"/>
        <v>0</v>
      </c>
      <c r="Y85">
        <f t="shared" si="79"/>
        <v>0</v>
      </c>
      <c r="AA85">
        <v>42225948</v>
      </c>
      <c r="AB85">
        <f t="shared" si="80"/>
        <v>741.67</v>
      </c>
      <c r="AC85">
        <f t="shared" si="81"/>
        <v>741.67</v>
      </c>
      <c r="AD85">
        <f t="shared" si="82"/>
        <v>0</v>
      </c>
      <c r="AE85">
        <f t="shared" si="83"/>
        <v>0</v>
      </c>
      <c r="AF85">
        <f t="shared" si="84"/>
        <v>0</v>
      </c>
      <c r="AG85">
        <f t="shared" si="85"/>
        <v>0</v>
      </c>
      <c r="AH85">
        <f t="shared" si="86"/>
        <v>0</v>
      </c>
      <c r="AI85">
        <f t="shared" si="87"/>
        <v>0</v>
      </c>
      <c r="AJ85">
        <f t="shared" si="88"/>
        <v>0</v>
      </c>
      <c r="AK85">
        <v>741.67</v>
      </c>
      <c r="AL85">
        <v>741.67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70</v>
      </c>
      <c r="AU85">
        <v>10</v>
      </c>
      <c r="AV85">
        <v>1</v>
      </c>
      <c r="AW85">
        <v>1</v>
      </c>
      <c r="AZ85">
        <v>1</v>
      </c>
      <c r="BA85">
        <v>1</v>
      </c>
      <c r="BB85">
        <v>1</v>
      </c>
      <c r="BC85">
        <v>1</v>
      </c>
      <c r="BD85" t="s">
        <v>3</v>
      </c>
      <c r="BE85" t="s">
        <v>3</v>
      </c>
      <c r="BF85" t="s">
        <v>3</v>
      </c>
      <c r="BG85" t="s">
        <v>3</v>
      </c>
      <c r="BH85">
        <v>3</v>
      </c>
      <c r="BI85">
        <v>4</v>
      </c>
      <c r="BJ85" t="s">
        <v>3</v>
      </c>
      <c r="BM85">
        <v>0</v>
      </c>
      <c r="BN85">
        <v>0</v>
      </c>
      <c r="BO85" t="s">
        <v>3</v>
      </c>
      <c r="BP85">
        <v>0</v>
      </c>
      <c r="BQ85">
        <v>1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 t="s">
        <v>3</v>
      </c>
      <c r="BZ85">
        <v>70</v>
      </c>
      <c r="CA85">
        <v>10</v>
      </c>
      <c r="CE85">
        <v>0</v>
      </c>
      <c r="CF85">
        <v>0</v>
      </c>
      <c r="CG85">
        <v>0</v>
      </c>
      <c r="CM85">
        <v>0</v>
      </c>
      <c r="CN85" t="s">
        <v>3</v>
      </c>
      <c r="CO85">
        <v>0</v>
      </c>
      <c r="CP85">
        <f t="shared" si="89"/>
        <v>16316.74</v>
      </c>
      <c r="CQ85">
        <f t="shared" si="90"/>
        <v>741.67</v>
      </c>
      <c r="CR85">
        <f t="shared" si="91"/>
        <v>0</v>
      </c>
      <c r="CS85">
        <f t="shared" si="92"/>
        <v>0</v>
      </c>
      <c r="CT85">
        <f t="shared" si="93"/>
        <v>0</v>
      </c>
      <c r="CU85">
        <f t="shared" si="94"/>
        <v>0</v>
      </c>
      <c r="CV85">
        <f t="shared" si="95"/>
        <v>0</v>
      </c>
      <c r="CW85">
        <f t="shared" si="96"/>
        <v>0</v>
      </c>
      <c r="CX85">
        <f t="shared" si="97"/>
        <v>0</v>
      </c>
      <c r="CY85">
        <f t="shared" si="98"/>
        <v>0</v>
      </c>
      <c r="CZ85">
        <f t="shared" si="99"/>
        <v>0</v>
      </c>
      <c r="DC85" t="s">
        <v>3</v>
      </c>
      <c r="DD85" t="s">
        <v>3</v>
      </c>
      <c r="DE85" t="s">
        <v>3</v>
      </c>
      <c r="DF85" t="s">
        <v>3</v>
      </c>
      <c r="DG85" t="s">
        <v>3</v>
      </c>
      <c r="DH85" t="s">
        <v>3</v>
      </c>
      <c r="DI85" t="s">
        <v>3</v>
      </c>
      <c r="DJ85" t="s">
        <v>3</v>
      </c>
      <c r="DK85" t="s">
        <v>3</v>
      </c>
      <c r="DL85" t="s">
        <v>3</v>
      </c>
      <c r="DM85" t="s">
        <v>3</v>
      </c>
      <c r="DN85">
        <v>0</v>
      </c>
      <c r="DO85">
        <v>0</v>
      </c>
      <c r="DP85">
        <v>1</v>
      </c>
      <c r="DQ85">
        <v>1</v>
      </c>
      <c r="DU85">
        <v>1010</v>
      </c>
      <c r="DV85" t="s">
        <v>51</v>
      </c>
      <c r="DW85" t="s">
        <v>51</v>
      </c>
      <c r="DX85">
        <v>1</v>
      </c>
      <c r="EE85">
        <v>40050625</v>
      </c>
      <c r="EF85">
        <v>1</v>
      </c>
      <c r="EG85" t="s">
        <v>20</v>
      </c>
      <c r="EH85">
        <v>0</v>
      </c>
      <c r="EI85" t="s">
        <v>3</v>
      </c>
      <c r="EJ85">
        <v>4</v>
      </c>
      <c r="EK85">
        <v>0</v>
      </c>
      <c r="EL85" t="s">
        <v>21</v>
      </c>
      <c r="EM85" t="s">
        <v>22</v>
      </c>
      <c r="EO85" t="s">
        <v>3</v>
      </c>
      <c r="EQ85">
        <v>0</v>
      </c>
      <c r="ER85">
        <v>741.67</v>
      </c>
      <c r="ES85">
        <v>741.67</v>
      </c>
      <c r="ET85">
        <v>0</v>
      </c>
      <c r="EU85">
        <v>0</v>
      </c>
      <c r="EV85">
        <v>0</v>
      </c>
      <c r="EW85">
        <v>0</v>
      </c>
      <c r="EX85">
        <v>0</v>
      </c>
      <c r="FQ85">
        <v>0</v>
      </c>
      <c r="FR85">
        <f t="shared" si="100"/>
        <v>0</v>
      </c>
      <c r="FS85">
        <v>0</v>
      </c>
      <c r="FX85">
        <v>70</v>
      </c>
      <c r="FY85">
        <v>10</v>
      </c>
      <c r="GA85" t="s">
        <v>3</v>
      </c>
      <c r="GD85">
        <v>0</v>
      </c>
      <c r="GF85">
        <v>355500046</v>
      </c>
      <c r="GG85">
        <v>2</v>
      </c>
      <c r="GH85">
        <v>0</v>
      </c>
      <c r="GI85">
        <v>-2</v>
      </c>
      <c r="GJ85">
        <v>0</v>
      </c>
      <c r="GK85">
        <f>ROUND(R85*(R12)/100,2)</f>
        <v>0</v>
      </c>
      <c r="GL85">
        <f t="shared" si="101"/>
        <v>0</v>
      </c>
      <c r="GM85">
        <f t="shared" si="102"/>
        <v>16316.74</v>
      </c>
      <c r="GN85">
        <f t="shared" si="103"/>
        <v>0</v>
      </c>
      <c r="GO85">
        <f t="shared" si="104"/>
        <v>0</v>
      </c>
      <c r="GP85">
        <f t="shared" si="105"/>
        <v>16316.74</v>
      </c>
      <c r="GR85">
        <v>0</v>
      </c>
      <c r="GS85">
        <v>0</v>
      </c>
      <c r="GT85">
        <v>0</v>
      </c>
      <c r="GU85" t="s">
        <v>3</v>
      </c>
      <c r="GV85">
        <f t="shared" si="106"/>
        <v>0</v>
      </c>
      <c r="GW85">
        <v>1</v>
      </c>
      <c r="GX85">
        <f t="shared" si="107"/>
        <v>0</v>
      </c>
      <c r="HA85">
        <v>0</v>
      </c>
      <c r="HB85">
        <v>0</v>
      </c>
      <c r="HC85">
        <f t="shared" si="108"/>
        <v>0</v>
      </c>
      <c r="IK85">
        <v>0</v>
      </c>
    </row>
    <row r="86" spans="1:245">
      <c r="A86">
        <v>18</v>
      </c>
      <c r="B86">
        <v>1</v>
      </c>
      <c r="C86">
        <v>40</v>
      </c>
      <c r="E86" t="s">
        <v>152</v>
      </c>
      <c r="F86" t="s">
        <v>57</v>
      </c>
      <c r="G86" t="s">
        <v>153</v>
      </c>
      <c r="H86" t="s">
        <v>51</v>
      </c>
      <c r="I86">
        <f>I81*J86</f>
        <v>2</v>
      </c>
      <c r="J86">
        <v>8.7336244541484725E-2</v>
      </c>
      <c r="O86">
        <f t="shared" si="69"/>
        <v>2716.66</v>
      </c>
      <c r="P86">
        <f t="shared" si="70"/>
        <v>2716.66</v>
      </c>
      <c r="Q86">
        <f t="shared" si="71"/>
        <v>0</v>
      </c>
      <c r="R86">
        <f t="shared" si="72"/>
        <v>0</v>
      </c>
      <c r="S86">
        <f t="shared" si="73"/>
        <v>0</v>
      </c>
      <c r="T86">
        <f t="shared" si="74"/>
        <v>0</v>
      </c>
      <c r="U86">
        <f t="shared" si="75"/>
        <v>0</v>
      </c>
      <c r="V86">
        <f t="shared" si="76"/>
        <v>0</v>
      </c>
      <c r="W86">
        <f t="shared" si="77"/>
        <v>0</v>
      </c>
      <c r="X86">
        <f t="shared" si="78"/>
        <v>0</v>
      </c>
      <c r="Y86">
        <f t="shared" si="79"/>
        <v>0</v>
      </c>
      <c r="AA86">
        <v>42225948</v>
      </c>
      <c r="AB86">
        <f t="shared" si="80"/>
        <v>1358.33</v>
      </c>
      <c r="AC86">
        <f t="shared" si="81"/>
        <v>1358.33</v>
      </c>
      <c r="AD86">
        <f t="shared" si="82"/>
        <v>0</v>
      </c>
      <c r="AE86">
        <f t="shared" si="83"/>
        <v>0</v>
      </c>
      <c r="AF86">
        <f t="shared" si="84"/>
        <v>0</v>
      </c>
      <c r="AG86">
        <f t="shared" si="85"/>
        <v>0</v>
      </c>
      <c r="AH86">
        <f t="shared" si="86"/>
        <v>0</v>
      </c>
      <c r="AI86">
        <f t="shared" si="87"/>
        <v>0</v>
      </c>
      <c r="AJ86">
        <f t="shared" si="88"/>
        <v>0</v>
      </c>
      <c r="AK86">
        <v>1358.33</v>
      </c>
      <c r="AL86">
        <v>1358.33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70</v>
      </c>
      <c r="AU86">
        <v>10</v>
      </c>
      <c r="AV86">
        <v>1</v>
      </c>
      <c r="AW86">
        <v>1</v>
      </c>
      <c r="AZ86">
        <v>1</v>
      </c>
      <c r="BA86">
        <v>1</v>
      </c>
      <c r="BB86">
        <v>1</v>
      </c>
      <c r="BC86">
        <v>1</v>
      </c>
      <c r="BD86" t="s">
        <v>3</v>
      </c>
      <c r="BE86" t="s">
        <v>3</v>
      </c>
      <c r="BF86" t="s">
        <v>3</v>
      </c>
      <c r="BG86" t="s">
        <v>3</v>
      </c>
      <c r="BH86">
        <v>3</v>
      </c>
      <c r="BI86">
        <v>4</v>
      </c>
      <c r="BJ86" t="s">
        <v>3</v>
      </c>
      <c r="BM86">
        <v>0</v>
      </c>
      <c r="BN86">
        <v>0</v>
      </c>
      <c r="BO86" t="s">
        <v>3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 t="s">
        <v>3</v>
      </c>
      <c r="BZ86">
        <v>70</v>
      </c>
      <c r="CA86">
        <v>10</v>
      </c>
      <c r="CE86">
        <v>0</v>
      </c>
      <c r="CF86">
        <v>0</v>
      </c>
      <c r="CG86">
        <v>0</v>
      </c>
      <c r="CM86">
        <v>0</v>
      </c>
      <c r="CN86" t="s">
        <v>3</v>
      </c>
      <c r="CO86">
        <v>0</v>
      </c>
      <c r="CP86">
        <f t="shared" si="89"/>
        <v>2716.66</v>
      </c>
      <c r="CQ86">
        <f t="shared" si="90"/>
        <v>1358.33</v>
      </c>
      <c r="CR86">
        <f t="shared" si="91"/>
        <v>0</v>
      </c>
      <c r="CS86">
        <f t="shared" si="92"/>
        <v>0</v>
      </c>
      <c r="CT86">
        <f t="shared" si="93"/>
        <v>0</v>
      </c>
      <c r="CU86">
        <f t="shared" si="94"/>
        <v>0</v>
      </c>
      <c r="CV86">
        <f t="shared" si="95"/>
        <v>0</v>
      </c>
      <c r="CW86">
        <f t="shared" si="96"/>
        <v>0</v>
      </c>
      <c r="CX86">
        <f t="shared" si="97"/>
        <v>0</v>
      </c>
      <c r="CY86">
        <f t="shared" si="98"/>
        <v>0</v>
      </c>
      <c r="CZ86">
        <f t="shared" si="99"/>
        <v>0</v>
      </c>
      <c r="DC86" t="s">
        <v>3</v>
      </c>
      <c r="DD86" t="s">
        <v>3</v>
      </c>
      <c r="DE86" t="s">
        <v>3</v>
      </c>
      <c r="DF86" t="s">
        <v>3</v>
      </c>
      <c r="DG86" t="s">
        <v>3</v>
      </c>
      <c r="DH86" t="s">
        <v>3</v>
      </c>
      <c r="DI86" t="s">
        <v>3</v>
      </c>
      <c r="DJ86" t="s">
        <v>3</v>
      </c>
      <c r="DK86" t="s">
        <v>3</v>
      </c>
      <c r="DL86" t="s">
        <v>3</v>
      </c>
      <c r="DM86" t="s">
        <v>3</v>
      </c>
      <c r="DN86">
        <v>0</v>
      </c>
      <c r="DO86">
        <v>0</v>
      </c>
      <c r="DP86">
        <v>1</v>
      </c>
      <c r="DQ86">
        <v>1</v>
      </c>
      <c r="DU86">
        <v>1010</v>
      </c>
      <c r="DV86" t="s">
        <v>51</v>
      </c>
      <c r="DW86" t="s">
        <v>51</v>
      </c>
      <c r="DX86">
        <v>1</v>
      </c>
      <c r="EE86">
        <v>40050625</v>
      </c>
      <c r="EF86">
        <v>1</v>
      </c>
      <c r="EG86" t="s">
        <v>20</v>
      </c>
      <c r="EH86">
        <v>0</v>
      </c>
      <c r="EI86" t="s">
        <v>3</v>
      </c>
      <c r="EJ86">
        <v>4</v>
      </c>
      <c r="EK86">
        <v>0</v>
      </c>
      <c r="EL86" t="s">
        <v>21</v>
      </c>
      <c r="EM86" t="s">
        <v>22</v>
      </c>
      <c r="EO86" t="s">
        <v>3</v>
      </c>
      <c r="EQ86">
        <v>0</v>
      </c>
      <c r="ER86">
        <v>1358.33</v>
      </c>
      <c r="ES86">
        <v>1358.33</v>
      </c>
      <c r="ET86">
        <v>0</v>
      </c>
      <c r="EU86">
        <v>0</v>
      </c>
      <c r="EV86">
        <v>0</v>
      </c>
      <c r="EW86">
        <v>0</v>
      </c>
      <c r="EX86">
        <v>0</v>
      </c>
      <c r="FQ86">
        <v>0</v>
      </c>
      <c r="FR86">
        <f t="shared" si="100"/>
        <v>0</v>
      </c>
      <c r="FS86">
        <v>0</v>
      </c>
      <c r="FX86">
        <v>70</v>
      </c>
      <c r="FY86">
        <v>10</v>
      </c>
      <c r="GA86" t="s">
        <v>3</v>
      </c>
      <c r="GD86">
        <v>0</v>
      </c>
      <c r="GF86">
        <v>-1038945403</v>
      </c>
      <c r="GG86">
        <v>2</v>
      </c>
      <c r="GH86">
        <v>0</v>
      </c>
      <c r="GI86">
        <v>-2</v>
      </c>
      <c r="GJ86">
        <v>0</v>
      </c>
      <c r="GK86">
        <f>ROUND(R86*(R12)/100,2)</f>
        <v>0</v>
      </c>
      <c r="GL86">
        <f t="shared" si="101"/>
        <v>0</v>
      </c>
      <c r="GM86">
        <f t="shared" si="102"/>
        <v>2716.66</v>
      </c>
      <c r="GN86">
        <f t="shared" si="103"/>
        <v>0</v>
      </c>
      <c r="GO86">
        <f t="shared" si="104"/>
        <v>0</v>
      </c>
      <c r="GP86">
        <f t="shared" si="105"/>
        <v>2716.66</v>
      </c>
      <c r="GR86">
        <v>0</v>
      </c>
      <c r="GS86">
        <v>0</v>
      </c>
      <c r="GT86">
        <v>0</v>
      </c>
      <c r="GU86" t="s">
        <v>3</v>
      </c>
      <c r="GV86">
        <f t="shared" si="106"/>
        <v>0</v>
      </c>
      <c r="GW86">
        <v>1</v>
      </c>
      <c r="GX86">
        <f t="shared" si="107"/>
        <v>0</v>
      </c>
      <c r="HA86">
        <v>0</v>
      </c>
      <c r="HB86">
        <v>0</v>
      </c>
      <c r="HC86">
        <f t="shared" si="108"/>
        <v>0</v>
      </c>
      <c r="IK86">
        <v>0</v>
      </c>
    </row>
    <row r="87" spans="1:245">
      <c r="A87">
        <v>18</v>
      </c>
      <c r="B87">
        <v>1</v>
      </c>
      <c r="C87">
        <v>41</v>
      </c>
      <c r="E87" t="s">
        <v>154</v>
      </c>
      <c r="F87" t="s">
        <v>57</v>
      </c>
      <c r="G87" t="s">
        <v>155</v>
      </c>
      <c r="H87" t="s">
        <v>51</v>
      </c>
      <c r="I87">
        <f>I81*J87</f>
        <v>2</v>
      </c>
      <c r="J87">
        <v>8.7336244541484725E-2</v>
      </c>
      <c r="O87">
        <f t="shared" si="69"/>
        <v>2866.66</v>
      </c>
      <c r="P87">
        <f t="shared" si="70"/>
        <v>2866.66</v>
      </c>
      <c r="Q87">
        <f t="shared" si="71"/>
        <v>0</v>
      </c>
      <c r="R87">
        <f t="shared" si="72"/>
        <v>0</v>
      </c>
      <c r="S87">
        <f t="shared" si="73"/>
        <v>0</v>
      </c>
      <c r="T87">
        <f t="shared" si="74"/>
        <v>0</v>
      </c>
      <c r="U87">
        <f t="shared" si="75"/>
        <v>0</v>
      </c>
      <c r="V87">
        <f t="shared" si="76"/>
        <v>0</v>
      </c>
      <c r="W87">
        <f t="shared" si="77"/>
        <v>0</v>
      </c>
      <c r="X87">
        <f t="shared" si="78"/>
        <v>0</v>
      </c>
      <c r="Y87">
        <f t="shared" si="79"/>
        <v>0</v>
      </c>
      <c r="AA87">
        <v>42225948</v>
      </c>
      <c r="AB87">
        <f t="shared" si="80"/>
        <v>1433.33</v>
      </c>
      <c r="AC87">
        <f t="shared" si="81"/>
        <v>1433.33</v>
      </c>
      <c r="AD87">
        <f t="shared" si="82"/>
        <v>0</v>
      </c>
      <c r="AE87">
        <f t="shared" si="83"/>
        <v>0</v>
      </c>
      <c r="AF87">
        <f t="shared" si="84"/>
        <v>0</v>
      </c>
      <c r="AG87">
        <f t="shared" si="85"/>
        <v>0</v>
      </c>
      <c r="AH87">
        <f t="shared" si="86"/>
        <v>0</v>
      </c>
      <c r="AI87">
        <f t="shared" si="87"/>
        <v>0</v>
      </c>
      <c r="AJ87">
        <f t="shared" si="88"/>
        <v>0</v>
      </c>
      <c r="AK87">
        <v>1433.33</v>
      </c>
      <c r="AL87">
        <v>1433.33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70</v>
      </c>
      <c r="AU87">
        <v>10</v>
      </c>
      <c r="AV87">
        <v>1</v>
      </c>
      <c r="AW87">
        <v>1</v>
      </c>
      <c r="AZ87">
        <v>1</v>
      </c>
      <c r="BA87">
        <v>1</v>
      </c>
      <c r="BB87">
        <v>1</v>
      </c>
      <c r="BC87">
        <v>1</v>
      </c>
      <c r="BD87" t="s">
        <v>3</v>
      </c>
      <c r="BE87" t="s">
        <v>3</v>
      </c>
      <c r="BF87" t="s">
        <v>3</v>
      </c>
      <c r="BG87" t="s">
        <v>3</v>
      </c>
      <c r="BH87">
        <v>3</v>
      </c>
      <c r="BI87">
        <v>4</v>
      </c>
      <c r="BJ87" t="s">
        <v>3</v>
      </c>
      <c r="BM87">
        <v>0</v>
      </c>
      <c r="BN87">
        <v>0</v>
      </c>
      <c r="BO87" t="s">
        <v>3</v>
      </c>
      <c r="BP87">
        <v>0</v>
      </c>
      <c r="BQ87">
        <v>1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 t="s">
        <v>3</v>
      </c>
      <c r="BZ87">
        <v>70</v>
      </c>
      <c r="CA87">
        <v>10</v>
      </c>
      <c r="CE87">
        <v>0</v>
      </c>
      <c r="CF87">
        <v>0</v>
      </c>
      <c r="CG87">
        <v>0</v>
      </c>
      <c r="CM87">
        <v>0</v>
      </c>
      <c r="CN87" t="s">
        <v>3</v>
      </c>
      <c r="CO87">
        <v>0</v>
      </c>
      <c r="CP87">
        <f t="shared" si="89"/>
        <v>2866.66</v>
      </c>
      <c r="CQ87">
        <f t="shared" si="90"/>
        <v>1433.33</v>
      </c>
      <c r="CR87">
        <f t="shared" si="91"/>
        <v>0</v>
      </c>
      <c r="CS87">
        <f t="shared" si="92"/>
        <v>0</v>
      </c>
      <c r="CT87">
        <f t="shared" si="93"/>
        <v>0</v>
      </c>
      <c r="CU87">
        <f t="shared" si="94"/>
        <v>0</v>
      </c>
      <c r="CV87">
        <f t="shared" si="95"/>
        <v>0</v>
      </c>
      <c r="CW87">
        <f t="shared" si="96"/>
        <v>0</v>
      </c>
      <c r="CX87">
        <f t="shared" si="97"/>
        <v>0</v>
      </c>
      <c r="CY87">
        <f t="shared" si="98"/>
        <v>0</v>
      </c>
      <c r="CZ87">
        <f t="shared" si="99"/>
        <v>0</v>
      </c>
      <c r="DC87" t="s">
        <v>3</v>
      </c>
      <c r="DD87" t="s">
        <v>3</v>
      </c>
      <c r="DE87" t="s">
        <v>3</v>
      </c>
      <c r="DF87" t="s">
        <v>3</v>
      </c>
      <c r="DG87" t="s">
        <v>3</v>
      </c>
      <c r="DH87" t="s">
        <v>3</v>
      </c>
      <c r="DI87" t="s">
        <v>3</v>
      </c>
      <c r="DJ87" t="s">
        <v>3</v>
      </c>
      <c r="DK87" t="s">
        <v>3</v>
      </c>
      <c r="DL87" t="s">
        <v>3</v>
      </c>
      <c r="DM87" t="s">
        <v>3</v>
      </c>
      <c r="DN87">
        <v>0</v>
      </c>
      <c r="DO87">
        <v>0</v>
      </c>
      <c r="DP87">
        <v>1</v>
      </c>
      <c r="DQ87">
        <v>1</v>
      </c>
      <c r="DU87">
        <v>1010</v>
      </c>
      <c r="DV87" t="s">
        <v>51</v>
      </c>
      <c r="DW87" t="s">
        <v>51</v>
      </c>
      <c r="DX87">
        <v>1</v>
      </c>
      <c r="EE87">
        <v>40050625</v>
      </c>
      <c r="EF87">
        <v>1</v>
      </c>
      <c r="EG87" t="s">
        <v>20</v>
      </c>
      <c r="EH87">
        <v>0</v>
      </c>
      <c r="EI87" t="s">
        <v>3</v>
      </c>
      <c r="EJ87">
        <v>4</v>
      </c>
      <c r="EK87">
        <v>0</v>
      </c>
      <c r="EL87" t="s">
        <v>21</v>
      </c>
      <c r="EM87" t="s">
        <v>22</v>
      </c>
      <c r="EO87" t="s">
        <v>3</v>
      </c>
      <c r="EQ87">
        <v>0</v>
      </c>
      <c r="ER87">
        <v>1433.33</v>
      </c>
      <c r="ES87">
        <v>1433.33</v>
      </c>
      <c r="ET87">
        <v>0</v>
      </c>
      <c r="EU87">
        <v>0</v>
      </c>
      <c r="EV87">
        <v>0</v>
      </c>
      <c r="EW87">
        <v>0</v>
      </c>
      <c r="EX87">
        <v>0</v>
      </c>
      <c r="FQ87">
        <v>0</v>
      </c>
      <c r="FR87">
        <f t="shared" si="100"/>
        <v>0</v>
      </c>
      <c r="FS87">
        <v>0</v>
      </c>
      <c r="FX87">
        <v>70</v>
      </c>
      <c r="FY87">
        <v>10</v>
      </c>
      <c r="GA87" t="s">
        <v>3</v>
      </c>
      <c r="GD87">
        <v>0</v>
      </c>
      <c r="GF87">
        <v>-32794423</v>
      </c>
      <c r="GG87">
        <v>2</v>
      </c>
      <c r="GH87">
        <v>0</v>
      </c>
      <c r="GI87">
        <v>-2</v>
      </c>
      <c r="GJ87">
        <v>0</v>
      </c>
      <c r="GK87">
        <f>ROUND(R87*(R12)/100,2)</f>
        <v>0</v>
      </c>
      <c r="GL87">
        <f t="shared" si="101"/>
        <v>0</v>
      </c>
      <c r="GM87">
        <f t="shared" si="102"/>
        <v>2866.66</v>
      </c>
      <c r="GN87">
        <f t="shared" si="103"/>
        <v>0</v>
      </c>
      <c r="GO87">
        <f t="shared" si="104"/>
        <v>0</v>
      </c>
      <c r="GP87">
        <f t="shared" si="105"/>
        <v>2866.66</v>
      </c>
      <c r="GR87">
        <v>0</v>
      </c>
      <c r="GS87">
        <v>0</v>
      </c>
      <c r="GT87">
        <v>0</v>
      </c>
      <c r="GU87" t="s">
        <v>3</v>
      </c>
      <c r="GV87">
        <f t="shared" si="106"/>
        <v>0</v>
      </c>
      <c r="GW87">
        <v>1</v>
      </c>
      <c r="GX87">
        <f t="shared" si="107"/>
        <v>0</v>
      </c>
      <c r="HA87">
        <v>0</v>
      </c>
      <c r="HB87">
        <v>0</v>
      </c>
      <c r="HC87">
        <f t="shared" si="108"/>
        <v>0</v>
      </c>
      <c r="IK87">
        <v>0</v>
      </c>
    </row>
    <row r="88" spans="1:245">
      <c r="A88">
        <v>18</v>
      </c>
      <c r="B88">
        <v>1</v>
      </c>
      <c r="C88">
        <v>42</v>
      </c>
      <c r="E88" t="s">
        <v>156</v>
      </c>
      <c r="F88" t="s">
        <v>57</v>
      </c>
      <c r="G88" t="s">
        <v>157</v>
      </c>
      <c r="H88" t="s">
        <v>51</v>
      </c>
      <c r="I88">
        <f>I81*J88</f>
        <v>1</v>
      </c>
      <c r="J88">
        <v>4.3668122270742363E-2</v>
      </c>
      <c r="O88">
        <f t="shared" si="69"/>
        <v>1316.67</v>
      </c>
      <c r="P88">
        <f t="shared" si="70"/>
        <v>1316.67</v>
      </c>
      <c r="Q88">
        <f t="shared" si="71"/>
        <v>0</v>
      </c>
      <c r="R88">
        <f t="shared" si="72"/>
        <v>0</v>
      </c>
      <c r="S88">
        <f t="shared" si="73"/>
        <v>0</v>
      </c>
      <c r="T88">
        <f t="shared" si="74"/>
        <v>0</v>
      </c>
      <c r="U88">
        <f t="shared" si="75"/>
        <v>0</v>
      </c>
      <c r="V88">
        <f t="shared" si="76"/>
        <v>0</v>
      </c>
      <c r="W88">
        <f t="shared" si="77"/>
        <v>0</v>
      </c>
      <c r="X88">
        <f t="shared" si="78"/>
        <v>0</v>
      </c>
      <c r="Y88">
        <f t="shared" si="79"/>
        <v>0</v>
      </c>
      <c r="AA88">
        <v>42225948</v>
      </c>
      <c r="AB88">
        <f t="shared" si="80"/>
        <v>1316.67</v>
      </c>
      <c r="AC88">
        <f t="shared" si="81"/>
        <v>1316.67</v>
      </c>
      <c r="AD88">
        <f t="shared" si="82"/>
        <v>0</v>
      </c>
      <c r="AE88">
        <f t="shared" si="83"/>
        <v>0</v>
      </c>
      <c r="AF88">
        <f t="shared" si="84"/>
        <v>0</v>
      </c>
      <c r="AG88">
        <f t="shared" si="85"/>
        <v>0</v>
      </c>
      <c r="AH88">
        <f t="shared" si="86"/>
        <v>0</v>
      </c>
      <c r="AI88">
        <f t="shared" si="87"/>
        <v>0</v>
      </c>
      <c r="AJ88">
        <f t="shared" si="88"/>
        <v>0</v>
      </c>
      <c r="AK88">
        <v>1316.67</v>
      </c>
      <c r="AL88">
        <v>1316.67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70</v>
      </c>
      <c r="AU88">
        <v>10</v>
      </c>
      <c r="AV88">
        <v>1</v>
      </c>
      <c r="AW88">
        <v>1</v>
      </c>
      <c r="AZ88">
        <v>1</v>
      </c>
      <c r="BA88">
        <v>1</v>
      </c>
      <c r="BB88">
        <v>1</v>
      </c>
      <c r="BC88">
        <v>1</v>
      </c>
      <c r="BD88" t="s">
        <v>3</v>
      </c>
      <c r="BE88" t="s">
        <v>3</v>
      </c>
      <c r="BF88" t="s">
        <v>3</v>
      </c>
      <c r="BG88" t="s">
        <v>3</v>
      </c>
      <c r="BH88">
        <v>3</v>
      </c>
      <c r="BI88">
        <v>4</v>
      </c>
      <c r="BJ88" t="s">
        <v>3</v>
      </c>
      <c r="BM88">
        <v>0</v>
      </c>
      <c r="BN88">
        <v>0</v>
      </c>
      <c r="BO88" t="s">
        <v>3</v>
      </c>
      <c r="BP88">
        <v>0</v>
      </c>
      <c r="BQ88">
        <v>1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 t="s">
        <v>3</v>
      </c>
      <c r="BZ88">
        <v>70</v>
      </c>
      <c r="CA88">
        <v>10</v>
      </c>
      <c r="CE88">
        <v>0</v>
      </c>
      <c r="CF88">
        <v>0</v>
      </c>
      <c r="CG88">
        <v>0</v>
      </c>
      <c r="CM88">
        <v>0</v>
      </c>
      <c r="CN88" t="s">
        <v>3</v>
      </c>
      <c r="CO88">
        <v>0</v>
      </c>
      <c r="CP88">
        <f t="shared" si="89"/>
        <v>1316.67</v>
      </c>
      <c r="CQ88">
        <f t="shared" si="90"/>
        <v>1316.67</v>
      </c>
      <c r="CR88">
        <f t="shared" si="91"/>
        <v>0</v>
      </c>
      <c r="CS88">
        <f t="shared" si="92"/>
        <v>0</v>
      </c>
      <c r="CT88">
        <f t="shared" si="93"/>
        <v>0</v>
      </c>
      <c r="CU88">
        <f t="shared" si="94"/>
        <v>0</v>
      </c>
      <c r="CV88">
        <f t="shared" si="95"/>
        <v>0</v>
      </c>
      <c r="CW88">
        <f t="shared" si="96"/>
        <v>0</v>
      </c>
      <c r="CX88">
        <f t="shared" si="97"/>
        <v>0</v>
      </c>
      <c r="CY88">
        <f t="shared" si="98"/>
        <v>0</v>
      </c>
      <c r="CZ88">
        <f t="shared" si="99"/>
        <v>0</v>
      </c>
      <c r="DC88" t="s">
        <v>3</v>
      </c>
      <c r="DD88" t="s">
        <v>3</v>
      </c>
      <c r="DE88" t="s">
        <v>3</v>
      </c>
      <c r="DF88" t="s">
        <v>3</v>
      </c>
      <c r="DG88" t="s">
        <v>3</v>
      </c>
      <c r="DH88" t="s">
        <v>3</v>
      </c>
      <c r="DI88" t="s">
        <v>3</v>
      </c>
      <c r="DJ88" t="s">
        <v>3</v>
      </c>
      <c r="DK88" t="s">
        <v>3</v>
      </c>
      <c r="DL88" t="s">
        <v>3</v>
      </c>
      <c r="DM88" t="s">
        <v>3</v>
      </c>
      <c r="DN88">
        <v>0</v>
      </c>
      <c r="DO88">
        <v>0</v>
      </c>
      <c r="DP88">
        <v>1</v>
      </c>
      <c r="DQ88">
        <v>1</v>
      </c>
      <c r="DU88">
        <v>1010</v>
      </c>
      <c r="DV88" t="s">
        <v>51</v>
      </c>
      <c r="DW88" t="s">
        <v>51</v>
      </c>
      <c r="DX88">
        <v>1</v>
      </c>
      <c r="EE88">
        <v>40050625</v>
      </c>
      <c r="EF88">
        <v>1</v>
      </c>
      <c r="EG88" t="s">
        <v>20</v>
      </c>
      <c r="EH88">
        <v>0</v>
      </c>
      <c r="EI88" t="s">
        <v>3</v>
      </c>
      <c r="EJ88">
        <v>4</v>
      </c>
      <c r="EK88">
        <v>0</v>
      </c>
      <c r="EL88" t="s">
        <v>21</v>
      </c>
      <c r="EM88" t="s">
        <v>22</v>
      </c>
      <c r="EO88" t="s">
        <v>3</v>
      </c>
      <c r="EQ88">
        <v>0</v>
      </c>
      <c r="ER88">
        <v>1316.67</v>
      </c>
      <c r="ES88">
        <v>1316.67</v>
      </c>
      <c r="ET88">
        <v>0</v>
      </c>
      <c r="EU88">
        <v>0</v>
      </c>
      <c r="EV88">
        <v>0</v>
      </c>
      <c r="EW88">
        <v>0</v>
      </c>
      <c r="EX88">
        <v>0</v>
      </c>
      <c r="FQ88">
        <v>0</v>
      </c>
      <c r="FR88">
        <f t="shared" si="100"/>
        <v>0</v>
      </c>
      <c r="FS88">
        <v>0</v>
      </c>
      <c r="FX88">
        <v>70</v>
      </c>
      <c r="FY88">
        <v>10</v>
      </c>
      <c r="GA88" t="s">
        <v>3</v>
      </c>
      <c r="GD88">
        <v>0</v>
      </c>
      <c r="GF88">
        <v>-1620686808</v>
      </c>
      <c r="GG88">
        <v>2</v>
      </c>
      <c r="GH88">
        <v>0</v>
      </c>
      <c r="GI88">
        <v>-2</v>
      </c>
      <c r="GJ88">
        <v>0</v>
      </c>
      <c r="GK88">
        <f>ROUND(R88*(R12)/100,2)</f>
        <v>0</v>
      </c>
      <c r="GL88">
        <f t="shared" si="101"/>
        <v>0</v>
      </c>
      <c r="GM88">
        <f t="shared" si="102"/>
        <v>1316.67</v>
      </c>
      <c r="GN88">
        <f t="shared" si="103"/>
        <v>0</v>
      </c>
      <c r="GO88">
        <f t="shared" si="104"/>
        <v>0</v>
      </c>
      <c r="GP88">
        <f t="shared" si="105"/>
        <v>1316.67</v>
      </c>
      <c r="GR88">
        <v>0</v>
      </c>
      <c r="GS88">
        <v>0</v>
      </c>
      <c r="GT88">
        <v>0</v>
      </c>
      <c r="GU88" t="s">
        <v>3</v>
      </c>
      <c r="GV88">
        <f t="shared" si="106"/>
        <v>0</v>
      </c>
      <c r="GW88">
        <v>1</v>
      </c>
      <c r="GX88">
        <f t="shared" si="107"/>
        <v>0</v>
      </c>
      <c r="HA88">
        <v>0</v>
      </c>
      <c r="HB88">
        <v>0</v>
      </c>
      <c r="HC88">
        <f t="shared" si="108"/>
        <v>0</v>
      </c>
      <c r="IK88">
        <v>0</v>
      </c>
    </row>
    <row r="90" spans="1:245">
      <c r="A90" s="2">
        <v>51</v>
      </c>
      <c r="B90" s="2">
        <f>B73</f>
        <v>1</v>
      </c>
      <c r="C90" s="2">
        <f>A73</f>
        <v>4</v>
      </c>
      <c r="D90" s="2">
        <f>ROW(A73)</f>
        <v>73</v>
      </c>
      <c r="E90" s="2"/>
      <c r="F90" s="2" t="str">
        <f>IF(F73&lt;&gt;"",F73,"")</f>
        <v>Новый раздел</v>
      </c>
      <c r="G90" s="2" t="str">
        <f>IF(G73&lt;&gt;"",G73,"")</f>
        <v>Посадка кустарников - 229шт.</v>
      </c>
      <c r="H90" s="2">
        <v>0</v>
      </c>
      <c r="I90" s="2"/>
      <c r="J90" s="2"/>
      <c r="K90" s="2"/>
      <c r="L90" s="2"/>
      <c r="M90" s="2"/>
      <c r="N90" s="2"/>
      <c r="O90" s="2">
        <f t="shared" ref="O90:T90" si="109">ROUND(AB90,2)</f>
        <v>355701.35</v>
      </c>
      <c r="P90" s="2">
        <f t="shared" si="109"/>
        <v>238024.77</v>
      </c>
      <c r="Q90" s="2">
        <f t="shared" si="109"/>
        <v>17854.689999999999</v>
      </c>
      <c r="R90" s="2">
        <f t="shared" si="109"/>
        <v>4482.18</v>
      </c>
      <c r="S90" s="2">
        <f t="shared" si="109"/>
        <v>99821.89</v>
      </c>
      <c r="T90" s="2">
        <f t="shared" si="109"/>
        <v>0</v>
      </c>
      <c r="U90" s="2">
        <f>AH90</f>
        <v>503.99579499999999</v>
      </c>
      <c r="V90" s="2">
        <f>AI90</f>
        <v>0</v>
      </c>
      <c r="W90" s="2">
        <f>ROUND(AJ90,2)</f>
        <v>0</v>
      </c>
      <c r="X90" s="2">
        <f>ROUND(AK90,2)</f>
        <v>69875.33</v>
      </c>
      <c r="Y90" s="2">
        <f>ROUND(AL90,2)</f>
        <v>9982.19</v>
      </c>
      <c r="Z90" s="2"/>
      <c r="AA90" s="2"/>
      <c r="AB90" s="2">
        <f>ROUND(SUMIF(AA77:AA88,"=42225948",O77:O88),2)</f>
        <v>355701.35</v>
      </c>
      <c r="AC90" s="2">
        <f>ROUND(SUMIF(AA77:AA88,"=42225948",P77:P88),2)</f>
        <v>238024.77</v>
      </c>
      <c r="AD90" s="2">
        <f>ROUND(SUMIF(AA77:AA88,"=42225948",Q77:Q88),2)</f>
        <v>17854.689999999999</v>
      </c>
      <c r="AE90" s="2">
        <f>ROUND(SUMIF(AA77:AA88,"=42225948",R77:R88),2)</f>
        <v>4482.18</v>
      </c>
      <c r="AF90" s="2">
        <f>ROUND(SUMIF(AA77:AA88,"=42225948",S77:S88),2)</f>
        <v>99821.89</v>
      </c>
      <c r="AG90" s="2">
        <f>ROUND(SUMIF(AA77:AA88,"=42225948",T77:T88),2)</f>
        <v>0</v>
      </c>
      <c r="AH90" s="2">
        <f>SUMIF(AA77:AA88,"=42225948",U77:U88)</f>
        <v>503.99579499999999</v>
      </c>
      <c r="AI90" s="2">
        <f>SUMIF(AA77:AA88,"=42225948",V77:V88)</f>
        <v>0</v>
      </c>
      <c r="AJ90" s="2">
        <f>ROUND(SUMIF(AA77:AA88,"=42225948",W77:W88),2)</f>
        <v>0</v>
      </c>
      <c r="AK90" s="2">
        <f>ROUND(SUMIF(AA77:AA88,"=42225948",X77:X88),2)</f>
        <v>69875.33</v>
      </c>
      <c r="AL90" s="2">
        <f>ROUND(SUMIF(AA77:AA88,"=42225948",Y77:Y88),2)</f>
        <v>9982.19</v>
      </c>
      <c r="AM90" s="2"/>
      <c r="AN90" s="2"/>
      <c r="AO90" s="2">
        <f t="shared" ref="AO90:BC90" si="110">ROUND(BX90,2)</f>
        <v>0</v>
      </c>
      <c r="AP90" s="2">
        <f t="shared" si="110"/>
        <v>0</v>
      </c>
      <c r="AQ90" s="2">
        <f t="shared" si="110"/>
        <v>0</v>
      </c>
      <c r="AR90" s="2">
        <f t="shared" si="110"/>
        <v>440399.62</v>
      </c>
      <c r="AS90" s="2">
        <f t="shared" si="110"/>
        <v>0</v>
      </c>
      <c r="AT90" s="2">
        <f t="shared" si="110"/>
        <v>0</v>
      </c>
      <c r="AU90" s="2">
        <f t="shared" si="110"/>
        <v>440399.62</v>
      </c>
      <c r="AV90" s="2">
        <f t="shared" si="110"/>
        <v>238024.77</v>
      </c>
      <c r="AW90" s="2">
        <f t="shared" si="110"/>
        <v>238024.77</v>
      </c>
      <c r="AX90" s="2">
        <f t="shared" si="110"/>
        <v>0</v>
      </c>
      <c r="AY90" s="2">
        <f t="shared" si="110"/>
        <v>238024.77</v>
      </c>
      <c r="AZ90" s="2">
        <f t="shared" si="110"/>
        <v>0</v>
      </c>
      <c r="BA90" s="2">
        <f t="shared" si="110"/>
        <v>0</v>
      </c>
      <c r="BB90" s="2">
        <f t="shared" si="110"/>
        <v>0</v>
      </c>
      <c r="BC90" s="2">
        <f t="shared" si="110"/>
        <v>0</v>
      </c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>
        <f>ROUND(SUMIF(AA77:AA88,"=42225948",FQ77:FQ88),2)</f>
        <v>0</v>
      </c>
      <c r="BY90" s="2">
        <f>ROUND(SUMIF(AA77:AA88,"=42225948",FR77:FR88),2)</f>
        <v>0</v>
      </c>
      <c r="BZ90" s="2">
        <f>ROUND(SUMIF(AA77:AA88,"=42225948",GL77:GL88),2)</f>
        <v>0</v>
      </c>
      <c r="CA90" s="2">
        <f>ROUND(SUMIF(AA77:AA88,"=42225948",GM77:GM88),2)</f>
        <v>440399.62</v>
      </c>
      <c r="CB90" s="2">
        <f>ROUND(SUMIF(AA77:AA88,"=42225948",GN77:GN88),2)</f>
        <v>0</v>
      </c>
      <c r="CC90" s="2">
        <f>ROUND(SUMIF(AA77:AA88,"=42225948",GO77:GO88),2)</f>
        <v>0</v>
      </c>
      <c r="CD90" s="2">
        <f>ROUND(SUMIF(AA77:AA88,"=42225948",GP77:GP88),2)</f>
        <v>440399.62</v>
      </c>
      <c r="CE90" s="2">
        <f>AC90-BX90</f>
        <v>238024.77</v>
      </c>
      <c r="CF90" s="2">
        <f>AC90-BY90</f>
        <v>238024.77</v>
      </c>
      <c r="CG90" s="2">
        <f>BX90-BZ90</f>
        <v>0</v>
      </c>
      <c r="CH90" s="2">
        <f>AC90-BX90-BY90+BZ90</f>
        <v>238024.77</v>
      </c>
      <c r="CI90" s="2">
        <f>BY90-BZ90</f>
        <v>0</v>
      </c>
      <c r="CJ90" s="2">
        <f>ROUND(SUMIF(AA77:AA88,"=42225948",GX77:GX88),2)</f>
        <v>0</v>
      </c>
      <c r="CK90" s="2">
        <f>ROUND(SUMIF(AA77:AA88,"=42225948",GY77:GY88),2)</f>
        <v>0</v>
      </c>
      <c r="CL90" s="2">
        <f>ROUND(SUMIF(AA77:AA88,"=42225948",GZ77:GZ88),2)</f>
        <v>0</v>
      </c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>
        <v>0</v>
      </c>
    </row>
    <row r="92" spans="1:245">
      <c r="A92" s="4">
        <v>50</v>
      </c>
      <c r="B92" s="4">
        <v>0</v>
      </c>
      <c r="C92" s="4">
        <v>0</v>
      </c>
      <c r="D92" s="4">
        <v>1</v>
      </c>
      <c r="E92" s="4">
        <v>201</v>
      </c>
      <c r="F92" s="4">
        <f>ROUND(Source!O90,O92)</f>
        <v>355701.35</v>
      </c>
      <c r="G92" s="4" t="s">
        <v>65</v>
      </c>
      <c r="H92" s="4" t="s">
        <v>66</v>
      </c>
      <c r="I92" s="4"/>
      <c r="J92" s="4"/>
      <c r="K92" s="4">
        <v>201</v>
      </c>
      <c r="L92" s="4">
        <v>1</v>
      </c>
      <c r="M92" s="4">
        <v>3</v>
      </c>
      <c r="N92" s="4" t="s">
        <v>3</v>
      </c>
      <c r="O92" s="4">
        <v>2</v>
      </c>
      <c r="P92" s="4"/>
      <c r="Q92" s="4"/>
      <c r="R92" s="4"/>
      <c r="S92" s="4"/>
      <c r="T92" s="4"/>
      <c r="U92" s="4"/>
      <c r="V92" s="4"/>
      <c r="W92" s="4"/>
    </row>
    <row r="93" spans="1:245">
      <c r="A93" s="4">
        <v>50</v>
      </c>
      <c r="B93" s="4">
        <v>0</v>
      </c>
      <c r="C93" s="4">
        <v>0</v>
      </c>
      <c r="D93" s="4">
        <v>1</v>
      </c>
      <c r="E93" s="4">
        <v>202</v>
      </c>
      <c r="F93" s="4">
        <f>ROUND(Source!P90,O93)</f>
        <v>238024.77</v>
      </c>
      <c r="G93" s="4" t="s">
        <v>67</v>
      </c>
      <c r="H93" s="4" t="s">
        <v>68</v>
      </c>
      <c r="I93" s="4"/>
      <c r="J93" s="4"/>
      <c r="K93" s="4">
        <v>202</v>
      </c>
      <c r="L93" s="4">
        <v>2</v>
      </c>
      <c r="M93" s="4">
        <v>3</v>
      </c>
      <c r="N93" s="4" t="s">
        <v>3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45">
      <c r="A94" s="4">
        <v>50</v>
      </c>
      <c r="B94" s="4">
        <v>0</v>
      </c>
      <c r="C94" s="4">
        <v>0</v>
      </c>
      <c r="D94" s="4">
        <v>1</v>
      </c>
      <c r="E94" s="4">
        <v>222</v>
      </c>
      <c r="F94" s="4">
        <f>ROUND(Source!AO90,O94)</f>
        <v>0</v>
      </c>
      <c r="G94" s="4" t="s">
        <v>69</v>
      </c>
      <c r="H94" s="4" t="s">
        <v>70</v>
      </c>
      <c r="I94" s="4"/>
      <c r="J94" s="4"/>
      <c r="K94" s="4">
        <v>222</v>
      </c>
      <c r="L94" s="4">
        <v>3</v>
      </c>
      <c r="M94" s="4">
        <v>3</v>
      </c>
      <c r="N94" s="4" t="s">
        <v>3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5" spans="1:245">
      <c r="A95" s="4">
        <v>50</v>
      </c>
      <c r="B95" s="4">
        <v>0</v>
      </c>
      <c r="C95" s="4">
        <v>0</v>
      </c>
      <c r="D95" s="4">
        <v>1</v>
      </c>
      <c r="E95" s="4">
        <v>225</v>
      </c>
      <c r="F95" s="4">
        <f>ROUND(Source!AV90,O95)</f>
        <v>238024.77</v>
      </c>
      <c r="G95" s="4" t="s">
        <v>71</v>
      </c>
      <c r="H95" s="4" t="s">
        <v>72</v>
      </c>
      <c r="I95" s="4"/>
      <c r="J95" s="4"/>
      <c r="K95" s="4">
        <v>225</v>
      </c>
      <c r="L95" s="4">
        <v>4</v>
      </c>
      <c r="M95" s="4">
        <v>3</v>
      </c>
      <c r="N95" s="4" t="s">
        <v>3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45">
      <c r="A96" s="4">
        <v>50</v>
      </c>
      <c r="B96" s="4">
        <v>0</v>
      </c>
      <c r="C96" s="4">
        <v>0</v>
      </c>
      <c r="D96" s="4">
        <v>1</v>
      </c>
      <c r="E96" s="4">
        <v>226</v>
      </c>
      <c r="F96" s="4">
        <f>ROUND(Source!AW90,O96)</f>
        <v>238024.77</v>
      </c>
      <c r="G96" s="4" t="s">
        <v>73</v>
      </c>
      <c r="H96" s="4" t="s">
        <v>74</v>
      </c>
      <c r="I96" s="4"/>
      <c r="J96" s="4"/>
      <c r="K96" s="4">
        <v>226</v>
      </c>
      <c r="L96" s="4">
        <v>5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3">
      <c r="A97" s="4">
        <v>50</v>
      </c>
      <c r="B97" s="4">
        <v>0</v>
      </c>
      <c r="C97" s="4">
        <v>0</v>
      </c>
      <c r="D97" s="4">
        <v>1</v>
      </c>
      <c r="E97" s="4">
        <v>227</v>
      </c>
      <c r="F97" s="4">
        <f>ROUND(Source!AX90,O97)</f>
        <v>0</v>
      </c>
      <c r="G97" s="4" t="s">
        <v>75</v>
      </c>
      <c r="H97" s="4" t="s">
        <v>76</v>
      </c>
      <c r="I97" s="4"/>
      <c r="J97" s="4"/>
      <c r="K97" s="4">
        <v>227</v>
      </c>
      <c r="L97" s="4">
        <v>6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8" spans="1:23">
      <c r="A98" s="4">
        <v>50</v>
      </c>
      <c r="B98" s="4">
        <v>0</v>
      </c>
      <c r="C98" s="4">
        <v>0</v>
      </c>
      <c r="D98" s="4">
        <v>1</v>
      </c>
      <c r="E98" s="4">
        <v>228</v>
      </c>
      <c r="F98" s="4">
        <f>ROUND(Source!AY90,O98)</f>
        <v>238024.77</v>
      </c>
      <c r="G98" s="4" t="s">
        <v>77</v>
      </c>
      <c r="H98" s="4" t="s">
        <v>78</v>
      </c>
      <c r="I98" s="4"/>
      <c r="J98" s="4"/>
      <c r="K98" s="4">
        <v>228</v>
      </c>
      <c r="L98" s="4">
        <v>7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3">
      <c r="A99" s="4">
        <v>50</v>
      </c>
      <c r="B99" s="4">
        <v>0</v>
      </c>
      <c r="C99" s="4">
        <v>0</v>
      </c>
      <c r="D99" s="4">
        <v>1</v>
      </c>
      <c r="E99" s="4">
        <v>216</v>
      </c>
      <c r="F99" s="4">
        <f>ROUND(Source!AP90,O99)</f>
        <v>0</v>
      </c>
      <c r="G99" s="4" t="s">
        <v>79</v>
      </c>
      <c r="H99" s="4" t="s">
        <v>80</v>
      </c>
      <c r="I99" s="4"/>
      <c r="J99" s="4"/>
      <c r="K99" s="4">
        <v>216</v>
      </c>
      <c r="L99" s="4">
        <v>8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3">
      <c r="A100" s="4">
        <v>50</v>
      </c>
      <c r="B100" s="4">
        <v>0</v>
      </c>
      <c r="C100" s="4">
        <v>0</v>
      </c>
      <c r="D100" s="4">
        <v>1</v>
      </c>
      <c r="E100" s="4">
        <v>223</v>
      </c>
      <c r="F100" s="4">
        <f>ROUND(Source!AQ90,O100)</f>
        <v>0</v>
      </c>
      <c r="G100" s="4" t="s">
        <v>81</v>
      </c>
      <c r="H100" s="4" t="s">
        <v>82</v>
      </c>
      <c r="I100" s="4"/>
      <c r="J100" s="4"/>
      <c r="K100" s="4">
        <v>223</v>
      </c>
      <c r="L100" s="4">
        <v>9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3">
      <c r="A101" s="4">
        <v>50</v>
      </c>
      <c r="B101" s="4">
        <v>0</v>
      </c>
      <c r="C101" s="4">
        <v>0</v>
      </c>
      <c r="D101" s="4">
        <v>1</v>
      </c>
      <c r="E101" s="4">
        <v>229</v>
      </c>
      <c r="F101" s="4">
        <f>ROUND(Source!AZ90,O101)</f>
        <v>0</v>
      </c>
      <c r="G101" s="4" t="s">
        <v>83</v>
      </c>
      <c r="H101" s="4" t="s">
        <v>84</v>
      </c>
      <c r="I101" s="4"/>
      <c r="J101" s="4"/>
      <c r="K101" s="4">
        <v>229</v>
      </c>
      <c r="L101" s="4">
        <v>10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3">
      <c r="A102" s="4">
        <v>50</v>
      </c>
      <c r="B102" s="4">
        <v>0</v>
      </c>
      <c r="C102" s="4">
        <v>0</v>
      </c>
      <c r="D102" s="4">
        <v>1</v>
      </c>
      <c r="E102" s="4">
        <v>203</v>
      </c>
      <c r="F102" s="4">
        <f>ROUND(Source!Q90,O102)</f>
        <v>17854.689999999999</v>
      </c>
      <c r="G102" s="4" t="s">
        <v>85</v>
      </c>
      <c r="H102" s="4" t="s">
        <v>86</v>
      </c>
      <c r="I102" s="4"/>
      <c r="J102" s="4"/>
      <c r="K102" s="4">
        <v>203</v>
      </c>
      <c r="L102" s="4">
        <v>11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3">
      <c r="A103" s="4">
        <v>50</v>
      </c>
      <c r="B103" s="4">
        <v>0</v>
      </c>
      <c r="C103" s="4">
        <v>0</v>
      </c>
      <c r="D103" s="4">
        <v>1</v>
      </c>
      <c r="E103" s="4">
        <v>231</v>
      </c>
      <c r="F103" s="4">
        <f>ROUND(Source!BB90,O103)</f>
        <v>0</v>
      </c>
      <c r="G103" s="4" t="s">
        <v>87</v>
      </c>
      <c r="H103" s="4" t="s">
        <v>88</v>
      </c>
      <c r="I103" s="4"/>
      <c r="J103" s="4"/>
      <c r="K103" s="4">
        <v>231</v>
      </c>
      <c r="L103" s="4">
        <v>12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3">
      <c r="A104" s="4">
        <v>50</v>
      </c>
      <c r="B104" s="4">
        <v>0</v>
      </c>
      <c r="C104" s="4">
        <v>0</v>
      </c>
      <c r="D104" s="4">
        <v>1</v>
      </c>
      <c r="E104" s="4">
        <v>204</v>
      </c>
      <c r="F104" s="4">
        <f>ROUND(Source!R90,O104)</f>
        <v>4482.18</v>
      </c>
      <c r="G104" s="4" t="s">
        <v>89</v>
      </c>
      <c r="H104" s="4" t="s">
        <v>90</v>
      </c>
      <c r="I104" s="4"/>
      <c r="J104" s="4"/>
      <c r="K104" s="4">
        <v>204</v>
      </c>
      <c r="L104" s="4">
        <v>13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3">
      <c r="A105" s="4">
        <v>50</v>
      </c>
      <c r="B105" s="4">
        <v>0</v>
      </c>
      <c r="C105" s="4">
        <v>0</v>
      </c>
      <c r="D105" s="4">
        <v>1</v>
      </c>
      <c r="E105" s="4">
        <v>205</v>
      </c>
      <c r="F105" s="4">
        <f>ROUND(Source!S90,O105)</f>
        <v>99821.89</v>
      </c>
      <c r="G105" s="4" t="s">
        <v>91</v>
      </c>
      <c r="H105" s="4" t="s">
        <v>92</v>
      </c>
      <c r="I105" s="4"/>
      <c r="J105" s="4"/>
      <c r="K105" s="4">
        <v>205</v>
      </c>
      <c r="L105" s="4">
        <v>14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3">
      <c r="A106" s="4">
        <v>50</v>
      </c>
      <c r="B106" s="4">
        <v>0</v>
      </c>
      <c r="C106" s="4">
        <v>0</v>
      </c>
      <c r="D106" s="4">
        <v>1</v>
      </c>
      <c r="E106" s="4">
        <v>232</v>
      </c>
      <c r="F106" s="4">
        <f>ROUND(Source!BC90,O106)</f>
        <v>0</v>
      </c>
      <c r="G106" s="4" t="s">
        <v>93</v>
      </c>
      <c r="H106" s="4" t="s">
        <v>94</v>
      </c>
      <c r="I106" s="4"/>
      <c r="J106" s="4"/>
      <c r="K106" s="4">
        <v>232</v>
      </c>
      <c r="L106" s="4">
        <v>15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3">
      <c r="A107" s="4">
        <v>50</v>
      </c>
      <c r="B107" s="4">
        <v>0</v>
      </c>
      <c r="C107" s="4">
        <v>0</v>
      </c>
      <c r="D107" s="4">
        <v>1</v>
      </c>
      <c r="E107" s="4">
        <v>214</v>
      </c>
      <c r="F107" s="4">
        <f>ROUND(Source!AS90,O107)</f>
        <v>0</v>
      </c>
      <c r="G107" s="4" t="s">
        <v>95</v>
      </c>
      <c r="H107" s="4" t="s">
        <v>96</v>
      </c>
      <c r="I107" s="4"/>
      <c r="J107" s="4"/>
      <c r="K107" s="4">
        <v>214</v>
      </c>
      <c r="L107" s="4">
        <v>16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3">
      <c r="A108" s="4">
        <v>50</v>
      </c>
      <c r="B108" s="4">
        <v>0</v>
      </c>
      <c r="C108" s="4">
        <v>0</v>
      </c>
      <c r="D108" s="4">
        <v>1</v>
      </c>
      <c r="E108" s="4">
        <v>215</v>
      </c>
      <c r="F108" s="4">
        <f>ROUND(Source!AT90,O108)</f>
        <v>0</v>
      </c>
      <c r="G108" s="4" t="s">
        <v>97</v>
      </c>
      <c r="H108" s="4" t="s">
        <v>98</v>
      </c>
      <c r="I108" s="4"/>
      <c r="J108" s="4"/>
      <c r="K108" s="4">
        <v>215</v>
      </c>
      <c r="L108" s="4">
        <v>17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3">
      <c r="A109" s="4">
        <v>50</v>
      </c>
      <c r="B109" s="4">
        <v>0</v>
      </c>
      <c r="C109" s="4">
        <v>0</v>
      </c>
      <c r="D109" s="4">
        <v>1</v>
      </c>
      <c r="E109" s="4">
        <v>217</v>
      </c>
      <c r="F109" s="4">
        <f>ROUND(Source!AU90,O109)</f>
        <v>440399.62</v>
      </c>
      <c r="G109" s="4" t="s">
        <v>99</v>
      </c>
      <c r="H109" s="4" t="s">
        <v>100</v>
      </c>
      <c r="I109" s="4"/>
      <c r="J109" s="4"/>
      <c r="K109" s="4">
        <v>217</v>
      </c>
      <c r="L109" s="4">
        <v>18</v>
      </c>
      <c r="M109" s="4">
        <v>3</v>
      </c>
      <c r="N109" s="4" t="s">
        <v>3</v>
      </c>
      <c r="O109" s="4">
        <v>2</v>
      </c>
      <c r="P109" s="4"/>
      <c r="Q109" s="4"/>
      <c r="R109" s="4"/>
      <c r="S109" s="4"/>
      <c r="T109" s="4"/>
      <c r="U109" s="4"/>
      <c r="V109" s="4"/>
      <c r="W109" s="4"/>
    </row>
    <row r="110" spans="1:23">
      <c r="A110" s="4">
        <v>50</v>
      </c>
      <c r="B110" s="4">
        <v>0</v>
      </c>
      <c r="C110" s="4">
        <v>0</v>
      </c>
      <c r="D110" s="4">
        <v>1</v>
      </c>
      <c r="E110" s="4">
        <v>230</v>
      </c>
      <c r="F110" s="4">
        <f>ROUND(Source!BA90,O110)</f>
        <v>0</v>
      </c>
      <c r="G110" s="4" t="s">
        <v>101</v>
      </c>
      <c r="H110" s="4" t="s">
        <v>102</v>
      </c>
      <c r="I110" s="4"/>
      <c r="J110" s="4"/>
      <c r="K110" s="4">
        <v>230</v>
      </c>
      <c r="L110" s="4">
        <v>19</v>
      </c>
      <c r="M110" s="4">
        <v>3</v>
      </c>
      <c r="N110" s="4" t="s">
        <v>3</v>
      </c>
      <c r="O110" s="4">
        <v>2</v>
      </c>
      <c r="P110" s="4"/>
      <c r="Q110" s="4"/>
      <c r="R110" s="4"/>
      <c r="S110" s="4"/>
      <c r="T110" s="4"/>
      <c r="U110" s="4"/>
      <c r="V110" s="4"/>
      <c r="W110" s="4"/>
    </row>
    <row r="111" spans="1:23">
      <c r="A111" s="4">
        <v>50</v>
      </c>
      <c r="B111" s="4">
        <v>0</v>
      </c>
      <c r="C111" s="4">
        <v>0</v>
      </c>
      <c r="D111" s="4">
        <v>1</v>
      </c>
      <c r="E111" s="4">
        <v>206</v>
      </c>
      <c r="F111" s="4">
        <f>ROUND(Source!T90,O111)</f>
        <v>0</v>
      </c>
      <c r="G111" s="4" t="s">
        <v>103</v>
      </c>
      <c r="H111" s="4" t="s">
        <v>104</v>
      </c>
      <c r="I111" s="4"/>
      <c r="J111" s="4"/>
      <c r="K111" s="4">
        <v>206</v>
      </c>
      <c r="L111" s="4">
        <v>20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3">
      <c r="A112" s="4">
        <v>50</v>
      </c>
      <c r="B112" s="4">
        <v>0</v>
      </c>
      <c r="C112" s="4">
        <v>0</v>
      </c>
      <c r="D112" s="4">
        <v>1</v>
      </c>
      <c r="E112" s="4">
        <v>207</v>
      </c>
      <c r="F112" s="4">
        <f>Source!U90</f>
        <v>503.99579499999999</v>
      </c>
      <c r="G112" s="4" t="s">
        <v>105</v>
      </c>
      <c r="H112" s="4" t="s">
        <v>106</v>
      </c>
      <c r="I112" s="4"/>
      <c r="J112" s="4"/>
      <c r="K112" s="4">
        <v>207</v>
      </c>
      <c r="L112" s="4">
        <v>21</v>
      </c>
      <c r="M112" s="4">
        <v>3</v>
      </c>
      <c r="N112" s="4" t="s">
        <v>3</v>
      </c>
      <c r="O112" s="4">
        <v>-1</v>
      </c>
      <c r="P112" s="4"/>
      <c r="Q112" s="4"/>
      <c r="R112" s="4"/>
      <c r="S112" s="4"/>
      <c r="T112" s="4"/>
      <c r="U112" s="4"/>
      <c r="V112" s="4"/>
      <c r="W112" s="4"/>
    </row>
    <row r="113" spans="1:245">
      <c r="A113" s="4">
        <v>50</v>
      </c>
      <c r="B113" s="4">
        <v>0</v>
      </c>
      <c r="C113" s="4">
        <v>0</v>
      </c>
      <c r="D113" s="4">
        <v>1</v>
      </c>
      <c r="E113" s="4">
        <v>208</v>
      </c>
      <c r="F113" s="4">
        <f>Source!V90</f>
        <v>0</v>
      </c>
      <c r="G113" s="4" t="s">
        <v>107</v>
      </c>
      <c r="H113" s="4" t="s">
        <v>108</v>
      </c>
      <c r="I113" s="4"/>
      <c r="J113" s="4"/>
      <c r="K113" s="4">
        <v>208</v>
      </c>
      <c r="L113" s="4">
        <v>22</v>
      </c>
      <c r="M113" s="4">
        <v>3</v>
      </c>
      <c r="N113" s="4" t="s">
        <v>3</v>
      </c>
      <c r="O113" s="4">
        <v>-1</v>
      </c>
      <c r="P113" s="4"/>
      <c r="Q113" s="4"/>
      <c r="R113" s="4"/>
      <c r="S113" s="4"/>
      <c r="T113" s="4"/>
      <c r="U113" s="4"/>
      <c r="V113" s="4"/>
      <c r="W113" s="4"/>
    </row>
    <row r="114" spans="1:245">
      <c r="A114" s="4">
        <v>50</v>
      </c>
      <c r="B114" s="4">
        <v>0</v>
      </c>
      <c r="C114" s="4">
        <v>0</v>
      </c>
      <c r="D114" s="4">
        <v>1</v>
      </c>
      <c r="E114" s="4">
        <v>209</v>
      </c>
      <c r="F114" s="4">
        <f>ROUND(Source!W90,O114)</f>
        <v>0</v>
      </c>
      <c r="G114" s="4" t="s">
        <v>109</v>
      </c>
      <c r="H114" s="4" t="s">
        <v>110</v>
      </c>
      <c r="I114" s="4"/>
      <c r="J114" s="4"/>
      <c r="K114" s="4">
        <v>209</v>
      </c>
      <c r="L114" s="4">
        <v>23</v>
      </c>
      <c r="M114" s="4">
        <v>3</v>
      </c>
      <c r="N114" s="4" t="s">
        <v>3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45">
      <c r="A115" s="4">
        <v>50</v>
      </c>
      <c r="B115" s="4">
        <v>0</v>
      </c>
      <c r="C115" s="4">
        <v>0</v>
      </c>
      <c r="D115" s="4">
        <v>1</v>
      </c>
      <c r="E115" s="4">
        <v>210</v>
      </c>
      <c r="F115" s="4">
        <f>ROUND(Source!X90,O115)</f>
        <v>69875.33</v>
      </c>
      <c r="G115" s="4" t="s">
        <v>111</v>
      </c>
      <c r="H115" s="4" t="s">
        <v>112</v>
      </c>
      <c r="I115" s="4"/>
      <c r="J115" s="4"/>
      <c r="K115" s="4">
        <v>210</v>
      </c>
      <c r="L115" s="4">
        <v>24</v>
      </c>
      <c r="M115" s="4">
        <v>3</v>
      </c>
      <c r="N115" s="4" t="s">
        <v>3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45">
      <c r="A116" s="4">
        <v>50</v>
      </c>
      <c r="B116" s="4">
        <v>0</v>
      </c>
      <c r="C116" s="4">
        <v>0</v>
      </c>
      <c r="D116" s="4">
        <v>1</v>
      </c>
      <c r="E116" s="4">
        <v>211</v>
      </c>
      <c r="F116" s="4">
        <f>ROUND(Source!Y90,O116)</f>
        <v>9982.19</v>
      </c>
      <c r="G116" s="4" t="s">
        <v>113</v>
      </c>
      <c r="H116" s="4" t="s">
        <v>114</v>
      </c>
      <c r="I116" s="4"/>
      <c r="J116" s="4"/>
      <c r="K116" s="4">
        <v>211</v>
      </c>
      <c r="L116" s="4">
        <v>25</v>
      </c>
      <c r="M116" s="4">
        <v>3</v>
      </c>
      <c r="N116" s="4" t="s">
        <v>3</v>
      </c>
      <c r="O116" s="4">
        <v>2</v>
      </c>
      <c r="P116" s="4"/>
      <c r="Q116" s="4"/>
      <c r="R116" s="4"/>
      <c r="S116" s="4"/>
      <c r="T116" s="4"/>
      <c r="U116" s="4"/>
      <c r="V116" s="4"/>
      <c r="W116" s="4"/>
    </row>
    <row r="117" spans="1:245">
      <c r="A117" s="4">
        <v>50</v>
      </c>
      <c r="B117" s="4">
        <v>0</v>
      </c>
      <c r="C117" s="4">
        <v>0</v>
      </c>
      <c r="D117" s="4">
        <v>1</v>
      </c>
      <c r="E117" s="4">
        <v>224</v>
      </c>
      <c r="F117" s="4">
        <f>ROUND(Source!AR90,O117)</f>
        <v>440399.62</v>
      </c>
      <c r="G117" s="4" t="s">
        <v>115</v>
      </c>
      <c r="H117" s="4" t="s">
        <v>116</v>
      </c>
      <c r="I117" s="4"/>
      <c r="J117" s="4"/>
      <c r="K117" s="4">
        <v>224</v>
      </c>
      <c r="L117" s="4">
        <v>26</v>
      </c>
      <c r="M117" s="4">
        <v>3</v>
      </c>
      <c r="N117" s="4" t="s">
        <v>3</v>
      </c>
      <c r="O117" s="4">
        <v>2</v>
      </c>
      <c r="P117" s="4"/>
      <c r="Q117" s="4"/>
      <c r="R117" s="4"/>
      <c r="S117" s="4"/>
      <c r="T117" s="4"/>
      <c r="U117" s="4"/>
      <c r="V117" s="4"/>
      <c r="W117" s="4"/>
    </row>
    <row r="118" spans="1:245">
      <c r="A118" s="4">
        <v>50</v>
      </c>
      <c r="B118" s="4">
        <v>1</v>
      </c>
      <c r="C118" s="4">
        <v>0</v>
      </c>
      <c r="D118" s="4">
        <v>2</v>
      </c>
      <c r="E118" s="4">
        <v>0</v>
      </c>
      <c r="F118" s="4">
        <f>ROUND(F117,O118)</f>
        <v>440399.62</v>
      </c>
      <c r="G118" s="4" t="s">
        <v>4</v>
      </c>
      <c r="H118" s="4" t="s">
        <v>117</v>
      </c>
      <c r="I118" s="4"/>
      <c r="J118" s="4"/>
      <c r="K118" s="4">
        <v>212</v>
      </c>
      <c r="L118" s="4">
        <v>27</v>
      </c>
      <c r="M118" s="4">
        <v>0</v>
      </c>
      <c r="N118" s="4" t="s">
        <v>3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245">
      <c r="A119" s="4">
        <v>50</v>
      </c>
      <c r="B119" s="4">
        <v>1</v>
      </c>
      <c r="C119" s="4">
        <v>0</v>
      </c>
      <c r="D119" s="4">
        <v>2</v>
      </c>
      <c r="E119" s="4">
        <v>0</v>
      </c>
      <c r="F119" s="4">
        <f>ROUND(F118*0.2,O119)</f>
        <v>88079.92</v>
      </c>
      <c r="G119" s="4" t="s">
        <v>23</v>
      </c>
      <c r="H119" s="4" t="s">
        <v>118</v>
      </c>
      <c r="I119" s="4"/>
      <c r="J119" s="4"/>
      <c r="K119" s="4">
        <v>212</v>
      </c>
      <c r="L119" s="4">
        <v>28</v>
      </c>
      <c r="M119" s="4">
        <v>0</v>
      </c>
      <c r="N119" s="4" t="s">
        <v>3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45">
      <c r="A120" s="4">
        <v>50</v>
      </c>
      <c r="B120" s="4">
        <v>1</v>
      </c>
      <c r="C120" s="4">
        <v>0</v>
      </c>
      <c r="D120" s="4">
        <v>2</v>
      </c>
      <c r="E120" s="4">
        <v>0</v>
      </c>
      <c r="F120" s="4">
        <f>ROUND(F118+F119,O120)</f>
        <v>528479.54</v>
      </c>
      <c r="G120" s="4" t="s">
        <v>27</v>
      </c>
      <c r="H120" s="4" t="s">
        <v>119</v>
      </c>
      <c r="I120" s="4"/>
      <c r="J120" s="4"/>
      <c r="K120" s="4">
        <v>212</v>
      </c>
      <c r="L120" s="4">
        <v>29</v>
      </c>
      <c r="M120" s="4">
        <v>0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2" spans="1:245">
      <c r="A122" s="1">
        <v>4</v>
      </c>
      <c r="B122" s="1">
        <v>1</v>
      </c>
      <c r="C122" s="1"/>
      <c r="D122" s="1">
        <f>ROW(A133)</f>
        <v>133</v>
      </c>
      <c r="E122" s="1"/>
      <c r="F122" s="1" t="s">
        <v>14</v>
      </c>
      <c r="G122" s="1" t="s">
        <v>158</v>
      </c>
      <c r="H122" s="1" t="s">
        <v>3</v>
      </c>
      <c r="I122" s="1">
        <v>0</v>
      </c>
      <c r="J122" s="1"/>
      <c r="K122" s="1">
        <v>0</v>
      </c>
      <c r="L122" s="1"/>
      <c r="M122" s="1"/>
      <c r="N122" s="1"/>
      <c r="O122" s="1"/>
      <c r="P122" s="1"/>
      <c r="Q122" s="1"/>
      <c r="R122" s="1"/>
      <c r="S122" s="1"/>
      <c r="T122" s="1"/>
      <c r="U122" s="1" t="s">
        <v>3</v>
      </c>
      <c r="V122" s="1">
        <v>0</v>
      </c>
      <c r="W122" s="1"/>
      <c r="X122" s="1"/>
      <c r="Y122" s="1"/>
      <c r="Z122" s="1"/>
      <c r="AA122" s="1"/>
      <c r="AB122" s="1" t="s">
        <v>3</v>
      </c>
      <c r="AC122" s="1" t="s">
        <v>3</v>
      </c>
      <c r="AD122" s="1" t="s">
        <v>3</v>
      </c>
      <c r="AE122" s="1" t="s">
        <v>3</v>
      </c>
      <c r="AF122" s="1" t="s">
        <v>3</v>
      </c>
      <c r="AG122" s="1" t="s">
        <v>3</v>
      </c>
      <c r="AH122" s="1"/>
      <c r="AI122" s="1"/>
      <c r="AJ122" s="1"/>
      <c r="AK122" s="1"/>
      <c r="AL122" s="1"/>
      <c r="AM122" s="1"/>
      <c r="AN122" s="1"/>
      <c r="AO122" s="1"/>
      <c r="AP122" s="1" t="s">
        <v>3</v>
      </c>
      <c r="AQ122" s="1" t="s">
        <v>3</v>
      </c>
      <c r="AR122" s="1" t="s">
        <v>3</v>
      </c>
      <c r="AS122" s="1"/>
      <c r="AT122" s="1"/>
      <c r="AU122" s="1"/>
      <c r="AV122" s="1"/>
      <c r="AW122" s="1"/>
      <c r="AX122" s="1"/>
      <c r="AY122" s="1"/>
      <c r="AZ122" s="1" t="s">
        <v>3</v>
      </c>
      <c r="BA122" s="1"/>
      <c r="BB122" s="1" t="s">
        <v>3</v>
      </c>
      <c r="BC122" s="1" t="s">
        <v>3</v>
      </c>
      <c r="BD122" s="1" t="s">
        <v>3</v>
      </c>
      <c r="BE122" s="1" t="s">
        <v>3</v>
      </c>
      <c r="BF122" s="1" t="s">
        <v>3</v>
      </c>
      <c r="BG122" s="1" t="s">
        <v>3</v>
      </c>
      <c r="BH122" s="1" t="s">
        <v>3</v>
      </c>
      <c r="BI122" s="1" t="s">
        <v>3</v>
      </c>
      <c r="BJ122" s="1" t="s">
        <v>3</v>
      </c>
      <c r="BK122" s="1" t="s">
        <v>3</v>
      </c>
      <c r="BL122" s="1" t="s">
        <v>3</v>
      </c>
      <c r="BM122" s="1" t="s">
        <v>3</v>
      </c>
      <c r="BN122" s="1" t="s">
        <v>3</v>
      </c>
      <c r="BO122" s="1" t="s">
        <v>3</v>
      </c>
      <c r="BP122" s="1" t="s">
        <v>3</v>
      </c>
      <c r="BQ122" s="1"/>
      <c r="BR122" s="1"/>
      <c r="BS122" s="1"/>
      <c r="BT122" s="1"/>
      <c r="BU122" s="1"/>
      <c r="BV122" s="1"/>
      <c r="BW122" s="1"/>
      <c r="BX122" s="1">
        <v>0</v>
      </c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>
        <v>0</v>
      </c>
    </row>
    <row r="124" spans="1:245">
      <c r="A124" s="2">
        <v>52</v>
      </c>
      <c r="B124" s="2">
        <f t="shared" ref="B124:G124" si="111">B133</f>
        <v>1</v>
      </c>
      <c r="C124" s="2">
        <f t="shared" si="111"/>
        <v>4</v>
      </c>
      <c r="D124" s="2">
        <f t="shared" si="111"/>
        <v>122</v>
      </c>
      <c r="E124" s="2">
        <f t="shared" si="111"/>
        <v>0</v>
      </c>
      <c r="F124" s="2" t="str">
        <f t="shared" si="111"/>
        <v>Новый раздел</v>
      </c>
      <c r="G124" s="2" t="str">
        <f t="shared" si="111"/>
        <v>Посадка деревьев лиственных - 4шт.</v>
      </c>
      <c r="H124" s="2"/>
      <c r="I124" s="2"/>
      <c r="J124" s="2"/>
      <c r="K124" s="2"/>
      <c r="L124" s="2"/>
      <c r="M124" s="2"/>
      <c r="N124" s="2"/>
      <c r="O124" s="2">
        <f t="shared" ref="O124:AT124" si="112">O133</f>
        <v>20292.05</v>
      </c>
      <c r="P124" s="2">
        <f t="shared" si="112"/>
        <v>14215.11</v>
      </c>
      <c r="Q124" s="2">
        <f t="shared" si="112"/>
        <v>797.07</v>
      </c>
      <c r="R124" s="2">
        <f t="shared" si="112"/>
        <v>231.48</v>
      </c>
      <c r="S124" s="2">
        <f t="shared" si="112"/>
        <v>5279.87</v>
      </c>
      <c r="T124" s="2">
        <f t="shared" si="112"/>
        <v>0</v>
      </c>
      <c r="U124" s="2">
        <f t="shared" si="112"/>
        <v>26.612344999999998</v>
      </c>
      <c r="V124" s="2">
        <f t="shared" si="112"/>
        <v>0</v>
      </c>
      <c r="W124" s="2">
        <f t="shared" si="112"/>
        <v>0</v>
      </c>
      <c r="X124" s="2">
        <f t="shared" si="112"/>
        <v>3695.91</v>
      </c>
      <c r="Y124" s="2">
        <f t="shared" si="112"/>
        <v>527.99</v>
      </c>
      <c r="Z124" s="2">
        <f t="shared" si="112"/>
        <v>0</v>
      </c>
      <c r="AA124" s="2">
        <f t="shared" si="112"/>
        <v>0</v>
      </c>
      <c r="AB124" s="2">
        <f t="shared" si="112"/>
        <v>20292.05</v>
      </c>
      <c r="AC124" s="2">
        <f t="shared" si="112"/>
        <v>14215.11</v>
      </c>
      <c r="AD124" s="2">
        <f t="shared" si="112"/>
        <v>797.07</v>
      </c>
      <c r="AE124" s="2">
        <f t="shared" si="112"/>
        <v>231.48</v>
      </c>
      <c r="AF124" s="2">
        <f t="shared" si="112"/>
        <v>5279.87</v>
      </c>
      <c r="AG124" s="2">
        <f t="shared" si="112"/>
        <v>0</v>
      </c>
      <c r="AH124" s="2">
        <f t="shared" si="112"/>
        <v>26.612344999999998</v>
      </c>
      <c r="AI124" s="2">
        <f t="shared" si="112"/>
        <v>0</v>
      </c>
      <c r="AJ124" s="2">
        <f t="shared" si="112"/>
        <v>0</v>
      </c>
      <c r="AK124" s="2">
        <f t="shared" si="112"/>
        <v>3695.91</v>
      </c>
      <c r="AL124" s="2">
        <f t="shared" si="112"/>
        <v>527.99</v>
      </c>
      <c r="AM124" s="2">
        <f t="shared" si="112"/>
        <v>0</v>
      </c>
      <c r="AN124" s="2">
        <f t="shared" si="112"/>
        <v>0</v>
      </c>
      <c r="AO124" s="2">
        <f t="shared" si="112"/>
        <v>0</v>
      </c>
      <c r="AP124" s="2">
        <f t="shared" si="112"/>
        <v>0</v>
      </c>
      <c r="AQ124" s="2">
        <f t="shared" si="112"/>
        <v>0</v>
      </c>
      <c r="AR124" s="2">
        <f t="shared" si="112"/>
        <v>24765.95</v>
      </c>
      <c r="AS124" s="2">
        <f t="shared" si="112"/>
        <v>0</v>
      </c>
      <c r="AT124" s="2">
        <f t="shared" si="112"/>
        <v>0</v>
      </c>
      <c r="AU124" s="2">
        <f t="shared" ref="AU124:BZ124" si="113">AU133</f>
        <v>24765.95</v>
      </c>
      <c r="AV124" s="2">
        <f t="shared" si="113"/>
        <v>14215.11</v>
      </c>
      <c r="AW124" s="2">
        <f t="shared" si="113"/>
        <v>14215.11</v>
      </c>
      <c r="AX124" s="2">
        <f t="shared" si="113"/>
        <v>0</v>
      </c>
      <c r="AY124" s="2">
        <f t="shared" si="113"/>
        <v>14215.11</v>
      </c>
      <c r="AZ124" s="2">
        <f t="shared" si="113"/>
        <v>0</v>
      </c>
      <c r="BA124" s="2">
        <f t="shared" si="113"/>
        <v>0</v>
      </c>
      <c r="BB124" s="2">
        <f t="shared" si="113"/>
        <v>0</v>
      </c>
      <c r="BC124" s="2">
        <f t="shared" si="113"/>
        <v>0</v>
      </c>
      <c r="BD124" s="2">
        <f t="shared" si="113"/>
        <v>0</v>
      </c>
      <c r="BE124" s="2">
        <f t="shared" si="113"/>
        <v>0</v>
      </c>
      <c r="BF124" s="2">
        <f t="shared" si="113"/>
        <v>0</v>
      </c>
      <c r="BG124" s="2">
        <f t="shared" si="113"/>
        <v>0</v>
      </c>
      <c r="BH124" s="2">
        <f t="shared" si="113"/>
        <v>0</v>
      </c>
      <c r="BI124" s="2">
        <f t="shared" si="113"/>
        <v>0</v>
      </c>
      <c r="BJ124" s="2">
        <f t="shared" si="113"/>
        <v>0</v>
      </c>
      <c r="BK124" s="2">
        <f t="shared" si="113"/>
        <v>0</v>
      </c>
      <c r="BL124" s="2">
        <f t="shared" si="113"/>
        <v>0</v>
      </c>
      <c r="BM124" s="2">
        <f t="shared" si="113"/>
        <v>0</v>
      </c>
      <c r="BN124" s="2">
        <f t="shared" si="113"/>
        <v>0</v>
      </c>
      <c r="BO124" s="2">
        <f t="shared" si="113"/>
        <v>0</v>
      </c>
      <c r="BP124" s="2">
        <f t="shared" si="113"/>
        <v>0</v>
      </c>
      <c r="BQ124" s="2">
        <f t="shared" si="113"/>
        <v>0</v>
      </c>
      <c r="BR124" s="2">
        <f t="shared" si="113"/>
        <v>0</v>
      </c>
      <c r="BS124" s="2">
        <f t="shared" si="113"/>
        <v>0</v>
      </c>
      <c r="BT124" s="2">
        <f t="shared" si="113"/>
        <v>0</v>
      </c>
      <c r="BU124" s="2">
        <f t="shared" si="113"/>
        <v>0</v>
      </c>
      <c r="BV124" s="2">
        <f t="shared" si="113"/>
        <v>0</v>
      </c>
      <c r="BW124" s="2">
        <f t="shared" si="113"/>
        <v>0</v>
      </c>
      <c r="BX124" s="2">
        <f t="shared" si="113"/>
        <v>0</v>
      </c>
      <c r="BY124" s="2">
        <f t="shared" si="113"/>
        <v>0</v>
      </c>
      <c r="BZ124" s="2">
        <f t="shared" si="113"/>
        <v>0</v>
      </c>
      <c r="CA124" s="2">
        <f t="shared" ref="CA124:DF124" si="114">CA133</f>
        <v>24765.95</v>
      </c>
      <c r="CB124" s="2">
        <f t="shared" si="114"/>
        <v>0</v>
      </c>
      <c r="CC124" s="2">
        <f t="shared" si="114"/>
        <v>0</v>
      </c>
      <c r="CD124" s="2">
        <f t="shared" si="114"/>
        <v>24765.95</v>
      </c>
      <c r="CE124" s="2">
        <f t="shared" si="114"/>
        <v>14215.11</v>
      </c>
      <c r="CF124" s="2">
        <f t="shared" si="114"/>
        <v>14215.11</v>
      </c>
      <c r="CG124" s="2">
        <f t="shared" si="114"/>
        <v>0</v>
      </c>
      <c r="CH124" s="2">
        <f t="shared" si="114"/>
        <v>14215.11</v>
      </c>
      <c r="CI124" s="2">
        <f t="shared" si="114"/>
        <v>0</v>
      </c>
      <c r="CJ124" s="2">
        <f t="shared" si="114"/>
        <v>0</v>
      </c>
      <c r="CK124" s="2">
        <f t="shared" si="114"/>
        <v>0</v>
      </c>
      <c r="CL124" s="2">
        <f t="shared" si="114"/>
        <v>0</v>
      </c>
      <c r="CM124" s="2">
        <f t="shared" si="114"/>
        <v>0</v>
      </c>
      <c r="CN124" s="2">
        <f t="shared" si="114"/>
        <v>0</v>
      </c>
      <c r="CO124" s="2">
        <f t="shared" si="114"/>
        <v>0</v>
      </c>
      <c r="CP124" s="2">
        <f t="shared" si="114"/>
        <v>0</v>
      </c>
      <c r="CQ124" s="2">
        <f t="shared" si="114"/>
        <v>0</v>
      </c>
      <c r="CR124" s="2">
        <f t="shared" si="114"/>
        <v>0</v>
      </c>
      <c r="CS124" s="2">
        <f t="shared" si="114"/>
        <v>0</v>
      </c>
      <c r="CT124" s="2">
        <f t="shared" si="114"/>
        <v>0</v>
      </c>
      <c r="CU124" s="2">
        <f t="shared" si="114"/>
        <v>0</v>
      </c>
      <c r="CV124" s="2">
        <f t="shared" si="114"/>
        <v>0</v>
      </c>
      <c r="CW124" s="2">
        <f t="shared" si="114"/>
        <v>0</v>
      </c>
      <c r="CX124" s="2">
        <f t="shared" si="114"/>
        <v>0</v>
      </c>
      <c r="CY124" s="2">
        <f t="shared" si="114"/>
        <v>0</v>
      </c>
      <c r="CZ124" s="2">
        <f t="shared" si="114"/>
        <v>0</v>
      </c>
      <c r="DA124" s="2">
        <f t="shared" si="114"/>
        <v>0</v>
      </c>
      <c r="DB124" s="2">
        <f t="shared" si="114"/>
        <v>0</v>
      </c>
      <c r="DC124" s="2">
        <f t="shared" si="114"/>
        <v>0</v>
      </c>
      <c r="DD124" s="2">
        <f t="shared" si="114"/>
        <v>0</v>
      </c>
      <c r="DE124" s="2">
        <f t="shared" si="114"/>
        <v>0</v>
      </c>
      <c r="DF124" s="2">
        <f t="shared" si="114"/>
        <v>0</v>
      </c>
      <c r="DG124" s="3">
        <f t="shared" ref="DG124:EL124" si="115">DG133</f>
        <v>0</v>
      </c>
      <c r="DH124" s="3">
        <f t="shared" si="115"/>
        <v>0</v>
      </c>
      <c r="DI124" s="3">
        <f t="shared" si="115"/>
        <v>0</v>
      </c>
      <c r="DJ124" s="3">
        <f t="shared" si="115"/>
        <v>0</v>
      </c>
      <c r="DK124" s="3">
        <f t="shared" si="115"/>
        <v>0</v>
      </c>
      <c r="DL124" s="3">
        <f t="shared" si="115"/>
        <v>0</v>
      </c>
      <c r="DM124" s="3">
        <f t="shared" si="115"/>
        <v>0</v>
      </c>
      <c r="DN124" s="3">
        <f t="shared" si="115"/>
        <v>0</v>
      </c>
      <c r="DO124" s="3">
        <f t="shared" si="115"/>
        <v>0</v>
      </c>
      <c r="DP124" s="3">
        <f t="shared" si="115"/>
        <v>0</v>
      </c>
      <c r="DQ124" s="3">
        <f t="shared" si="115"/>
        <v>0</v>
      </c>
      <c r="DR124" s="3">
        <f t="shared" si="115"/>
        <v>0</v>
      </c>
      <c r="DS124" s="3">
        <f t="shared" si="115"/>
        <v>0</v>
      </c>
      <c r="DT124" s="3">
        <f t="shared" si="115"/>
        <v>0</v>
      </c>
      <c r="DU124" s="3">
        <f t="shared" si="115"/>
        <v>0</v>
      </c>
      <c r="DV124" s="3">
        <f t="shared" si="115"/>
        <v>0</v>
      </c>
      <c r="DW124" s="3">
        <f t="shared" si="115"/>
        <v>0</v>
      </c>
      <c r="DX124" s="3">
        <f t="shared" si="115"/>
        <v>0</v>
      </c>
      <c r="DY124" s="3">
        <f t="shared" si="115"/>
        <v>0</v>
      </c>
      <c r="DZ124" s="3">
        <f t="shared" si="115"/>
        <v>0</v>
      </c>
      <c r="EA124" s="3">
        <f t="shared" si="115"/>
        <v>0</v>
      </c>
      <c r="EB124" s="3">
        <f t="shared" si="115"/>
        <v>0</v>
      </c>
      <c r="EC124" s="3">
        <f t="shared" si="115"/>
        <v>0</v>
      </c>
      <c r="ED124" s="3">
        <f t="shared" si="115"/>
        <v>0</v>
      </c>
      <c r="EE124" s="3">
        <f t="shared" si="115"/>
        <v>0</v>
      </c>
      <c r="EF124" s="3">
        <f t="shared" si="115"/>
        <v>0</v>
      </c>
      <c r="EG124" s="3">
        <f t="shared" si="115"/>
        <v>0</v>
      </c>
      <c r="EH124" s="3">
        <f t="shared" si="115"/>
        <v>0</v>
      </c>
      <c r="EI124" s="3">
        <f t="shared" si="115"/>
        <v>0</v>
      </c>
      <c r="EJ124" s="3">
        <f t="shared" si="115"/>
        <v>0</v>
      </c>
      <c r="EK124" s="3">
        <f t="shared" si="115"/>
        <v>0</v>
      </c>
      <c r="EL124" s="3">
        <f t="shared" si="115"/>
        <v>0</v>
      </c>
      <c r="EM124" s="3">
        <f t="shared" ref="EM124:FR124" si="116">EM133</f>
        <v>0</v>
      </c>
      <c r="EN124" s="3">
        <f t="shared" si="116"/>
        <v>0</v>
      </c>
      <c r="EO124" s="3">
        <f t="shared" si="116"/>
        <v>0</v>
      </c>
      <c r="EP124" s="3">
        <f t="shared" si="116"/>
        <v>0</v>
      </c>
      <c r="EQ124" s="3">
        <f t="shared" si="116"/>
        <v>0</v>
      </c>
      <c r="ER124" s="3">
        <f t="shared" si="116"/>
        <v>0</v>
      </c>
      <c r="ES124" s="3">
        <f t="shared" si="116"/>
        <v>0</v>
      </c>
      <c r="ET124" s="3">
        <f t="shared" si="116"/>
        <v>0</v>
      </c>
      <c r="EU124" s="3">
        <f t="shared" si="116"/>
        <v>0</v>
      </c>
      <c r="EV124" s="3">
        <f t="shared" si="116"/>
        <v>0</v>
      </c>
      <c r="EW124" s="3">
        <f t="shared" si="116"/>
        <v>0</v>
      </c>
      <c r="EX124" s="3">
        <f t="shared" si="116"/>
        <v>0</v>
      </c>
      <c r="EY124" s="3">
        <f t="shared" si="116"/>
        <v>0</v>
      </c>
      <c r="EZ124" s="3">
        <f t="shared" si="116"/>
        <v>0</v>
      </c>
      <c r="FA124" s="3">
        <f t="shared" si="116"/>
        <v>0</v>
      </c>
      <c r="FB124" s="3">
        <f t="shared" si="116"/>
        <v>0</v>
      </c>
      <c r="FC124" s="3">
        <f t="shared" si="116"/>
        <v>0</v>
      </c>
      <c r="FD124" s="3">
        <f t="shared" si="116"/>
        <v>0</v>
      </c>
      <c r="FE124" s="3">
        <f t="shared" si="116"/>
        <v>0</v>
      </c>
      <c r="FF124" s="3">
        <f t="shared" si="116"/>
        <v>0</v>
      </c>
      <c r="FG124" s="3">
        <f t="shared" si="116"/>
        <v>0</v>
      </c>
      <c r="FH124" s="3">
        <f t="shared" si="116"/>
        <v>0</v>
      </c>
      <c r="FI124" s="3">
        <f t="shared" si="116"/>
        <v>0</v>
      </c>
      <c r="FJ124" s="3">
        <f t="shared" si="116"/>
        <v>0</v>
      </c>
      <c r="FK124" s="3">
        <f t="shared" si="116"/>
        <v>0</v>
      </c>
      <c r="FL124" s="3">
        <f t="shared" si="116"/>
        <v>0</v>
      </c>
      <c r="FM124" s="3">
        <f t="shared" si="116"/>
        <v>0</v>
      </c>
      <c r="FN124" s="3">
        <f t="shared" si="116"/>
        <v>0</v>
      </c>
      <c r="FO124" s="3">
        <f t="shared" si="116"/>
        <v>0</v>
      </c>
      <c r="FP124" s="3">
        <f t="shared" si="116"/>
        <v>0</v>
      </c>
      <c r="FQ124" s="3">
        <f t="shared" si="116"/>
        <v>0</v>
      </c>
      <c r="FR124" s="3">
        <f t="shared" si="116"/>
        <v>0</v>
      </c>
      <c r="FS124" s="3">
        <f t="shared" ref="FS124:GX124" si="117">FS133</f>
        <v>0</v>
      </c>
      <c r="FT124" s="3">
        <f t="shared" si="117"/>
        <v>0</v>
      </c>
      <c r="FU124" s="3">
        <f t="shared" si="117"/>
        <v>0</v>
      </c>
      <c r="FV124" s="3">
        <f t="shared" si="117"/>
        <v>0</v>
      </c>
      <c r="FW124" s="3">
        <f t="shared" si="117"/>
        <v>0</v>
      </c>
      <c r="FX124" s="3">
        <f t="shared" si="117"/>
        <v>0</v>
      </c>
      <c r="FY124" s="3">
        <f t="shared" si="117"/>
        <v>0</v>
      </c>
      <c r="FZ124" s="3">
        <f t="shared" si="117"/>
        <v>0</v>
      </c>
      <c r="GA124" s="3">
        <f t="shared" si="117"/>
        <v>0</v>
      </c>
      <c r="GB124" s="3">
        <f t="shared" si="117"/>
        <v>0</v>
      </c>
      <c r="GC124" s="3">
        <f t="shared" si="117"/>
        <v>0</v>
      </c>
      <c r="GD124" s="3">
        <f t="shared" si="117"/>
        <v>0</v>
      </c>
      <c r="GE124" s="3">
        <f t="shared" si="117"/>
        <v>0</v>
      </c>
      <c r="GF124" s="3">
        <f t="shared" si="117"/>
        <v>0</v>
      </c>
      <c r="GG124" s="3">
        <f t="shared" si="117"/>
        <v>0</v>
      </c>
      <c r="GH124" s="3">
        <f t="shared" si="117"/>
        <v>0</v>
      </c>
      <c r="GI124" s="3">
        <f t="shared" si="117"/>
        <v>0</v>
      </c>
      <c r="GJ124" s="3">
        <f t="shared" si="117"/>
        <v>0</v>
      </c>
      <c r="GK124" s="3">
        <f t="shared" si="117"/>
        <v>0</v>
      </c>
      <c r="GL124" s="3">
        <f t="shared" si="117"/>
        <v>0</v>
      </c>
      <c r="GM124" s="3">
        <f t="shared" si="117"/>
        <v>0</v>
      </c>
      <c r="GN124" s="3">
        <f t="shared" si="117"/>
        <v>0</v>
      </c>
      <c r="GO124" s="3">
        <f t="shared" si="117"/>
        <v>0</v>
      </c>
      <c r="GP124" s="3">
        <f t="shared" si="117"/>
        <v>0</v>
      </c>
      <c r="GQ124" s="3">
        <f t="shared" si="117"/>
        <v>0</v>
      </c>
      <c r="GR124" s="3">
        <f t="shared" si="117"/>
        <v>0</v>
      </c>
      <c r="GS124" s="3">
        <f t="shared" si="117"/>
        <v>0</v>
      </c>
      <c r="GT124" s="3">
        <f t="shared" si="117"/>
        <v>0</v>
      </c>
      <c r="GU124" s="3">
        <f t="shared" si="117"/>
        <v>0</v>
      </c>
      <c r="GV124" s="3">
        <f t="shared" si="117"/>
        <v>0</v>
      </c>
      <c r="GW124" s="3">
        <f t="shared" si="117"/>
        <v>0</v>
      </c>
      <c r="GX124" s="3">
        <f t="shared" si="117"/>
        <v>0</v>
      </c>
    </row>
    <row r="126" spans="1:245">
      <c r="A126">
        <v>17</v>
      </c>
      <c r="B126">
        <v>1</v>
      </c>
      <c r="C126">
        <f>ROW(SmtRes!A46)</f>
        <v>46</v>
      </c>
      <c r="D126">
        <f>ROW(EtalonRes!A38)</f>
        <v>38</v>
      </c>
      <c r="E126" t="s">
        <v>159</v>
      </c>
      <c r="F126" t="s">
        <v>160</v>
      </c>
      <c r="G126" t="s">
        <v>161</v>
      </c>
      <c r="H126" t="s">
        <v>124</v>
      </c>
      <c r="I126">
        <f>ROUND((4*0.6)/10,9)</f>
        <v>0.24</v>
      </c>
      <c r="J126">
        <v>0</v>
      </c>
      <c r="O126">
        <f t="shared" ref="O126:O131" si="118">ROUND(CP126,2)</f>
        <v>3156.34</v>
      </c>
      <c r="P126">
        <f t="shared" ref="P126:P131" si="119">ROUND(CQ126*I126,2)</f>
        <v>1529.87</v>
      </c>
      <c r="Q126">
        <f t="shared" ref="Q126:Q131" si="120">ROUND(CR126*I126,2)</f>
        <v>132.54</v>
      </c>
      <c r="R126">
        <f t="shared" ref="R126:R131" si="121">ROUND(CS126*I126,2)</f>
        <v>73.19</v>
      </c>
      <c r="S126">
        <f t="shared" ref="S126:S131" si="122">ROUND(CT126*I126,2)</f>
        <v>1493.93</v>
      </c>
      <c r="T126">
        <f t="shared" ref="T126:T131" si="123">ROUND(CU126*I126,2)</f>
        <v>0</v>
      </c>
      <c r="U126">
        <f t="shared" ref="U126:U131" si="124">CV126*I126</f>
        <v>8.2655999999999992</v>
      </c>
      <c r="V126">
        <f t="shared" ref="V126:V131" si="125">CW126*I126</f>
        <v>0</v>
      </c>
      <c r="W126">
        <f t="shared" ref="W126:W131" si="126">ROUND(CX126*I126,2)</f>
        <v>0</v>
      </c>
      <c r="X126">
        <f t="shared" ref="X126:Y131" si="127">ROUND(CY126,2)</f>
        <v>1045.75</v>
      </c>
      <c r="Y126">
        <f t="shared" si="127"/>
        <v>149.38999999999999</v>
      </c>
      <c r="AA126">
        <v>42225948</v>
      </c>
      <c r="AB126">
        <f t="shared" ref="AB126:AB131" si="128">ROUND((AC126+AD126+AF126),6)</f>
        <v>13151.41</v>
      </c>
      <c r="AC126">
        <f t="shared" ref="AC126:AC131" si="129">ROUND((ES126),6)</f>
        <v>6374.45</v>
      </c>
      <c r="AD126">
        <f t="shared" ref="AD126:AD131" si="130">ROUND((((ET126)-(EU126))+AE126),6)</f>
        <v>552.27</v>
      </c>
      <c r="AE126">
        <f t="shared" ref="AE126:AF131" si="131">ROUND((EU126),6)</f>
        <v>304.97000000000003</v>
      </c>
      <c r="AF126">
        <f t="shared" si="131"/>
        <v>6224.69</v>
      </c>
      <c r="AG126">
        <f t="shared" ref="AG126:AG131" si="132">ROUND((AP126),6)</f>
        <v>0</v>
      </c>
      <c r="AH126">
        <f t="shared" ref="AH126:AI131" si="133">(EW126)</f>
        <v>34.44</v>
      </c>
      <c r="AI126">
        <f t="shared" si="133"/>
        <v>0</v>
      </c>
      <c r="AJ126">
        <f t="shared" ref="AJ126:AJ131" si="134">(AS126)</f>
        <v>0</v>
      </c>
      <c r="AK126">
        <v>13151.41</v>
      </c>
      <c r="AL126">
        <v>6374.45</v>
      </c>
      <c r="AM126">
        <v>552.27</v>
      </c>
      <c r="AN126">
        <v>304.97000000000003</v>
      </c>
      <c r="AO126">
        <v>6224.69</v>
      </c>
      <c r="AP126">
        <v>0</v>
      </c>
      <c r="AQ126">
        <v>34.44</v>
      </c>
      <c r="AR126">
        <v>0</v>
      </c>
      <c r="AS126">
        <v>0</v>
      </c>
      <c r="AT126">
        <v>70</v>
      </c>
      <c r="AU126">
        <v>10</v>
      </c>
      <c r="AV126">
        <v>1</v>
      </c>
      <c r="AW126">
        <v>1</v>
      </c>
      <c r="AZ126">
        <v>1</v>
      </c>
      <c r="BA126">
        <v>1</v>
      </c>
      <c r="BB126">
        <v>1</v>
      </c>
      <c r="BC126">
        <v>1</v>
      </c>
      <c r="BD126" t="s">
        <v>3</v>
      </c>
      <c r="BE126" t="s">
        <v>3</v>
      </c>
      <c r="BF126" t="s">
        <v>3</v>
      </c>
      <c r="BG126" t="s">
        <v>3</v>
      </c>
      <c r="BH126">
        <v>0</v>
      </c>
      <c r="BI126">
        <v>4</v>
      </c>
      <c r="BJ126" t="s">
        <v>162</v>
      </c>
      <c r="BM126">
        <v>0</v>
      </c>
      <c r="BN126">
        <v>0</v>
      </c>
      <c r="BO126" t="s">
        <v>3</v>
      </c>
      <c r="BP126">
        <v>0</v>
      </c>
      <c r="BQ126">
        <v>1</v>
      </c>
      <c r="BR126">
        <v>0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 t="s">
        <v>3</v>
      </c>
      <c r="BZ126">
        <v>70</v>
      </c>
      <c r="CA126">
        <v>10</v>
      </c>
      <c r="CE126">
        <v>0</v>
      </c>
      <c r="CF126">
        <v>0</v>
      </c>
      <c r="CG126">
        <v>0</v>
      </c>
      <c r="CM126">
        <v>0</v>
      </c>
      <c r="CN126" t="s">
        <v>3</v>
      </c>
      <c r="CO126">
        <v>0</v>
      </c>
      <c r="CP126">
        <f t="shared" ref="CP126:CP131" si="135">(P126+Q126+S126)</f>
        <v>3156.34</v>
      </c>
      <c r="CQ126">
        <f t="shared" ref="CQ126:CQ131" si="136">(AC126*BC126*AW126)</f>
        <v>6374.45</v>
      </c>
      <c r="CR126">
        <f t="shared" ref="CR126:CR131" si="137">((((ET126)*BB126-(EU126)*BS126)+AE126*BS126)*AV126)</f>
        <v>552.27</v>
      </c>
      <c r="CS126">
        <f t="shared" ref="CS126:CS131" si="138">(AE126*BS126*AV126)</f>
        <v>304.97000000000003</v>
      </c>
      <c r="CT126">
        <f t="shared" ref="CT126:CT131" si="139">(AF126*BA126*AV126)</f>
        <v>6224.69</v>
      </c>
      <c r="CU126">
        <f t="shared" ref="CU126:CU131" si="140">AG126</f>
        <v>0</v>
      </c>
      <c r="CV126">
        <f t="shared" ref="CV126:CV131" si="141">(AH126*AV126)</f>
        <v>34.44</v>
      </c>
      <c r="CW126">
        <f t="shared" ref="CW126:CX131" si="142">AI126</f>
        <v>0</v>
      </c>
      <c r="CX126">
        <f t="shared" si="142"/>
        <v>0</v>
      </c>
      <c r="CY126">
        <f t="shared" ref="CY126:CY131" si="143">((S126*BZ126)/100)</f>
        <v>1045.751</v>
      </c>
      <c r="CZ126">
        <f t="shared" ref="CZ126:CZ131" si="144">((S126*CA126)/100)</f>
        <v>149.393</v>
      </c>
      <c r="DC126" t="s">
        <v>3</v>
      </c>
      <c r="DD126" t="s">
        <v>3</v>
      </c>
      <c r="DE126" t="s">
        <v>3</v>
      </c>
      <c r="DF126" t="s">
        <v>3</v>
      </c>
      <c r="DG126" t="s">
        <v>3</v>
      </c>
      <c r="DH126" t="s">
        <v>3</v>
      </c>
      <c r="DI126" t="s">
        <v>3</v>
      </c>
      <c r="DJ126" t="s">
        <v>3</v>
      </c>
      <c r="DK126" t="s">
        <v>3</v>
      </c>
      <c r="DL126" t="s">
        <v>3</v>
      </c>
      <c r="DM126" t="s">
        <v>3</v>
      </c>
      <c r="DN126">
        <v>0</v>
      </c>
      <c r="DO126">
        <v>0</v>
      </c>
      <c r="DP126">
        <v>1</v>
      </c>
      <c r="DQ126">
        <v>1</v>
      </c>
      <c r="DU126">
        <v>1013</v>
      </c>
      <c r="DV126" t="s">
        <v>124</v>
      </c>
      <c r="DW126" t="s">
        <v>124</v>
      </c>
      <c r="DX126">
        <v>1</v>
      </c>
      <c r="EE126">
        <v>40050625</v>
      </c>
      <c r="EF126">
        <v>1</v>
      </c>
      <c r="EG126" t="s">
        <v>20</v>
      </c>
      <c r="EH126">
        <v>0</v>
      </c>
      <c r="EI126" t="s">
        <v>3</v>
      </c>
      <c r="EJ126">
        <v>4</v>
      </c>
      <c r="EK126">
        <v>0</v>
      </c>
      <c r="EL126" t="s">
        <v>21</v>
      </c>
      <c r="EM126" t="s">
        <v>22</v>
      </c>
      <c r="EO126" t="s">
        <v>3</v>
      </c>
      <c r="EQ126">
        <v>0</v>
      </c>
      <c r="ER126">
        <v>13151.41</v>
      </c>
      <c r="ES126">
        <v>6374.45</v>
      </c>
      <c r="ET126">
        <v>552.27</v>
      </c>
      <c r="EU126">
        <v>304.97000000000003</v>
      </c>
      <c r="EV126">
        <v>6224.69</v>
      </c>
      <c r="EW126">
        <v>34.44</v>
      </c>
      <c r="EX126">
        <v>0</v>
      </c>
      <c r="EY126">
        <v>0</v>
      </c>
      <c r="FQ126">
        <v>0</v>
      </c>
      <c r="FR126">
        <f t="shared" ref="FR126:FR131" si="145">ROUND(IF(AND(BH126=3,BI126=3),P126,0),2)</f>
        <v>0</v>
      </c>
      <c r="FS126">
        <v>0</v>
      </c>
      <c r="FX126">
        <v>70</v>
      </c>
      <c r="FY126">
        <v>10</v>
      </c>
      <c r="GA126" t="s">
        <v>3</v>
      </c>
      <c r="GD126">
        <v>0</v>
      </c>
      <c r="GF126">
        <v>-1796127192</v>
      </c>
      <c r="GG126">
        <v>2</v>
      </c>
      <c r="GH126">
        <v>1</v>
      </c>
      <c r="GI126">
        <v>-2</v>
      </c>
      <c r="GJ126">
        <v>0</v>
      </c>
      <c r="GK126">
        <f>ROUND(R126*(R12)/100,2)</f>
        <v>79.05</v>
      </c>
      <c r="GL126">
        <f t="shared" ref="GL126:GL131" si="146">ROUND(IF(AND(BH126=3,BI126=3,FS126&lt;&gt;0),P126,0),2)</f>
        <v>0</v>
      </c>
      <c r="GM126">
        <f t="shared" ref="GM126:GM131" si="147">ROUND(O126+X126+Y126+GK126,2)+GX126</f>
        <v>4430.53</v>
      </c>
      <c r="GN126">
        <f t="shared" ref="GN126:GN131" si="148">IF(OR(BI126=0,BI126=1),ROUND(O126+X126+Y126+GK126,2),0)</f>
        <v>0</v>
      </c>
      <c r="GO126">
        <f t="shared" ref="GO126:GO131" si="149">IF(BI126=2,ROUND(O126+X126+Y126+GK126,2),0)</f>
        <v>0</v>
      </c>
      <c r="GP126">
        <f t="shared" ref="GP126:GP131" si="150">IF(BI126=4,ROUND(O126+X126+Y126+GK126,2)+GX126,0)</f>
        <v>4430.53</v>
      </c>
      <c r="GR126">
        <v>0</v>
      </c>
      <c r="GS126">
        <v>0</v>
      </c>
      <c r="GT126">
        <v>0</v>
      </c>
      <c r="GU126" t="s">
        <v>3</v>
      </c>
      <c r="GV126">
        <f t="shared" ref="GV126:GV131" si="151">ROUND((GT126),6)</f>
        <v>0</v>
      </c>
      <c r="GW126">
        <v>1</v>
      </c>
      <c r="GX126">
        <f t="shared" ref="GX126:GX131" si="152">ROUND(HC126*I126,2)</f>
        <v>0</v>
      </c>
      <c r="HA126">
        <v>0</v>
      </c>
      <c r="HB126">
        <v>0</v>
      </c>
      <c r="HC126">
        <f t="shared" ref="HC126:HC131" si="153">GV126*GW126</f>
        <v>0</v>
      </c>
      <c r="IK126">
        <v>0</v>
      </c>
    </row>
    <row r="127" spans="1:245">
      <c r="A127">
        <v>17</v>
      </c>
      <c r="B127">
        <v>1</v>
      </c>
      <c r="C127">
        <f>ROW(SmtRes!A49)</f>
        <v>49</v>
      </c>
      <c r="D127">
        <f>ROW(EtalonRes!A41)</f>
        <v>41</v>
      </c>
      <c r="E127" t="s">
        <v>163</v>
      </c>
      <c r="F127" t="s">
        <v>164</v>
      </c>
      <c r="G127" t="s">
        <v>165</v>
      </c>
      <c r="H127" t="s">
        <v>124</v>
      </c>
      <c r="I127">
        <f>ROUND((4*0.4)/10,9)</f>
        <v>0.16</v>
      </c>
      <c r="J127">
        <v>0</v>
      </c>
      <c r="O127">
        <f t="shared" si="118"/>
        <v>2718.87</v>
      </c>
      <c r="P127">
        <f t="shared" si="119"/>
        <v>1019.91</v>
      </c>
      <c r="Q127">
        <f t="shared" si="120"/>
        <v>0</v>
      </c>
      <c r="R127">
        <f t="shared" si="121"/>
        <v>0</v>
      </c>
      <c r="S127">
        <f t="shared" si="122"/>
        <v>1698.96</v>
      </c>
      <c r="T127">
        <f t="shared" si="123"/>
        <v>0</v>
      </c>
      <c r="U127">
        <f t="shared" si="124"/>
        <v>9.4</v>
      </c>
      <c r="V127">
        <f t="shared" si="125"/>
        <v>0</v>
      </c>
      <c r="W127">
        <f t="shared" si="126"/>
        <v>0</v>
      </c>
      <c r="X127">
        <f t="shared" si="127"/>
        <v>1189.27</v>
      </c>
      <c r="Y127">
        <f t="shared" si="127"/>
        <v>169.9</v>
      </c>
      <c r="AA127">
        <v>42225948</v>
      </c>
      <c r="AB127">
        <f t="shared" si="128"/>
        <v>16992.93</v>
      </c>
      <c r="AC127">
        <f t="shared" si="129"/>
        <v>6374.45</v>
      </c>
      <c r="AD127">
        <f t="shared" si="130"/>
        <v>0</v>
      </c>
      <c r="AE127">
        <f t="shared" si="131"/>
        <v>0</v>
      </c>
      <c r="AF127">
        <f t="shared" si="131"/>
        <v>10618.48</v>
      </c>
      <c r="AG127">
        <f t="shared" si="132"/>
        <v>0</v>
      </c>
      <c r="AH127">
        <f t="shared" si="133"/>
        <v>58.75</v>
      </c>
      <c r="AI127">
        <f t="shared" si="133"/>
        <v>0</v>
      </c>
      <c r="AJ127">
        <f t="shared" si="134"/>
        <v>0</v>
      </c>
      <c r="AK127">
        <v>16992.93</v>
      </c>
      <c r="AL127">
        <v>6374.45</v>
      </c>
      <c r="AM127">
        <v>0</v>
      </c>
      <c r="AN127">
        <v>0</v>
      </c>
      <c r="AO127">
        <v>10618.48</v>
      </c>
      <c r="AP127">
        <v>0</v>
      </c>
      <c r="AQ127">
        <v>58.75</v>
      </c>
      <c r="AR127">
        <v>0</v>
      </c>
      <c r="AS127">
        <v>0</v>
      </c>
      <c r="AT127">
        <v>70</v>
      </c>
      <c r="AU127">
        <v>10</v>
      </c>
      <c r="AV127">
        <v>1</v>
      </c>
      <c r="AW127">
        <v>1</v>
      </c>
      <c r="AZ127">
        <v>1</v>
      </c>
      <c r="BA127">
        <v>1</v>
      </c>
      <c r="BB127">
        <v>1</v>
      </c>
      <c r="BC127">
        <v>1</v>
      </c>
      <c r="BD127" t="s">
        <v>3</v>
      </c>
      <c r="BE127" t="s">
        <v>3</v>
      </c>
      <c r="BF127" t="s">
        <v>3</v>
      </c>
      <c r="BG127" t="s">
        <v>3</v>
      </c>
      <c r="BH127">
        <v>0</v>
      </c>
      <c r="BI127">
        <v>4</v>
      </c>
      <c r="BJ127" t="s">
        <v>166</v>
      </c>
      <c r="BM127">
        <v>0</v>
      </c>
      <c r="BN127">
        <v>0</v>
      </c>
      <c r="BO127" t="s">
        <v>3</v>
      </c>
      <c r="BP127">
        <v>0</v>
      </c>
      <c r="BQ127">
        <v>1</v>
      </c>
      <c r="BR127">
        <v>0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 t="s">
        <v>3</v>
      </c>
      <c r="BZ127">
        <v>70</v>
      </c>
      <c r="CA127">
        <v>10</v>
      </c>
      <c r="CE127">
        <v>0</v>
      </c>
      <c r="CF127">
        <v>0</v>
      </c>
      <c r="CG127">
        <v>0</v>
      </c>
      <c r="CM127">
        <v>0</v>
      </c>
      <c r="CN127" t="s">
        <v>3</v>
      </c>
      <c r="CO127">
        <v>0</v>
      </c>
      <c r="CP127">
        <f t="shared" si="135"/>
        <v>2718.87</v>
      </c>
      <c r="CQ127">
        <f t="shared" si="136"/>
        <v>6374.45</v>
      </c>
      <c r="CR127">
        <f t="shared" si="137"/>
        <v>0</v>
      </c>
      <c r="CS127">
        <f t="shared" si="138"/>
        <v>0</v>
      </c>
      <c r="CT127">
        <f t="shared" si="139"/>
        <v>10618.48</v>
      </c>
      <c r="CU127">
        <f t="shared" si="140"/>
        <v>0</v>
      </c>
      <c r="CV127">
        <f t="shared" si="141"/>
        <v>58.75</v>
      </c>
      <c r="CW127">
        <f t="shared" si="142"/>
        <v>0</v>
      </c>
      <c r="CX127">
        <f t="shared" si="142"/>
        <v>0</v>
      </c>
      <c r="CY127">
        <f t="shared" si="143"/>
        <v>1189.2719999999999</v>
      </c>
      <c r="CZ127">
        <f t="shared" si="144"/>
        <v>169.89599999999999</v>
      </c>
      <c r="DC127" t="s">
        <v>3</v>
      </c>
      <c r="DD127" t="s">
        <v>3</v>
      </c>
      <c r="DE127" t="s">
        <v>3</v>
      </c>
      <c r="DF127" t="s">
        <v>3</v>
      </c>
      <c r="DG127" t="s">
        <v>3</v>
      </c>
      <c r="DH127" t="s">
        <v>3</v>
      </c>
      <c r="DI127" t="s">
        <v>3</v>
      </c>
      <c r="DJ127" t="s">
        <v>3</v>
      </c>
      <c r="DK127" t="s">
        <v>3</v>
      </c>
      <c r="DL127" t="s">
        <v>3</v>
      </c>
      <c r="DM127" t="s">
        <v>3</v>
      </c>
      <c r="DN127">
        <v>0</v>
      </c>
      <c r="DO127">
        <v>0</v>
      </c>
      <c r="DP127">
        <v>1</v>
      </c>
      <c r="DQ127">
        <v>1</v>
      </c>
      <c r="DU127">
        <v>1013</v>
      </c>
      <c r="DV127" t="s">
        <v>124</v>
      </c>
      <c r="DW127" t="s">
        <v>124</v>
      </c>
      <c r="DX127">
        <v>1</v>
      </c>
      <c r="EE127">
        <v>40050625</v>
      </c>
      <c r="EF127">
        <v>1</v>
      </c>
      <c r="EG127" t="s">
        <v>20</v>
      </c>
      <c r="EH127">
        <v>0</v>
      </c>
      <c r="EI127" t="s">
        <v>3</v>
      </c>
      <c r="EJ127">
        <v>4</v>
      </c>
      <c r="EK127">
        <v>0</v>
      </c>
      <c r="EL127" t="s">
        <v>21</v>
      </c>
      <c r="EM127" t="s">
        <v>22</v>
      </c>
      <c r="EO127" t="s">
        <v>3</v>
      </c>
      <c r="EQ127">
        <v>0</v>
      </c>
      <c r="ER127">
        <v>16992.93</v>
      </c>
      <c r="ES127">
        <v>6374.45</v>
      </c>
      <c r="ET127">
        <v>0</v>
      </c>
      <c r="EU127">
        <v>0</v>
      </c>
      <c r="EV127">
        <v>10618.48</v>
      </c>
      <c r="EW127">
        <v>58.75</v>
      </c>
      <c r="EX127">
        <v>0</v>
      </c>
      <c r="EY127">
        <v>0</v>
      </c>
      <c r="FQ127">
        <v>0</v>
      </c>
      <c r="FR127">
        <f t="shared" si="145"/>
        <v>0</v>
      </c>
      <c r="FS127">
        <v>0</v>
      </c>
      <c r="FX127">
        <v>70</v>
      </c>
      <c r="FY127">
        <v>10</v>
      </c>
      <c r="GA127" t="s">
        <v>3</v>
      </c>
      <c r="GD127">
        <v>0</v>
      </c>
      <c r="GF127">
        <v>-746871637</v>
      </c>
      <c r="GG127">
        <v>2</v>
      </c>
      <c r="GH127">
        <v>1</v>
      </c>
      <c r="GI127">
        <v>-2</v>
      </c>
      <c r="GJ127">
        <v>0</v>
      </c>
      <c r="GK127">
        <f>ROUND(R127*(R12)/100,2)</f>
        <v>0</v>
      </c>
      <c r="GL127">
        <f t="shared" si="146"/>
        <v>0</v>
      </c>
      <c r="GM127">
        <f t="shared" si="147"/>
        <v>4078.04</v>
      </c>
      <c r="GN127">
        <f t="shared" si="148"/>
        <v>0</v>
      </c>
      <c r="GO127">
        <f t="shared" si="149"/>
        <v>0</v>
      </c>
      <c r="GP127">
        <f t="shared" si="150"/>
        <v>4078.04</v>
      </c>
      <c r="GR127">
        <v>0</v>
      </c>
      <c r="GS127">
        <v>0</v>
      </c>
      <c r="GT127">
        <v>0</v>
      </c>
      <c r="GU127" t="s">
        <v>3</v>
      </c>
      <c r="GV127">
        <f t="shared" si="151"/>
        <v>0</v>
      </c>
      <c r="GW127">
        <v>1</v>
      </c>
      <c r="GX127">
        <f t="shared" si="152"/>
        <v>0</v>
      </c>
      <c r="HA127">
        <v>0</v>
      </c>
      <c r="HB127">
        <v>0</v>
      </c>
      <c r="HC127">
        <f t="shared" si="153"/>
        <v>0</v>
      </c>
      <c r="IK127">
        <v>0</v>
      </c>
    </row>
    <row r="128" spans="1:245">
      <c r="A128">
        <v>17</v>
      </c>
      <c r="B128">
        <v>1</v>
      </c>
      <c r="C128">
        <f>ROW(SmtRes!A50)</f>
        <v>50</v>
      </c>
      <c r="D128">
        <f>ROW(EtalonRes!A42)</f>
        <v>42</v>
      </c>
      <c r="E128" t="s">
        <v>167</v>
      </c>
      <c r="F128" t="s">
        <v>131</v>
      </c>
      <c r="G128" t="s">
        <v>549</v>
      </c>
      <c r="H128" t="s">
        <v>18</v>
      </c>
      <c r="I128">
        <f>ROUND(16.95/100,9)</f>
        <v>0.16950000000000001</v>
      </c>
      <c r="J128">
        <v>0</v>
      </c>
      <c r="O128">
        <f t="shared" si="118"/>
        <v>50.27</v>
      </c>
      <c r="P128">
        <f t="shared" si="119"/>
        <v>0</v>
      </c>
      <c r="Q128">
        <f t="shared" si="120"/>
        <v>50.27</v>
      </c>
      <c r="R128">
        <f t="shared" si="121"/>
        <v>18.89</v>
      </c>
      <c r="S128">
        <f t="shared" si="122"/>
        <v>0</v>
      </c>
      <c r="T128">
        <f t="shared" si="123"/>
        <v>0</v>
      </c>
      <c r="U128">
        <f t="shared" si="124"/>
        <v>0</v>
      </c>
      <c r="V128">
        <f t="shared" si="125"/>
        <v>0</v>
      </c>
      <c r="W128">
        <f t="shared" si="126"/>
        <v>0</v>
      </c>
      <c r="X128">
        <f t="shared" si="127"/>
        <v>0</v>
      </c>
      <c r="Y128">
        <f t="shared" si="127"/>
        <v>0</v>
      </c>
      <c r="AA128">
        <v>42225948</v>
      </c>
      <c r="AB128">
        <f t="shared" si="128"/>
        <v>296.60000000000002</v>
      </c>
      <c r="AC128">
        <f t="shared" si="129"/>
        <v>0</v>
      </c>
      <c r="AD128">
        <f t="shared" si="130"/>
        <v>296.60000000000002</v>
      </c>
      <c r="AE128">
        <f t="shared" si="131"/>
        <v>111.43</v>
      </c>
      <c r="AF128">
        <f t="shared" si="131"/>
        <v>0</v>
      </c>
      <c r="AG128">
        <f t="shared" si="132"/>
        <v>0</v>
      </c>
      <c r="AH128">
        <f t="shared" si="133"/>
        <v>0</v>
      </c>
      <c r="AI128">
        <f t="shared" si="133"/>
        <v>0</v>
      </c>
      <c r="AJ128">
        <f t="shared" si="134"/>
        <v>0</v>
      </c>
      <c r="AK128">
        <v>296.60000000000002</v>
      </c>
      <c r="AL128">
        <v>0</v>
      </c>
      <c r="AM128">
        <v>296.60000000000002</v>
      </c>
      <c r="AN128">
        <v>111.43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70</v>
      </c>
      <c r="AU128">
        <v>10</v>
      </c>
      <c r="AV128">
        <v>1</v>
      </c>
      <c r="AW128">
        <v>1</v>
      </c>
      <c r="AZ128">
        <v>1</v>
      </c>
      <c r="BA128">
        <v>1</v>
      </c>
      <c r="BB128">
        <v>1</v>
      </c>
      <c r="BC128">
        <v>1</v>
      </c>
      <c r="BD128" t="s">
        <v>3</v>
      </c>
      <c r="BE128" t="s">
        <v>3</v>
      </c>
      <c r="BF128" t="s">
        <v>3</v>
      </c>
      <c r="BG128" t="s">
        <v>3</v>
      </c>
      <c r="BH128">
        <v>0</v>
      </c>
      <c r="BI128">
        <v>4</v>
      </c>
      <c r="BJ128" t="s">
        <v>132</v>
      </c>
      <c r="BM128">
        <v>0</v>
      </c>
      <c r="BN128">
        <v>0</v>
      </c>
      <c r="BO128" t="s">
        <v>3</v>
      </c>
      <c r="BP128">
        <v>0</v>
      </c>
      <c r="BQ128">
        <v>1</v>
      </c>
      <c r="BR128">
        <v>0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 t="s">
        <v>3</v>
      </c>
      <c r="BZ128">
        <v>70</v>
      </c>
      <c r="CA128">
        <v>10</v>
      </c>
      <c r="CE128">
        <v>0</v>
      </c>
      <c r="CF128">
        <v>0</v>
      </c>
      <c r="CG128">
        <v>0</v>
      </c>
      <c r="CM128">
        <v>0</v>
      </c>
      <c r="CN128" t="s">
        <v>3</v>
      </c>
      <c r="CO128">
        <v>0</v>
      </c>
      <c r="CP128">
        <f t="shared" si="135"/>
        <v>50.27</v>
      </c>
      <c r="CQ128">
        <f t="shared" si="136"/>
        <v>0</v>
      </c>
      <c r="CR128">
        <f t="shared" si="137"/>
        <v>296.60000000000002</v>
      </c>
      <c r="CS128">
        <f t="shared" si="138"/>
        <v>111.43</v>
      </c>
      <c r="CT128">
        <f t="shared" si="139"/>
        <v>0</v>
      </c>
      <c r="CU128">
        <f t="shared" si="140"/>
        <v>0</v>
      </c>
      <c r="CV128">
        <f t="shared" si="141"/>
        <v>0</v>
      </c>
      <c r="CW128">
        <f t="shared" si="142"/>
        <v>0</v>
      </c>
      <c r="CX128">
        <f t="shared" si="142"/>
        <v>0</v>
      </c>
      <c r="CY128">
        <f t="shared" si="143"/>
        <v>0</v>
      </c>
      <c r="CZ128">
        <f t="shared" si="144"/>
        <v>0</v>
      </c>
      <c r="DC128" t="s">
        <v>3</v>
      </c>
      <c r="DD128" t="s">
        <v>3</v>
      </c>
      <c r="DE128" t="s">
        <v>3</v>
      </c>
      <c r="DF128" t="s">
        <v>3</v>
      </c>
      <c r="DG128" t="s">
        <v>3</v>
      </c>
      <c r="DH128" t="s">
        <v>3</v>
      </c>
      <c r="DI128" t="s">
        <v>3</v>
      </c>
      <c r="DJ128" t="s">
        <v>3</v>
      </c>
      <c r="DK128" t="s">
        <v>3</v>
      </c>
      <c r="DL128" t="s">
        <v>3</v>
      </c>
      <c r="DM128" t="s">
        <v>3</v>
      </c>
      <c r="DN128">
        <v>0</v>
      </c>
      <c r="DO128">
        <v>0</v>
      </c>
      <c r="DP128">
        <v>1</v>
      </c>
      <c r="DQ128">
        <v>1</v>
      </c>
      <c r="DU128">
        <v>1005</v>
      </c>
      <c r="DV128" t="s">
        <v>18</v>
      </c>
      <c r="DW128" t="s">
        <v>18</v>
      </c>
      <c r="DX128">
        <v>100</v>
      </c>
      <c r="EE128">
        <v>40050625</v>
      </c>
      <c r="EF128">
        <v>1</v>
      </c>
      <c r="EG128" t="s">
        <v>20</v>
      </c>
      <c r="EH128">
        <v>0</v>
      </c>
      <c r="EI128" t="s">
        <v>3</v>
      </c>
      <c r="EJ128">
        <v>4</v>
      </c>
      <c r="EK128">
        <v>0</v>
      </c>
      <c r="EL128" t="s">
        <v>21</v>
      </c>
      <c r="EM128" t="s">
        <v>22</v>
      </c>
      <c r="EO128" t="s">
        <v>3</v>
      </c>
      <c r="EQ128">
        <v>0</v>
      </c>
      <c r="ER128">
        <v>296.60000000000002</v>
      </c>
      <c r="ES128">
        <v>0</v>
      </c>
      <c r="ET128">
        <v>296.60000000000002</v>
      </c>
      <c r="EU128">
        <v>111.43</v>
      </c>
      <c r="EV128">
        <v>0</v>
      </c>
      <c r="EW128">
        <v>0</v>
      </c>
      <c r="EX128">
        <v>0</v>
      </c>
      <c r="EY128">
        <v>0</v>
      </c>
      <c r="FQ128">
        <v>0</v>
      </c>
      <c r="FR128">
        <f t="shared" si="145"/>
        <v>0</v>
      </c>
      <c r="FS128">
        <v>0</v>
      </c>
      <c r="FX128">
        <v>70</v>
      </c>
      <c r="FY128">
        <v>10</v>
      </c>
      <c r="GA128" t="s">
        <v>3</v>
      </c>
      <c r="GD128">
        <v>0</v>
      </c>
      <c r="GF128">
        <v>-1916452029</v>
      </c>
      <c r="GG128">
        <v>2</v>
      </c>
      <c r="GH128">
        <v>1</v>
      </c>
      <c r="GI128">
        <v>-2</v>
      </c>
      <c r="GJ128">
        <v>0</v>
      </c>
      <c r="GK128">
        <f>ROUND(R128*(R12)/100,2)</f>
        <v>20.399999999999999</v>
      </c>
      <c r="GL128">
        <f t="shared" si="146"/>
        <v>0</v>
      </c>
      <c r="GM128">
        <f t="shared" si="147"/>
        <v>70.67</v>
      </c>
      <c r="GN128">
        <f t="shared" si="148"/>
        <v>0</v>
      </c>
      <c r="GO128">
        <f t="shared" si="149"/>
        <v>0</v>
      </c>
      <c r="GP128">
        <f t="shared" si="150"/>
        <v>70.67</v>
      </c>
      <c r="GR128">
        <v>0</v>
      </c>
      <c r="GS128">
        <v>0</v>
      </c>
      <c r="GT128">
        <v>0</v>
      </c>
      <c r="GU128" t="s">
        <v>3</v>
      </c>
      <c r="GV128">
        <f t="shared" si="151"/>
        <v>0</v>
      </c>
      <c r="GW128">
        <v>1</v>
      </c>
      <c r="GX128">
        <f t="shared" si="152"/>
        <v>0</v>
      </c>
      <c r="HA128">
        <v>0</v>
      </c>
      <c r="HB128">
        <v>0</v>
      </c>
      <c r="HC128">
        <f t="shared" si="153"/>
        <v>0</v>
      </c>
      <c r="IK128">
        <v>0</v>
      </c>
    </row>
    <row r="129" spans="1:245">
      <c r="A129">
        <v>17</v>
      </c>
      <c r="B129">
        <v>1</v>
      </c>
      <c r="C129">
        <f>ROW(SmtRes!A51)</f>
        <v>51</v>
      </c>
      <c r="D129">
        <f>ROW(EtalonRes!A43)</f>
        <v>43</v>
      </c>
      <c r="E129" t="s">
        <v>168</v>
      </c>
      <c r="F129" t="s">
        <v>134</v>
      </c>
      <c r="G129" t="s">
        <v>169</v>
      </c>
      <c r="H129" t="s">
        <v>18</v>
      </c>
      <c r="I129">
        <f>ROUND(5.65/100,9)</f>
        <v>5.6500000000000002E-2</v>
      </c>
      <c r="J129">
        <v>0</v>
      </c>
      <c r="O129">
        <f t="shared" si="118"/>
        <v>119.78</v>
      </c>
      <c r="P129">
        <f t="shared" si="119"/>
        <v>0</v>
      </c>
      <c r="Q129">
        <f t="shared" si="120"/>
        <v>0</v>
      </c>
      <c r="R129">
        <f t="shared" si="121"/>
        <v>0</v>
      </c>
      <c r="S129">
        <f t="shared" si="122"/>
        <v>119.78</v>
      </c>
      <c r="T129">
        <f t="shared" si="123"/>
        <v>0</v>
      </c>
      <c r="U129">
        <f t="shared" si="124"/>
        <v>0.66274500000000003</v>
      </c>
      <c r="V129">
        <f t="shared" si="125"/>
        <v>0</v>
      </c>
      <c r="W129">
        <f t="shared" si="126"/>
        <v>0</v>
      </c>
      <c r="X129">
        <f t="shared" si="127"/>
        <v>83.85</v>
      </c>
      <c r="Y129">
        <f t="shared" si="127"/>
        <v>11.98</v>
      </c>
      <c r="AA129">
        <v>42225948</v>
      </c>
      <c r="AB129">
        <f t="shared" si="128"/>
        <v>2120.08</v>
      </c>
      <c r="AC129">
        <f t="shared" si="129"/>
        <v>0</v>
      </c>
      <c r="AD129">
        <f t="shared" si="130"/>
        <v>0</v>
      </c>
      <c r="AE129">
        <f t="shared" si="131"/>
        <v>0</v>
      </c>
      <c r="AF129">
        <f t="shared" si="131"/>
        <v>2120.08</v>
      </c>
      <c r="AG129">
        <f t="shared" si="132"/>
        <v>0</v>
      </c>
      <c r="AH129">
        <f t="shared" si="133"/>
        <v>11.73</v>
      </c>
      <c r="AI129">
        <f t="shared" si="133"/>
        <v>0</v>
      </c>
      <c r="AJ129">
        <f t="shared" si="134"/>
        <v>0</v>
      </c>
      <c r="AK129">
        <v>2120.08</v>
      </c>
      <c r="AL129">
        <v>0</v>
      </c>
      <c r="AM129">
        <v>0</v>
      </c>
      <c r="AN129">
        <v>0</v>
      </c>
      <c r="AO129">
        <v>2120.08</v>
      </c>
      <c r="AP129">
        <v>0</v>
      </c>
      <c r="AQ129">
        <v>11.73</v>
      </c>
      <c r="AR129">
        <v>0</v>
      </c>
      <c r="AS129">
        <v>0</v>
      </c>
      <c r="AT129">
        <v>70</v>
      </c>
      <c r="AU129">
        <v>10</v>
      </c>
      <c r="AV129">
        <v>1</v>
      </c>
      <c r="AW129">
        <v>1</v>
      </c>
      <c r="AZ129">
        <v>1</v>
      </c>
      <c r="BA129">
        <v>1</v>
      </c>
      <c r="BB129">
        <v>1</v>
      </c>
      <c r="BC129">
        <v>1</v>
      </c>
      <c r="BD129" t="s">
        <v>3</v>
      </c>
      <c r="BE129" t="s">
        <v>3</v>
      </c>
      <c r="BF129" t="s">
        <v>3</v>
      </c>
      <c r="BG129" t="s">
        <v>3</v>
      </c>
      <c r="BH129">
        <v>0</v>
      </c>
      <c r="BI129">
        <v>4</v>
      </c>
      <c r="BJ129" t="s">
        <v>136</v>
      </c>
      <c r="BM129">
        <v>0</v>
      </c>
      <c r="BN129">
        <v>0</v>
      </c>
      <c r="BO129" t="s">
        <v>3</v>
      </c>
      <c r="BP129">
        <v>0</v>
      </c>
      <c r="BQ129">
        <v>1</v>
      </c>
      <c r="BR129">
        <v>0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 t="s">
        <v>3</v>
      </c>
      <c r="BZ129">
        <v>70</v>
      </c>
      <c r="CA129">
        <v>10</v>
      </c>
      <c r="CE129">
        <v>0</v>
      </c>
      <c r="CF129">
        <v>0</v>
      </c>
      <c r="CG129">
        <v>0</v>
      </c>
      <c r="CM129">
        <v>0</v>
      </c>
      <c r="CN129" t="s">
        <v>3</v>
      </c>
      <c r="CO129">
        <v>0</v>
      </c>
      <c r="CP129">
        <f t="shared" si="135"/>
        <v>119.78</v>
      </c>
      <c r="CQ129">
        <f t="shared" si="136"/>
        <v>0</v>
      </c>
      <c r="CR129">
        <f t="shared" si="137"/>
        <v>0</v>
      </c>
      <c r="CS129">
        <f t="shared" si="138"/>
        <v>0</v>
      </c>
      <c r="CT129">
        <f t="shared" si="139"/>
        <v>2120.08</v>
      </c>
      <c r="CU129">
        <f t="shared" si="140"/>
        <v>0</v>
      </c>
      <c r="CV129">
        <f t="shared" si="141"/>
        <v>11.73</v>
      </c>
      <c r="CW129">
        <f t="shared" si="142"/>
        <v>0</v>
      </c>
      <c r="CX129">
        <f t="shared" si="142"/>
        <v>0</v>
      </c>
      <c r="CY129">
        <f t="shared" si="143"/>
        <v>83.846000000000004</v>
      </c>
      <c r="CZ129">
        <f t="shared" si="144"/>
        <v>11.978</v>
      </c>
      <c r="DC129" t="s">
        <v>3</v>
      </c>
      <c r="DD129" t="s">
        <v>3</v>
      </c>
      <c r="DE129" t="s">
        <v>3</v>
      </c>
      <c r="DF129" t="s">
        <v>3</v>
      </c>
      <c r="DG129" t="s">
        <v>3</v>
      </c>
      <c r="DH129" t="s">
        <v>3</v>
      </c>
      <c r="DI129" t="s">
        <v>3</v>
      </c>
      <c r="DJ129" t="s">
        <v>3</v>
      </c>
      <c r="DK129" t="s">
        <v>3</v>
      </c>
      <c r="DL129" t="s">
        <v>3</v>
      </c>
      <c r="DM129" t="s">
        <v>3</v>
      </c>
      <c r="DN129">
        <v>0</v>
      </c>
      <c r="DO129">
        <v>0</v>
      </c>
      <c r="DP129">
        <v>1</v>
      </c>
      <c r="DQ129">
        <v>1</v>
      </c>
      <c r="DU129">
        <v>1005</v>
      </c>
      <c r="DV129" t="s">
        <v>18</v>
      </c>
      <c r="DW129" t="s">
        <v>18</v>
      </c>
      <c r="DX129">
        <v>100</v>
      </c>
      <c r="EE129">
        <v>40050625</v>
      </c>
      <c r="EF129">
        <v>1</v>
      </c>
      <c r="EG129" t="s">
        <v>20</v>
      </c>
      <c r="EH129">
        <v>0</v>
      </c>
      <c r="EI129" t="s">
        <v>3</v>
      </c>
      <c r="EJ129">
        <v>4</v>
      </c>
      <c r="EK129">
        <v>0</v>
      </c>
      <c r="EL129" t="s">
        <v>21</v>
      </c>
      <c r="EM129" t="s">
        <v>22</v>
      </c>
      <c r="EO129" t="s">
        <v>3</v>
      </c>
      <c r="EQ129">
        <v>0</v>
      </c>
      <c r="ER129">
        <v>2120.08</v>
      </c>
      <c r="ES129">
        <v>0</v>
      </c>
      <c r="ET129">
        <v>0</v>
      </c>
      <c r="EU129">
        <v>0</v>
      </c>
      <c r="EV129">
        <v>2120.08</v>
      </c>
      <c r="EW129">
        <v>11.73</v>
      </c>
      <c r="EX129">
        <v>0</v>
      </c>
      <c r="EY129">
        <v>0</v>
      </c>
      <c r="FQ129">
        <v>0</v>
      </c>
      <c r="FR129">
        <f t="shared" si="145"/>
        <v>0</v>
      </c>
      <c r="FS129">
        <v>0</v>
      </c>
      <c r="FX129">
        <v>70</v>
      </c>
      <c r="FY129">
        <v>10</v>
      </c>
      <c r="GA129" t="s">
        <v>3</v>
      </c>
      <c r="GD129">
        <v>0</v>
      </c>
      <c r="GF129">
        <v>1432931546</v>
      </c>
      <c r="GG129">
        <v>2</v>
      </c>
      <c r="GH129">
        <v>1</v>
      </c>
      <c r="GI129">
        <v>-2</v>
      </c>
      <c r="GJ129">
        <v>0</v>
      </c>
      <c r="GK129">
        <f>ROUND(R129*(R12)/100,2)</f>
        <v>0</v>
      </c>
      <c r="GL129">
        <f t="shared" si="146"/>
        <v>0</v>
      </c>
      <c r="GM129">
        <f t="shared" si="147"/>
        <v>215.61</v>
      </c>
      <c r="GN129">
        <f t="shared" si="148"/>
        <v>0</v>
      </c>
      <c r="GO129">
        <f t="shared" si="149"/>
        <v>0</v>
      </c>
      <c r="GP129">
        <f t="shared" si="150"/>
        <v>215.61</v>
      </c>
      <c r="GR129">
        <v>0</v>
      </c>
      <c r="GS129">
        <v>0</v>
      </c>
      <c r="GT129">
        <v>0</v>
      </c>
      <c r="GU129" t="s">
        <v>3</v>
      </c>
      <c r="GV129">
        <f t="shared" si="151"/>
        <v>0</v>
      </c>
      <c r="GW129">
        <v>1</v>
      </c>
      <c r="GX129">
        <f t="shared" si="152"/>
        <v>0</v>
      </c>
      <c r="HA129">
        <v>0</v>
      </c>
      <c r="HB129">
        <v>0</v>
      </c>
      <c r="HC129">
        <f t="shared" si="153"/>
        <v>0</v>
      </c>
      <c r="IK129">
        <v>0</v>
      </c>
    </row>
    <row r="130" spans="1:245">
      <c r="A130">
        <v>17</v>
      </c>
      <c r="B130">
        <v>1</v>
      </c>
      <c r="C130">
        <f>ROW(SmtRes!A58)</f>
        <v>58</v>
      </c>
      <c r="D130">
        <f>ROW(EtalonRes!A50)</f>
        <v>50</v>
      </c>
      <c r="E130" t="s">
        <v>170</v>
      </c>
      <c r="F130" t="s">
        <v>171</v>
      </c>
      <c r="G130" t="s">
        <v>172</v>
      </c>
      <c r="H130" t="s">
        <v>140</v>
      </c>
      <c r="I130">
        <f>ROUND(4/10,9)</f>
        <v>0.4</v>
      </c>
      <c r="J130">
        <v>0</v>
      </c>
      <c r="O130">
        <f t="shared" si="118"/>
        <v>2913.47</v>
      </c>
      <c r="P130">
        <f t="shared" si="119"/>
        <v>332.01</v>
      </c>
      <c r="Q130">
        <f t="shared" si="120"/>
        <v>614.26</v>
      </c>
      <c r="R130">
        <f t="shared" si="121"/>
        <v>139.4</v>
      </c>
      <c r="S130">
        <f t="shared" si="122"/>
        <v>1967.2</v>
      </c>
      <c r="T130">
        <f t="shared" si="123"/>
        <v>0</v>
      </c>
      <c r="U130">
        <f t="shared" si="124"/>
        <v>8.2840000000000007</v>
      </c>
      <c r="V130">
        <f t="shared" si="125"/>
        <v>0</v>
      </c>
      <c r="W130">
        <f t="shared" si="126"/>
        <v>0</v>
      </c>
      <c r="X130">
        <f t="shared" si="127"/>
        <v>1377.04</v>
      </c>
      <c r="Y130">
        <f t="shared" si="127"/>
        <v>196.72</v>
      </c>
      <c r="AA130">
        <v>42225948</v>
      </c>
      <c r="AB130">
        <f t="shared" si="128"/>
        <v>7283.67</v>
      </c>
      <c r="AC130">
        <f t="shared" si="129"/>
        <v>830.02</v>
      </c>
      <c r="AD130">
        <f t="shared" si="130"/>
        <v>1535.65</v>
      </c>
      <c r="AE130">
        <f t="shared" si="131"/>
        <v>348.51</v>
      </c>
      <c r="AF130">
        <f t="shared" si="131"/>
        <v>4918</v>
      </c>
      <c r="AG130">
        <f t="shared" si="132"/>
        <v>0</v>
      </c>
      <c r="AH130">
        <f t="shared" si="133"/>
        <v>20.71</v>
      </c>
      <c r="AI130">
        <f t="shared" si="133"/>
        <v>0</v>
      </c>
      <c r="AJ130">
        <f t="shared" si="134"/>
        <v>0</v>
      </c>
      <c r="AK130">
        <v>7283.67</v>
      </c>
      <c r="AL130">
        <v>830.02</v>
      </c>
      <c r="AM130">
        <v>1535.65</v>
      </c>
      <c r="AN130">
        <v>348.51</v>
      </c>
      <c r="AO130">
        <v>4918</v>
      </c>
      <c r="AP130">
        <v>0</v>
      </c>
      <c r="AQ130">
        <v>20.71</v>
      </c>
      <c r="AR130">
        <v>0</v>
      </c>
      <c r="AS130">
        <v>0</v>
      </c>
      <c r="AT130">
        <v>70</v>
      </c>
      <c r="AU130">
        <v>10</v>
      </c>
      <c r="AV130">
        <v>1</v>
      </c>
      <c r="AW130">
        <v>1</v>
      </c>
      <c r="AZ130">
        <v>1</v>
      </c>
      <c r="BA130">
        <v>1</v>
      </c>
      <c r="BB130">
        <v>1</v>
      </c>
      <c r="BC130">
        <v>1</v>
      </c>
      <c r="BD130" t="s">
        <v>3</v>
      </c>
      <c r="BE130" t="s">
        <v>3</v>
      </c>
      <c r="BF130" t="s">
        <v>3</v>
      </c>
      <c r="BG130" t="s">
        <v>3</v>
      </c>
      <c r="BH130">
        <v>0</v>
      </c>
      <c r="BI130">
        <v>4</v>
      </c>
      <c r="BJ130" t="s">
        <v>173</v>
      </c>
      <c r="BM130">
        <v>0</v>
      </c>
      <c r="BN130">
        <v>0</v>
      </c>
      <c r="BO130" t="s">
        <v>3</v>
      </c>
      <c r="BP130">
        <v>0</v>
      </c>
      <c r="BQ130">
        <v>1</v>
      </c>
      <c r="BR130">
        <v>0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 t="s">
        <v>3</v>
      </c>
      <c r="BZ130">
        <v>70</v>
      </c>
      <c r="CA130">
        <v>10</v>
      </c>
      <c r="CE130">
        <v>0</v>
      </c>
      <c r="CF130">
        <v>0</v>
      </c>
      <c r="CG130">
        <v>0</v>
      </c>
      <c r="CM130">
        <v>0</v>
      </c>
      <c r="CN130" t="s">
        <v>3</v>
      </c>
      <c r="CO130">
        <v>0</v>
      </c>
      <c r="CP130">
        <f t="shared" si="135"/>
        <v>2913.4700000000003</v>
      </c>
      <c r="CQ130">
        <f t="shared" si="136"/>
        <v>830.02</v>
      </c>
      <c r="CR130">
        <f t="shared" si="137"/>
        <v>1535.65</v>
      </c>
      <c r="CS130">
        <f t="shared" si="138"/>
        <v>348.51</v>
      </c>
      <c r="CT130">
        <f t="shared" si="139"/>
        <v>4918</v>
      </c>
      <c r="CU130">
        <f t="shared" si="140"/>
        <v>0</v>
      </c>
      <c r="CV130">
        <f t="shared" si="141"/>
        <v>20.71</v>
      </c>
      <c r="CW130">
        <f t="shared" si="142"/>
        <v>0</v>
      </c>
      <c r="CX130">
        <f t="shared" si="142"/>
        <v>0</v>
      </c>
      <c r="CY130">
        <f t="shared" si="143"/>
        <v>1377.04</v>
      </c>
      <c r="CZ130">
        <f t="shared" si="144"/>
        <v>196.72</v>
      </c>
      <c r="DC130" t="s">
        <v>3</v>
      </c>
      <c r="DD130" t="s">
        <v>3</v>
      </c>
      <c r="DE130" t="s">
        <v>3</v>
      </c>
      <c r="DF130" t="s">
        <v>3</v>
      </c>
      <c r="DG130" t="s">
        <v>3</v>
      </c>
      <c r="DH130" t="s">
        <v>3</v>
      </c>
      <c r="DI130" t="s">
        <v>3</v>
      </c>
      <c r="DJ130" t="s">
        <v>3</v>
      </c>
      <c r="DK130" t="s">
        <v>3</v>
      </c>
      <c r="DL130" t="s">
        <v>3</v>
      </c>
      <c r="DM130" t="s">
        <v>3</v>
      </c>
      <c r="DN130">
        <v>0</v>
      </c>
      <c r="DO130">
        <v>0</v>
      </c>
      <c r="DP130">
        <v>1</v>
      </c>
      <c r="DQ130">
        <v>1</v>
      </c>
      <c r="DU130">
        <v>1010</v>
      </c>
      <c r="DV130" t="s">
        <v>140</v>
      </c>
      <c r="DW130" t="s">
        <v>140</v>
      </c>
      <c r="DX130">
        <v>10</v>
      </c>
      <c r="EE130">
        <v>40050625</v>
      </c>
      <c r="EF130">
        <v>1</v>
      </c>
      <c r="EG130" t="s">
        <v>20</v>
      </c>
      <c r="EH130">
        <v>0</v>
      </c>
      <c r="EI130" t="s">
        <v>3</v>
      </c>
      <c r="EJ130">
        <v>4</v>
      </c>
      <c r="EK130">
        <v>0</v>
      </c>
      <c r="EL130" t="s">
        <v>21</v>
      </c>
      <c r="EM130" t="s">
        <v>22</v>
      </c>
      <c r="EO130" t="s">
        <v>3</v>
      </c>
      <c r="EQ130">
        <v>0</v>
      </c>
      <c r="ER130">
        <v>7283.67</v>
      </c>
      <c r="ES130">
        <v>830.02</v>
      </c>
      <c r="ET130">
        <v>1535.65</v>
      </c>
      <c r="EU130">
        <v>348.51</v>
      </c>
      <c r="EV130">
        <v>4918</v>
      </c>
      <c r="EW130">
        <v>20.71</v>
      </c>
      <c r="EX130">
        <v>0</v>
      </c>
      <c r="EY130">
        <v>0</v>
      </c>
      <c r="FQ130">
        <v>0</v>
      </c>
      <c r="FR130">
        <f t="shared" si="145"/>
        <v>0</v>
      </c>
      <c r="FS130">
        <v>0</v>
      </c>
      <c r="FX130">
        <v>70</v>
      </c>
      <c r="FY130">
        <v>10</v>
      </c>
      <c r="GA130" t="s">
        <v>3</v>
      </c>
      <c r="GD130">
        <v>0</v>
      </c>
      <c r="GF130">
        <v>2043723813</v>
      </c>
      <c r="GG130">
        <v>2</v>
      </c>
      <c r="GH130">
        <v>1</v>
      </c>
      <c r="GI130">
        <v>-2</v>
      </c>
      <c r="GJ130">
        <v>0</v>
      </c>
      <c r="GK130">
        <f>ROUND(R130*(R12)/100,2)</f>
        <v>150.55000000000001</v>
      </c>
      <c r="GL130">
        <f t="shared" si="146"/>
        <v>0</v>
      </c>
      <c r="GM130">
        <f t="shared" si="147"/>
        <v>4637.78</v>
      </c>
      <c r="GN130">
        <f t="shared" si="148"/>
        <v>0</v>
      </c>
      <c r="GO130">
        <f t="shared" si="149"/>
        <v>0</v>
      </c>
      <c r="GP130">
        <f t="shared" si="150"/>
        <v>4637.78</v>
      </c>
      <c r="GR130">
        <v>0</v>
      </c>
      <c r="GS130">
        <v>0</v>
      </c>
      <c r="GT130">
        <v>0</v>
      </c>
      <c r="GU130" t="s">
        <v>3</v>
      </c>
      <c r="GV130">
        <f t="shared" si="151"/>
        <v>0</v>
      </c>
      <c r="GW130">
        <v>1</v>
      </c>
      <c r="GX130">
        <f t="shared" si="152"/>
        <v>0</v>
      </c>
      <c r="HA130">
        <v>0</v>
      </c>
      <c r="HB130">
        <v>0</v>
      </c>
      <c r="HC130">
        <f t="shared" si="153"/>
        <v>0</v>
      </c>
      <c r="IK130">
        <v>0</v>
      </c>
    </row>
    <row r="131" spans="1:245">
      <c r="A131">
        <v>18</v>
      </c>
      <c r="B131">
        <v>1</v>
      </c>
      <c r="C131">
        <v>58</v>
      </c>
      <c r="E131" t="s">
        <v>174</v>
      </c>
      <c r="F131" t="s">
        <v>57</v>
      </c>
      <c r="G131" t="s">
        <v>175</v>
      </c>
      <c r="H131" t="s">
        <v>51</v>
      </c>
      <c r="I131">
        <f>I130*J131</f>
        <v>4</v>
      </c>
      <c r="J131">
        <v>10</v>
      </c>
      <c r="O131">
        <f t="shared" si="118"/>
        <v>11333.32</v>
      </c>
      <c r="P131">
        <f t="shared" si="119"/>
        <v>11333.32</v>
      </c>
      <c r="Q131">
        <f t="shared" si="120"/>
        <v>0</v>
      </c>
      <c r="R131">
        <f t="shared" si="121"/>
        <v>0</v>
      </c>
      <c r="S131">
        <f t="shared" si="122"/>
        <v>0</v>
      </c>
      <c r="T131">
        <f t="shared" si="123"/>
        <v>0</v>
      </c>
      <c r="U131">
        <f t="shared" si="124"/>
        <v>0</v>
      </c>
      <c r="V131">
        <f t="shared" si="125"/>
        <v>0</v>
      </c>
      <c r="W131">
        <f t="shared" si="126"/>
        <v>0</v>
      </c>
      <c r="X131">
        <f t="shared" si="127"/>
        <v>0</v>
      </c>
      <c r="Y131">
        <f t="shared" si="127"/>
        <v>0</v>
      </c>
      <c r="AA131">
        <v>42225948</v>
      </c>
      <c r="AB131">
        <f t="shared" si="128"/>
        <v>2833.33</v>
      </c>
      <c r="AC131">
        <f t="shared" si="129"/>
        <v>2833.33</v>
      </c>
      <c r="AD131">
        <f t="shared" si="130"/>
        <v>0</v>
      </c>
      <c r="AE131">
        <f t="shared" si="131"/>
        <v>0</v>
      </c>
      <c r="AF131">
        <f t="shared" si="131"/>
        <v>0</v>
      </c>
      <c r="AG131">
        <f t="shared" si="132"/>
        <v>0</v>
      </c>
      <c r="AH131">
        <f t="shared" si="133"/>
        <v>0</v>
      </c>
      <c r="AI131">
        <f t="shared" si="133"/>
        <v>0</v>
      </c>
      <c r="AJ131">
        <f t="shared" si="134"/>
        <v>0</v>
      </c>
      <c r="AK131">
        <v>2833.33</v>
      </c>
      <c r="AL131">
        <v>2833.33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70</v>
      </c>
      <c r="AU131">
        <v>10</v>
      </c>
      <c r="AV131">
        <v>1</v>
      </c>
      <c r="AW131">
        <v>1</v>
      </c>
      <c r="AZ131">
        <v>1</v>
      </c>
      <c r="BA131">
        <v>1</v>
      </c>
      <c r="BB131">
        <v>1</v>
      </c>
      <c r="BC131">
        <v>1</v>
      </c>
      <c r="BD131" t="s">
        <v>3</v>
      </c>
      <c r="BE131" t="s">
        <v>3</v>
      </c>
      <c r="BF131" t="s">
        <v>3</v>
      </c>
      <c r="BG131" t="s">
        <v>3</v>
      </c>
      <c r="BH131">
        <v>3</v>
      </c>
      <c r="BI131">
        <v>4</v>
      </c>
      <c r="BJ131" t="s">
        <v>3</v>
      </c>
      <c r="BM131">
        <v>0</v>
      </c>
      <c r="BN131">
        <v>0</v>
      </c>
      <c r="BO131" t="s">
        <v>3</v>
      </c>
      <c r="BP131">
        <v>0</v>
      </c>
      <c r="BQ131">
        <v>1</v>
      </c>
      <c r="BR131">
        <v>0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 t="s">
        <v>3</v>
      </c>
      <c r="BZ131">
        <v>70</v>
      </c>
      <c r="CA131">
        <v>10</v>
      </c>
      <c r="CE131">
        <v>0</v>
      </c>
      <c r="CF131">
        <v>0</v>
      </c>
      <c r="CG131">
        <v>0</v>
      </c>
      <c r="CM131">
        <v>0</v>
      </c>
      <c r="CN131" t="s">
        <v>3</v>
      </c>
      <c r="CO131">
        <v>0</v>
      </c>
      <c r="CP131">
        <f t="shared" si="135"/>
        <v>11333.32</v>
      </c>
      <c r="CQ131">
        <f t="shared" si="136"/>
        <v>2833.33</v>
      </c>
      <c r="CR131">
        <f t="shared" si="137"/>
        <v>0</v>
      </c>
      <c r="CS131">
        <f t="shared" si="138"/>
        <v>0</v>
      </c>
      <c r="CT131">
        <f t="shared" si="139"/>
        <v>0</v>
      </c>
      <c r="CU131">
        <f t="shared" si="140"/>
        <v>0</v>
      </c>
      <c r="CV131">
        <f t="shared" si="141"/>
        <v>0</v>
      </c>
      <c r="CW131">
        <f t="shared" si="142"/>
        <v>0</v>
      </c>
      <c r="CX131">
        <f t="shared" si="142"/>
        <v>0</v>
      </c>
      <c r="CY131">
        <f t="shared" si="143"/>
        <v>0</v>
      </c>
      <c r="CZ131">
        <f t="shared" si="144"/>
        <v>0</v>
      </c>
      <c r="DC131" t="s">
        <v>3</v>
      </c>
      <c r="DD131" t="s">
        <v>3</v>
      </c>
      <c r="DE131" t="s">
        <v>3</v>
      </c>
      <c r="DF131" t="s">
        <v>3</v>
      </c>
      <c r="DG131" t="s">
        <v>3</v>
      </c>
      <c r="DH131" t="s">
        <v>3</v>
      </c>
      <c r="DI131" t="s">
        <v>3</v>
      </c>
      <c r="DJ131" t="s">
        <v>3</v>
      </c>
      <c r="DK131" t="s">
        <v>3</v>
      </c>
      <c r="DL131" t="s">
        <v>3</v>
      </c>
      <c r="DM131" t="s">
        <v>3</v>
      </c>
      <c r="DN131">
        <v>0</v>
      </c>
      <c r="DO131">
        <v>0</v>
      </c>
      <c r="DP131">
        <v>1</v>
      </c>
      <c r="DQ131">
        <v>1</v>
      </c>
      <c r="DU131">
        <v>1010</v>
      </c>
      <c r="DV131" t="s">
        <v>51</v>
      </c>
      <c r="DW131" t="s">
        <v>51</v>
      </c>
      <c r="DX131">
        <v>1</v>
      </c>
      <c r="EE131">
        <v>40050625</v>
      </c>
      <c r="EF131">
        <v>1</v>
      </c>
      <c r="EG131" t="s">
        <v>20</v>
      </c>
      <c r="EH131">
        <v>0</v>
      </c>
      <c r="EI131" t="s">
        <v>3</v>
      </c>
      <c r="EJ131">
        <v>4</v>
      </c>
      <c r="EK131">
        <v>0</v>
      </c>
      <c r="EL131" t="s">
        <v>21</v>
      </c>
      <c r="EM131" t="s">
        <v>22</v>
      </c>
      <c r="EO131" t="s">
        <v>3</v>
      </c>
      <c r="EQ131">
        <v>0</v>
      </c>
      <c r="ER131">
        <v>2833.33</v>
      </c>
      <c r="ES131">
        <v>2833.33</v>
      </c>
      <c r="ET131">
        <v>0</v>
      </c>
      <c r="EU131">
        <v>0</v>
      </c>
      <c r="EV131">
        <v>0</v>
      </c>
      <c r="EW131">
        <v>0</v>
      </c>
      <c r="EX131">
        <v>0</v>
      </c>
      <c r="FQ131">
        <v>0</v>
      </c>
      <c r="FR131">
        <f t="shared" si="145"/>
        <v>0</v>
      </c>
      <c r="FS131">
        <v>0</v>
      </c>
      <c r="FX131">
        <v>70</v>
      </c>
      <c r="FY131">
        <v>10</v>
      </c>
      <c r="GA131" t="s">
        <v>3</v>
      </c>
      <c r="GD131">
        <v>0</v>
      </c>
      <c r="GF131">
        <v>-2025809612</v>
      </c>
      <c r="GG131">
        <v>2</v>
      </c>
      <c r="GH131">
        <v>0</v>
      </c>
      <c r="GI131">
        <v>-2</v>
      </c>
      <c r="GJ131">
        <v>0</v>
      </c>
      <c r="GK131">
        <f>ROUND(R131*(R12)/100,2)</f>
        <v>0</v>
      </c>
      <c r="GL131">
        <f t="shared" si="146"/>
        <v>0</v>
      </c>
      <c r="GM131">
        <f t="shared" si="147"/>
        <v>11333.32</v>
      </c>
      <c r="GN131">
        <f t="shared" si="148"/>
        <v>0</v>
      </c>
      <c r="GO131">
        <f t="shared" si="149"/>
        <v>0</v>
      </c>
      <c r="GP131">
        <f t="shared" si="150"/>
        <v>11333.32</v>
      </c>
      <c r="GR131">
        <v>0</v>
      </c>
      <c r="GS131">
        <v>0</v>
      </c>
      <c r="GT131">
        <v>0</v>
      </c>
      <c r="GU131" t="s">
        <v>3</v>
      </c>
      <c r="GV131">
        <f t="shared" si="151"/>
        <v>0</v>
      </c>
      <c r="GW131">
        <v>1</v>
      </c>
      <c r="GX131">
        <f t="shared" si="152"/>
        <v>0</v>
      </c>
      <c r="HA131">
        <v>0</v>
      </c>
      <c r="HB131">
        <v>0</v>
      </c>
      <c r="HC131">
        <f t="shared" si="153"/>
        <v>0</v>
      </c>
      <c r="IK131">
        <v>0</v>
      </c>
    </row>
    <row r="133" spans="1:245">
      <c r="A133" s="2">
        <v>51</v>
      </c>
      <c r="B133" s="2">
        <f>B122</f>
        <v>1</v>
      </c>
      <c r="C133" s="2">
        <f>A122</f>
        <v>4</v>
      </c>
      <c r="D133" s="2">
        <f>ROW(A122)</f>
        <v>122</v>
      </c>
      <c r="E133" s="2"/>
      <c r="F133" s="2" t="str">
        <f>IF(F122&lt;&gt;"",F122,"")</f>
        <v>Новый раздел</v>
      </c>
      <c r="G133" s="2" t="str">
        <f>IF(G122&lt;&gt;"",G122,"")</f>
        <v>Посадка деревьев лиственных - 4шт.</v>
      </c>
      <c r="H133" s="2">
        <v>0</v>
      </c>
      <c r="I133" s="2"/>
      <c r="J133" s="2"/>
      <c r="K133" s="2"/>
      <c r="L133" s="2"/>
      <c r="M133" s="2"/>
      <c r="N133" s="2"/>
      <c r="O133" s="2">
        <f t="shared" ref="O133:T133" si="154">ROUND(AB133,2)</f>
        <v>20292.05</v>
      </c>
      <c r="P133" s="2">
        <f t="shared" si="154"/>
        <v>14215.11</v>
      </c>
      <c r="Q133" s="2">
        <f t="shared" si="154"/>
        <v>797.07</v>
      </c>
      <c r="R133" s="2">
        <f t="shared" si="154"/>
        <v>231.48</v>
      </c>
      <c r="S133" s="2">
        <f t="shared" si="154"/>
        <v>5279.87</v>
      </c>
      <c r="T133" s="2">
        <f t="shared" si="154"/>
        <v>0</v>
      </c>
      <c r="U133" s="2">
        <f>AH133</f>
        <v>26.612344999999998</v>
      </c>
      <c r="V133" s="2">
        <f>AI133</f>
        <v>0</v>
      </c>
      <c r="W133" s="2">
        <f>ROUND(AJ133,2)</f>
        <v>0</v>
      </c>
      <c r="X133" s="2">
        <f>ROUND(AK133,2)</f>
        <v>3695.91</v>
      </c>
      <c r="Y133" s="2">
        <f>ROUND(AL133,2)</f>
        <v>527.99</v>
      </c>
      <c r="Z133" s="2"/>
      <c r="AA133" s="2"/>
      <c r="AB133" s="2">
        <f>ROUND(SUMIF(AA126:AA131,"=42225948",O126:O131),2)</f>
        <v>20292.05</v>
      </c>
      <c r="AC133" s="2">
        <f>ROUND(SUMIF(AA126:AA131,"=42225948",P126:P131),2)</f>
        <v>14215.11</v>
      </c>
      <c r="AD133" s="2">
        <f>ROUND(SUMIF(AA126:AA131,"=42225948",Q126:Q131),2)</f>
        <v>797.07</v>
      </c>
      <c r="AE133" s="2">
        <f>ROUND(SUMIF(AA126:AA131,"=42225948",R126:R131),2)</f>
        <v>231.48</v>
      </c>
      <c r="AF133" s="2">
        <f>ROUND(SUMIF(AA126:AA131,"=42225948",S126:S131),2)</f>
        <v>5279.87</v>
      </c>
      <c r="AG133" s="2">
        <f>ROUND(SUMIF(AA126:AA131,"=42225948",T126:T131),2)</f>
        <v>0</v>
      </c>
      <c r="AH133" s="2">
        <f>SUMIF(AA126:AA131,"=42225948",U126:U131)</f>
        <v>26.612344999999998</v>
      </c>
      <c r="AI133" s="2">
        <f>SUMIF(AA126:AA131,"=42225948",V126:V131)</f>
        <v>0</v>
      </c>
      <c r="AJ133" s="2">
        <f>ROUND(SUMIF(AA126:AA131,"=42225948",W126:W131),2)</f>
        <v>0</v>
      </c>
      <c r="AK133" s="2">
        <f>ROUND(SUMIF(AA126:AA131,"=42225948",X126:X131),2)</f>
        <v>3695.91</v>
      </c>
      <c r="AL133" s="2">
        <f>ROUND(SUMIF(AA126:AA131,"=42225948",Y126:Y131),2)</f>
        <v>527.99</v>
      </c>
      <c r="AM133" s="2"/>
      <c r="AN133" s="2"/>
      <c r="AO133" s="2">
        <f t="shared" ref="AO133:BC133" si="155">ROUND(BX133,2)</f>
        <v>0</v>
      </c>
      <c r="AP133" s="2">
        <f t="shared" si="155"/>
        <v>0</v>
      </c>
      <c r="AQ133" s="2">
        <f t="shared" si="155"/>
        <v>0</v>
      </c>
      <c r="AR133" s="2">
        <f t="shared" si="155"/>
        <v>24765.95</v>
      </c>
      <c r="AS133" s="2">
        <f t="shared" si="155"/>
        <v>0</v>
      </c>
      <c r="AT133" s="2">
        <f t="shared" si="155"/>
        <v>0</v>
      </c>
      <c r="AU133" s="2">
        <f t="shared" si="155"/>
        <v>24765.95</v>
      </c>
      <c r="AV133" s="2">
        <f t="shared" si="155"/>
        <v>14215.11</v>
      </c>
      <c r="AW133" s="2">
        <f t="shared" si="155"/>
        <v>14215.11</v>
      </c>
      <c r="AX133" s="2">
        <f t="shared" si="155"/>
        <v>0</v>
      </c>
      <c r="AY133" s="2">
        <f t="shared" si="155"/>
        <v>14215.11</v>
      </c>
      <c r="AZ133" s="2">
        <f t="shared" si="155"/>
        <v>0</v>
      </c>
      <c r="BA133" s="2">
        <f t="shared" si="155"/>
        <v>0</v>
      </c>
      <c r="BB133" s="2">
        <f t="shared" si="155"/>
        <v>0</v>
      </c>
      <c r="BC133" s="2">
        <f t="shared" si="155"/>
        <v>0</v>
      </c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>
        <f>ROUND(SUMIF(AA126:AA131,"=42225948",FQ126:FQ131),2)</f>
        <v>0</v>
      </c>
      <c r="BY133" s="2">
        <f>ROUND(SUMIF(AA126:AA131,"=42225948",FR126:FR131),2)</f>
        <v>0</v>
      </c>
      <c r="BZ133" s="2">
        <f>ROUND(SUMIF(AA126:AA131,"=42225948",GL126:GL131),2)</f>
        <v>0</v>
      </c>
      <c r="CA133" s="2">
        <f>ROUND(SUMIF(AA126:AA131,"=42225948",GM126:GM131),2)</f>
        <v>24765.95</v>
      </c>
      <c r="CB133" s="2">
        <f>ROUND(SUMIF(AA126:AA131,"=42225948",GN126:GN131),2)</f>
        <v>0</v>
      </c>
      <c r="CC133" s="2">
        <f>ROUND(SUMIF(AA126:AA131,"=42225948",GO126:GO131),2)</f>
        <v>0</v>
      </c>
      <c r="CD133" s="2">
        <f>ROUND(SUMIF(AA126:AA131,"=42225948",GP126:GP131),2)</f>
        <v>24765.95</v>
      </c>
      <c r="CE133" s="2">
        <f>AC133-BX133</f>
        <v>14215.11</v>
      </c>
      <c r="CF133" s="2">
        <f>AC133-BY133</f>
        <v>14215.11</v>
      </c>
      <c r="CG133" s="2">
        <f>BX133-BZ133</f>
        <v>0</v>
      </c>
      <c r="CH133" s="2">
        <f>AC133-BX133-BY133+BZ133</f>
        <v>14215.11</v>
      </c>
      <c r="CI133" s="2">
        <f>BY133-BZ133</f>
        <v>0</v>
      </c>
      <c r="CJ133" s="2">
        <f>ROUND(SUMIF(AA126:AA131,"=42225948",GX126:GX131),2)</f>
        <v>0</v>
      </c>
      <c r="CK133" s="2">
        <f>ROUND(SUMIF(AA126:AA131,"=42225948",GY126:GY131),2)</f>
        <v>0</v>
      </c>
      <c r="CL133" s="2">
        <f>ROUND(SUMIF(AA126:AA131,"=42225948",GZ126:GZ131),2)</f>
        <v>0</v>
      </c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>
        <v>0</v>
      </c>
    </row>
    <row r="135" spans="1:245">
      <c r="A135" s="4">
        <v>50</v>
      </c>
      <c r="B135" s="4">
        <v>0</v>
      </c>
      <c r="C135" s="4">
        <v>0</v>
      </c>
      <c r="D135" s="4">
        <v>1</v>
      </c>
      <c r="E135" s="4">
        <v>201</v>
      </c>
      <c r="F135" s="4">
        <f>ROUND(Source!O133,O135)</f>
        <v>20292.05</v>
      </c>
      <c r="G135" s="4" t="s">
        <v>65</v>
      </c>
      <c r="H135" s="4" t="s">
        <v>66</v>
      </c>
      <c r="I135" s="4"/>
      <c r="J135" s="4"/>
      <c r="K135" s="4">
        <v>201</v>
      </c>
      <c r="L135" s="4">
        <v>1</v>
      </c>
      <c r="M135" s="4">
        <v>3</v>
      </c>
      <c r="N135" s="4" t="s">
        <v>3</v>
      </c>
      <c r="O135" s="4">
        <v>2</v>
      </c>
      <c r="P135" s="4"/>
      <c r="Q135" s="4"/>
      <c r="R135" s="4"/>
      <c r="S135" s="4"/>
      <c r="T135" s="4"/>
      <c r="U135" s="4"/>
      <c r="V135" s="4"/>
      <c r="W135" s="4"/>
    </row>
    <row r="136" spans="1:245">
      <c r="A136" s="4">
        <v>50</v>
      </c>
      <c r="B136" s="4">
        <v>0</v>
      </c>
      <c r="C136" s="4">
        <v>0</v>
      </c>
      <c r="D136" s="4">
        <v>1</v>
      </c>
      <c r="E136" s="4">
        <v>202</v>
      </c>
      <c r="F136" s="4">
        <f>ROUND(Source!P133,O136)</f>
        <v>14215.11</v>
      </c>
      <c r="G136" s="4" t="s">
        <v>67</v>
      </c>
      <c r="H136" s="4" t="s">
        <v>68</v>
      </c>
      <c r="I136" s="4"/>
      <c r="J136" s="4"/>
      <c r="K136" s="4">
        <v>202</v>
      </c>
      <c r="L136" s="4">
        <v>2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45">
      <c r="A137" s="4">
        <v>50</v>
      </c>
      <c r="B137" s="4">
        <v>0</v>
      </c>
      <c r="C137" s="4">
        <v>0</v>
      </c>
      <c r="D137" s="4">
        <v>1</v>
      </c>
      <c r="E137" s="4">
        <v>222</v>
      </c>
      <c r="F137" s="4">
        <f>ROUND(Source!AO133,O137)</f>
        <v>0</v>
      </c>
      <c r="G137" s="4" t="s">
        <v>69</v>
      </c>
      <c r="H137" s="4" t="s">
        <v>70</v>
      </c>
      <c r="I137" s="4"/>
      <c r="J137" s="4"/>
      <c r="K137" s="4">
        <v>222</v>
      </c>
      <c r="L137" s="4">
        <v>3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45">
      <c r="A138" s="4">
        <v>50</v>
      </c>
      <c r="B138" s="4">
        <v>0</v>
      </c>
      <c r="C138" s="4">
        <v>0</v>
      </c>
      <c r="D138" s="4">
        <v>1</v>
      </c>
      <c r="E138" s="4">
        <v>225</v>
      </c>
      <c r="F138" s="4">
        <f>ROUND(Source!AV133,O138)</f>
        <v>14215.11</v>
      </c>
      <c r="G138" s="4" t="s">
        <v>71</v>
      </c>
      <c r="H138" s="4" t="s">
        <v>72</v>
      </c>
      <c r="I138" s="4"/>
      <c r="J138" s="4"/>
      <c r="K138" s="4">
        <v>225</v>
      </c>
      <c r="L138" s="4">
        <v>4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45">
      <c r="A139" s="4">
        <v>50</v>
      </c>
      <c r="B139" s="4">
        <v>0</v>
      </c>
      <c r="C139" s="4">
        <v>0</v>
      </c>
      <c r="D139" s="4">
        <v>1</v>
      </c>
      <c r="E139" s="4">
        <v>226</v>
      </c>
      <c r="F139" s="4">
        <f>ROUND(Source!AW133,O139)</f>
        <v>14215.11</v>
      </c>
      <c r="G139" s="4" t="s">
        <v>73</v>
      </c>
      <c r="H139" s="4" t="s">
        <v>74</v>
      </c>
      <c r="I139" s="4"/>
      <c r="J139" s="4"/>
      <c r="K139" s="4">
        <v>226</v>
      </c>
      <c r="L139" s="4">
        <v>5</v>
      </c>
      <c r="M139" s="4">
        <v>3</v>
      </c>
      <c r="N139" s="4" t="s">
        <v>3</v>
      </c>
      <c r="O139" s="4">
        <v>2</v>
      </c>
      <c r="P139" s="4"/>
      <c r="Q139" s="4"/>
      <c r="R139" s="4"/>
      <c r="S139" s="4"/>
      <c r="T139" s="4"/>
      <c r="U139" s="4"/>
      <c r="V139" s="4"/>
      <c r="W139" s="4"/>
    </row>
    <row r="140" spans="1:245">
      <c r="A140" s="4">
        <v>50</v>
      </c>
      <c r="B140" s="4">
        <v>0</v>
      </c>
      <c r="C140" s="4">
        <v>0</v>
      </c>
      <c r="D140" s="4">
        <v>1</v>
      </c>
      <c r="E140" s="4">
        <v>227</v>
      </c>
      <c r="F140" s="4">
        <f>ROUND(Source!AX133,O140)</f>
        <v>0</v>
      </c>
      <c r="G140" s="4" t="s">
        <v>75</v>
      </c>
      <c r="H140" s="4" t="s">
        <v>76</v>
      </c>
      <c r="I140" s="4"/>
      <c r="J140" s="4"/>
      <c r="K140" s="4">
        <v>227</v>
      </c>
      <c r="L140" s="4">
        <v>6</v>
      </c>
      <c r="M140" s="4">
        <v>3</v>
      </c>
      <c r="N140" s="4" t="s">
        <v>3</v>
      </c>
      <c r="O140" s="4">
        <v>2</v>
      </c>
      <c r="P140" s="4"/>
      <c r="Q140" s="4"/>
      <c r="R140" s="4"/>
      <c r="S140" s="4"/>
      <c r="T140" s="4"/>
      <c r="U140" s="4"/>
      <c r="V140" s="4"/>
      <c r="W140" s="4"/>
    </row>
    <row r="141" spans="1:245">
      <c r="A141" s="4">
        <v>50</v>
      </c>
      <c r="B141" s="4">
        <v>0</v>
      </c>
      <c r="C141" s="4">
        <v>0</v>
      </c>
      <c r="D141" s="4">
        <v>1</v>
      </c>
      <c r="E141" s="4">
        <v>228</v>
      </c>
      <c r="F141" s="4">
        <f>ROUND(Source!AY133,O141)</f>
        <v>14215.11</v>
      </c>
      <c r="G141" s="4" t="s">
        <v>77</v>
      </c>
      <c r="H141" s="4" t="s">
        <v>78</v>
      </c>
      <c r="I141" s="4"/>
      <c r="J141" s="4"/>
      <c r="K141" s="4">
        <v>228</v>
      </c>
      <c r="L141" s="4">
        <v>7</v>
      </c>
      <c r="M141" s="4">
        <v>3</v>
      </c>
      <c r="N141" s="4" t="s">
        <v>3</v>
      </c>
      <c r="O141" s="4">
        <v>2</v>
      </c>
      <c r="P141" s="4"/>
      <c r="Q141" s="4"/>
      <c r="R141" s="4"/>
      <c r="S141" s="4"/>
      <c r="T141" s="4"/>
      <c r="U141" s="4"/>
      <c r="V141" s="4"/>
      <c r="W141" s="4"/>
    </row>
    <row r="142" spans="1:245">
      <c r="A142" s="4">
        <v>50</v>
      </c>
      <c r="B142" s="4">
        <v>0</v>
      </c>
      <c r="C142" s="4">
        <v>0</v>
      </c>
      <c r="D142" s="4">
        <v>1</v>
      </c>
      <c r="E142" s="4">
        <v>216</v>
      </c>
      <c r="F142" s="4">
        <f>ROUND(Source!AP133,O142)</f>
        <v>0</v>
      </c>
      <c r="G142" s="4" t="s">
        <v>79</v>
      </c>
      <c r="H142" s="4" t="s">
        <v>80</v>
      </c>
      <c r="I142" s="4"/>
      <c r="J142" s="4"/>
      <c r="K142" s="4">
        <v>216</v>
      </c>
      <c r="L142" s="4">
        <v>8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45">
      <c r="A143" s="4">
        <v>50</v>
      </c>
      <c r="B143" s="4">
        <v>0</v>
      </c>
      <c r="C143" s="4">
        <v>0</v>
      </c>
      <c r="D143" s="4">
        <v>1</v>
      </c>
      <c r="E143" s="4">
        <v>223</v>
      </c>
      <c r="F143" s="4">
        <f>ROUND(Source!AQ133,O143)</f>
        <v>0</v>
      </c>
      <c r="G143" s="4" t="s">
        <v>81</v>
      </c>
      <c r="H143" s="4" t="s">
        <v>82</v>
      </c>
      <c r="I143" s="4"/>
      <c r="J143" s="4"/>
      <c r="K143" s="4">
        <v>223</v>
      </c>
      <c r="L143" s="4">
        <v>9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45">
      <c r="A144" s="4">
        <v>50</v>
      </c>
      <c r="B144" s="4">
        <v>0</v>
      </c>
      <c r="C144" s="4">
        <v>0</v>
      </c>
      <c r="D144" s="4">
        <v>1</v>
      </c>
      <c r="E144" s="4">
        <v>229</v>
      </c>
      <c r="F144" s="4">
        <f>ROUND(Source!AZ133,O144)</f>
        <v>0</v>
      </c>
      <c r="G144" s="4" t="s">
        <v>83</v>
      </c>
      <c r="H144" s="4" t="s">
        <v>84</v>
      </c>
      <c r="I144" s="4"/>
      <c r="J144" s="4"/>
      <c r="K144" s="4">
        <v>229</v>
      </c>
      <c r="L144" s="4">
        <v>10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3">
      <c r="A145" s="4">
        <v>50</v>
      </c>
      <c r="B145" s="4">
        <v>0</v>
      </c>
      <c r="C145" s="4">
        <v>0</v>
      </c>
      <c r="D145" s="4">
        <v>1</v>
      </c>
      <c r="E145" s="4">
        <v>203</v>
      </c>
      <c r="F145" s="4">
        <f>ROUND(Source!Q133,O145)</f>
        <v>797.07</v>
      </c>
      <c r="G145" s="4" t="s">
        <v>85</v>
      </c>
      <c r="H145" s="4" t="s">
        <v>86</v>
      </c>
      <c r="I145" s="4"/>
      <c r="J145" s="4"/>
      <c r="K145" s="4">
        <v>203</v>
      </c>
      <c r="L145" s="4">
        <v>11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3">
      <c r="A146" s="4">
        <v>50</v>
      </c>
      <c r="B146" s="4">
        <v>0</v>
      </c>
      <c r="C146" s="4">
        <v>0</v>
      </c>
      <c r="D146" s="4">
        <v>1</v>
      </c>
      <c r="E146" s="4">
        <v>231</v>
      </c>
      <c r="F146" s="4">
        <f>ROUND(Source!BB133,O146)</f>
        <v>0</v>
      </c>
      <c r="G146" s="4" t="s">
        <v>87</v>
      </c>
      <c r="H146" s="4" t="s">
        <v>88</v>
      </c>
      <c r="I146" s="4"/>
      <c r="J146" s="4"/>
      <c r="K146" s="4">
        <v>231</v>
      </c>
      <c r="L146" s="4">
        <v>12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/>
    </row>
    <row r="147" spans="1:23">
      <c r="A147" s="4">
        <v>50</v>
      </c>
      <c r="B147" s="4">
        <v>0</v>
      </c>
      <c r="C147" s="4">
        <v>0</v>
      </c>
      <c r="D147" s="4">
        <v>1</v>
      </c>
      <c r="E147" s="4">
        <v>204</v>
      </c>
      <c r="F147" s="4">
        <f>ROUND(Source!R133,O147)</f>
        <v>231.48</v>
      </c>
      <c r="G147" s="4" t="s">
        <v>89</v>
      </c>
      <c r="H147" s="4" t="s">
        <v>90</v>
      </c>
      <c r="I147" s="4"/>
      <c r="J147" s="4"/>
      <c r="K147" s="4">
        <v>204</v>
      </c>
      <c r="L147" s="4">
        <v>13</v>
      </c>
      <c r="M147" s="4">
        <v>3</v>
      </c>
      <c r="N147" s="4" t="s">
        <v>3</v>
      </c>
      <c r="O147" s="4">
        <v>2</v>
      </c>
      <c r="P147" s="4"/>
      <c r="Q147" s="4"/>
      <c r="R147" s="4"/>
      <c r="S147" s="4"/>
      <c r="T147" s="4"/>
      <c r="U147" s="4"/>
      <c r="V147" s="4"/>
      <c r="W147" s="4"/>
    </row>
    <row r="148" spans="1:23">
      <c r="A148" s="4">
        <v>50</v>
      </c>
      <c r="B148" s="4">
        <v>0</v>
      </c>
      <c r="C148" s="4">
        <v>0</v>
      </c>
      <c r="D148" s="4">
        <v>1</v>
      </c>
      <c r="E148" s="4">
        <v>205</v>
      </c>
      <c r="F148" s="4">
        <f>ROUND(Source!S133,O148)</f>
        <v>5279.87</v>
      </c>
      <c r="G148" s="4" t="s">
        <v>91</v>
      </c>
      <c r="H148" s="4" t="s">
        <v>92</v>
      </c>
      <c r="I148" s="4"/>
      <c r="J148" s="4"/>
      <c r="K148" s="4">
        <v>205</v>
      </c>
      <c r="L148" s="4">
        <v>14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3">
      <c r="A149" s="4">
        <v>50</v>
      </c>
      <c r="B149" s="4">
        <v>0</v>
      </c>
      <c r="C149" s="4">
        <v>0</v>
      </c>
      <c r="D149" s="4">
        <v>1</v>
      </c>
      <c r="E149" s="4">
        <v>232</v>
      </c>
      <c r="F149" s="4">
        <f>ROUND(Source!BC133,O149)</f>
        <v>0</v>
      </c>
      <c r="G149" s="4" t="s">
        <v>93</v>
      </c>
      <c r="H149" s="4" t="s">
        <v>94</v>
      </c>
      <c r="I149" s="4"/>
      <c r="J149" s="4"/>
      <c r="K149" s="4">
        <v>232</v>
      </c>
      <c r="L149" s="4">
        <v>15</v>
      </c>
      <c r="M149" s="4">
        <v>3</v>
      </c>
      <c r="N149" s="4" t="s">
        <v>3</v>
      </c>
      <c r="O149" s="4">
        <v>2</v>
      </c>
      <c r="P149" s="4"/>
      <c r="Q149" s="4"/>
      <c r="R149" s="4"/>
      <c r="S149" s="4"/>
      <c r="T149" s="4"/>
      <c r="U149" s="4"/>
      <c r="V149" s="4"/>
      <c r="W149" s="4"/>
    </row>
    <row r="150" spans="1:23">
      <c r="A150" s="4">
        <v>50</v>
      </c>
      <c r="B150" s="4">
        <v>0</v>
      </c>
      <c r="C150" s="4">
        <v>0</v>
      </c>
      <c r="D150" s="4">
        <v>1</v>
      </c>
      <c r="E150" s="4">
        <v>214</v>
      </c>
      <c r="F150" s="4">
        <f>ROUND(Source!AS133,O150)</f>
        <v>0</v>
      </c>
      <c r="G150" s="4" t="s">
        <v>95</v>
      </c>
      <c r="H150" s="4" t="s">
        <v>96</v>
      </c>
      <c r="I150" s="4"/>
      <c r="J150" s="4"/>
      <c r="K150" s="4">
        <v>214</v>
      </c>
      <c r="L150" s="4">
        <v>16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/>
    </row>
    <row r="151" spans="1:23">
      <c r="A151" s="4">
        <v>50</v>
      </c>
      <c r="B151" s="4">
        <v>0</v>
      </c>
      <c r="C151" s="4">
        <v>0</v>
      </c>
      <c r="D151" s="4">
        <v>1</v>
      </c>
      <c r="E151" s="4">
        <v>215</v>
      </c>
      <c r="F151" s="4">
        <f>ROUND(Source!AT133,O151)</f>
        <v>0</v>
      </c>
      <c r="G151" s="4" t="s">
        <v>97</v>
      </c>
      <c r="H151" s="4" t="s">
        <v>98</v>
      </c>
      <c r="I151" s="4"/>
      <c r="J151" s="4"/>
      <c r="K151" s="4">
        <v>215</v>
      </c>
      <c r="L151" s="4">
        <v>17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3">
      <c r="A152" s="4">
        <v>50</v>
      </c>
      <c r="B152" s="4">
        <v>0</v>
      </c>
      <c r="C152" s="4">
        <v>0</v>
      </c>
      <c r="D152" s="4">
        <v>1</v>
      </c>
      <c r="E152" s="4">
        <v>217</v>
      </c>
      <c r="F152" s="4">
        <f>ROUND(Source!AU133,O152)</f>
        <v>24765.95</v>
      </c>
      <c r="G152" s="4" t="s">
        <v>99</v>
      </c>
      <c r="H152" s="4" t="s">
        <v>100</v>
      </c>
      <c r="I152" s="4"/>
      <c r="J152" s="4"/>
      <c r="K152" s="4">
        <v>217</v>
      </c>
      <c r="L152" s="4">
        <v>18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3" spans="1:23">
      <c r="A153" s="4">
        <v>50</v>
      </c>
      <c r="B153" s="4">
        <v>0</v>
      </c>
      <c r="C153" s="4">
        <v>0</v>
      </c>
      <c r="D153" s="4">
        <v>1</v>
      </c>
      <c r="E153" s="4">
        <v>230</v>
      </c>
      <c r="F153" s="4">
        <f>ROUND(Source!BA133,O153)</f>
        <v>0</v>
      </c>
      <c r="G153" s="4" t="s">
        <v>101</v>
      </c>
      <c r="H153" s="4" t="s">
        <v>102</v>
      </c>
      <c r="I153" s="4"/>
      <c r="J153" s="4"/>
      <c r="K153" s="4">
        <v>230</v>
      </c>
      <c r="L153" s="4">
        <v>19</v>
      </c>
      <c r="M153" s="4">
        <v>3</v>
      </c>
      <c r="N153" s="4" t="s">
        <v>3</v>
      </c>
      <c r="O153" s="4">
        <v>2</v>
      </c>
      <c r="P153" s="4"/>
      <c r="Q153" s="4"/>
      <c r="R153" s="4"/>
      <c r="S153" s="4"/>
      <c r="T153" s="4"/>
      <c r="U153" s="4"/>
      <c r="V153" s="4"/>
      <c r="W153" s="4"/>
    </row>
    <row r="154" spans="1:23">
      <c r="A154" s="4">
        <v>50</v>
      </c>
      <c r="B154" s="4">
        <v>0</v>
      </c>
      <c r="C154" s="4">
        <v>0</v>
      </c>
      <c r="D154" s="4">
        <v>1</v>
      </c>
      <c r="E154" s="4">
        <v>206</v>
      </c>
      <c r="F154" s="4">
        <f>ROUND(Source!T133,O154)</f>
        <v>0</v>
      </c>
      <c r="G154" s="4" t="s">
        <v>103</v>
      </c>
      <c r="H154" s="4" t="s">
        <v>104</v>
      </c>
      <c r="I154" s="4"/>
      <c r="J154" s="4"/>
      <c r="K154" s="4">
        <v>206</v>
      </c>
      <c r="L154" s="4">
        <v>20</v>
      </c>
      <c r="M154" s="4">
        <v>3</v>
      </c>
      <c r="N154" s="4" t="s">
        <v>3</v>
      </c>
      <c r="O154" s="4">
        <v>2</v>
      </c>
      <c r="P154" s="4"/>
      <c r="Q154" s="4"/>
      <c r="R154" s="4"/>
      <c r="S154" s="4"/>
      <c r="T154" s="4"/>
      <c r="U154" s="4"/>
      <c r="V154" s="4"/>
      <c r="W154" s="4"/>
    </row>
    <row r="155" spans="1:23">
      <c r="A155" s="4">
        <v>50</v>
      </c>
      <c r="B155" s="4">
        <v>0</v>
      </c>
      <c r="C155" s="4">
        <v>0</v>
      </c>
      <c r="D155" s="4">
        <v>1</v>
      </c>
      <c r="E155" s="4">
        <v>207</v>
      </c>
      <c r="F155" s="4">
        <f>Source!U133</f>
        <v>26.612344999999998</v>
      </c>
      <c r="G155" s="4" t="s">
        <v>105</v>
      </c>
      <c r="H155" s="4" t="s">
        <v>106</v>
      </c>
      <c r="I155" s="4"/>
      <c r="J155" s="4"/>
      <c r="K155" s="4">
        <v>207</v>
      </c>
      <c r="L155" s="4">
        <v>21</v>
      </c>
      <c r="M155" s="4">
        <v>3</v>
      </c>
      <c r="N155" s="4" t="s">
        <v>3</v>
      </c>
      <c r="O155" s="4">
        <v>-1</v>
      </c>
      <c r="P155" s="4"/>
      <c r="Q155" s="4"/>
      <c r="R155" s="4"/>
      <c r="S155" s="4"/>
      <c r="T155" s="4"/>
      <c r="U155" s="4"/>
      <c r="V155" s="4"/>
      <c r="W155" s="4"/>
    </row>
    <row r="156" spans="1:23">
      <c r="A156" s="4">
        <v>50</v>
      </c>
      <c r="B156" s="4">
        <v>0</v>
      </c>
      <c r="C156" s="4">
        <v>0</v>
      </c>
      <c r="D156" s="4">
        <v>1</v>
      </c>
      <c r="E156" s="4">
        <v>208</v>
      </c>
      <c r="F156" s="4">
        <f>Source!V133</f>
        <v>0</v>
      </c>
      <c r="G156" s="4" t="s">
        <v>107</v>
      </c>
      <c r="H156" s="4" t="s">
        <v>108</v>
      </c>
      <c r="I156" s="4"/>
      <c r="J156" s="4"/>
      <c r="K156" s="4">
        <v>208</v>
      </c>
      <c r="L156" s="4">
        <v>22</v>
      </c>
      <c r="M156" s="4">
        <v>3</v>
      </c>
      <c r="N156" s="4" t="s">
        <v>3</v>
      </c>
      <c r="O156" s="4">
        <v>-1</v>
      </c>
      <c r="P156" s="4"/>
      <c r="Q156" s="4"/>
      <c r="R156" s="4"/>
      <c r="S156" s="4"/>
      <c r="T156" s="4"/>
      <c r="U156" s="4"/>
      <c r="V156" s="4"/>
      <c r="W156" s="4"/>
    </row>
    <row r="157" spans="1:23">
      <c r="A157" s="4">
        <v>50</v>
      </c>
      <c r="B157" s="4">
        <v>0</v>
      </c>
      <c r="C157" s="4">
        <v>0</v>
      </c>
      <c r="D157" s="4">
        <v>1</v>
      </c>
      <c r="E157" s="4">
        <v>209</v>
      </c>
      <c r="F157" s="4">
        <f>ROUND(Source!W133,O157)</f>
        <v>0</v>
      </c>
      <c r="G157" s="4" t="s">
        <v>109</v>
      </c>
      <c r="H157" s="4" t="s">
        <v>110</v>
      </c>
      <c r="I157" s="4"/>
      <c r="J157" s="4"/>
      <c r="K157" s="4">
        <v>209</v>
      </c>
      <c r="L157" s="4">
        <v>23</v>
      </c>
      <c r="M157" s="4">
        <v>3</v>
      </c>
      <c r="N157" s="4" t="s">
        <v>3</v>
      </c>
      <c r="O157" s="4">
        <v>2</v>
      </c>
      <c r="P157" s="4"/>
      <c r="Q157" s="4"/>
      <c r="R157" s="4"/>
      <c r="S157" s="4"/>
      <c r="T157" s="4"/>
      <c r="U157" s="4"/>
      <c r="V157" s="4"/>
      <c r="W157" s="4"/>
    </row>
    <row r="158" spans="1:23">
      <c r="A158" s="4">
        <v>50</v>
      </c>
      <c r="B158" s="4">
        <v>0</v>
      </c>
      <c r="C158" s="4">
        <v>0</v>
      </c>
      <c r="D158" s="4">
        <v>1</v>
      </c>
      <c r="E158" s="4">
        <v>210</v>
      </c>
      <c r="F158" s="4">
        <f>ROUND(Source!X133,O158)</f>
        <v>3695.91</v>
      </c>
      <c r="G158" s="4" t="s">
        <v>111</v>
      </c>
      <c r="H158" s="4" t="s">
        <v>112</v>
      </c>
      <c r="I158" s="4"/>
      <c r="J158" s="4"/>
      <c r="K158" s="4">
        <v>210</v>
      </c>
      <c r="L158" s="4">
        <v>24</v>
      </c>
      <c r="M158" s="4">
        <v>3</v>
      </c>
      <c r="N158" s="4" t="s">
        <v>3</v>
      </c>
      <c r="O158" s="4">
        <v>2</v>
      </c>
      <c r="P158" s="4"/>
      <c r="Q158" s="4"/>
      <c r="R158" s="4"/>
      <c r="S158" s="4"/>
      <c r="T158" s="4"/>
      <c r="U158" s="4"/>
      <c r="V158" s="4"/>
      <c r="W158" s="4"/>
    </row>
    <row r="159" spans="1:23">
      <c r="A159" s="4">
        <v>50</v>
      </c>
      <c r="B159" s="4">
        <v>0</v>
      </c>
      <c r="C159" s="4">
        <v>0</v>
      </c>
      <c r="D159" s="4">
        <v>1</v>
      </c>
      <c r="E159" s="4">
        <v>211</v>
      </c>
      <c r="F159" s="4">
        <f>ROUND(Source!Y133,O159)</f>
        <v>527.99</v>
      </c>
      <c r="G159" s="4" t="s">
        <v>113</v>
      </c>
      <c r="H159" s="4" t="s">
        <v>114</v>
      </c>
      <c r="I159" s="4"/>
      <c r="J159" s="4"/>
      <c r="K159" s="4">
        <v>211</v>
      </c>
      <c r="L159" s="4">
        <v>25</v>
      </c>
      <c r="M159" s="4">
        <v>3</v>
      </c>
      <c r="N159" s="4" t="s">
        <v>3</v>
      </c>
      <c r="O159" s="4">
        <v>2</v>
      </c>
      <c r="P159" s="4"/>
      <c r="Q159" s="4"/>
      <c r="R159" s="4"/>
      <c r="S159" s="4"/>
      <c r="T159" s="4"/>
      <c r="U159" s="4"/>
      <c r="V159" s="4"/>
      <c r="W159" s="4"/>
    </row>
    <row r="160" spans="1:23">
      <c r="A160" s="4">
        <v>50</v>
      </c>
      <c r="B160" s="4">
        <v>0</v>
      </c>
      <c r="C160" s="4">
        <v>0</v>
      </c>
      <c r="D160" s="4">
        <v>1</v>
      </c>
      <c r="E160" s="4">
        <v>224</v>
      </c>
      <c r="F160" s="4">
        <f>ROUND(Source!AR133,O160)</f>
        <v>24765.95</v>
      </c>
      <c r="G160" s="4" t="s">
        <v>115</v>
      </c>
      <c r="H160" s="4" t="s">
        <v>116</v>
      </c>
      <c r="I160" s="4"/>
      <c r="J160" s="4"/>
      <c r="K160" s="4">
        <v>224</v>
      </c>
      <c r="L160" s="4">
        <v>26</v>
      </c>
      <c r="M160" s="4">
        <v>3</v>
      </c>
      <c r="N160" s="4" t="s">
        <v>3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1" spans="1:245">
      <c r="A161" s="4">
        <v>50</v>
      </c>
      <c r="B161" s="4">
        <v>1</v>
      </c>
      <c r="C161" s="4">
        <v>0</v>
      </c>
      <c r="D161" s="4">
        <v>2</v>
      </c>
      <c r="E161" s="4">
        <v>0</v>
      </c>
      <c r="F161" s="4">
        <f>ROUND(F160,O161)</f>
        <v>24765.95</v>
      </c>
      <c r="G161" s="4" t="s">
        <v>4</v>
      </c>
      <c r="H161" s="4" t="s">
        <v>117</v>
      </c>
      <c r="I161" s="4"/>
      <c r="J161" s="4"/>
      <c r="K161" s="4">
        <v>212</v>
      </c>
      <c r="L161" s="4">
        <v>27</v>
      </c>
      <c r="M161" s="4">
        <v>0</v>
      </c>
      <c r="N161" s="4" t="s">
        <v>3</v>
      </c>
      <c r="O161" s="4">
        <v>2</v>
      </c>
      <c r="P161" s="4"/>
      <c r="Q161" s="4"/>
      <c r="R161" s="4"/>
      <c r="S161" s="4"/>
      <c r="T161" s="4"/>
      <c r="U161" s="4"/>
      <c r="V161" s="4"/>
      <c r="W161" s="4"/>
    </row>
    <row r="162" spans="1:245">
      <c r="A162" s="4">
        <v>50</v>
      </c>
      <c r="B162" s="4">
        <v>1</v>
      </c>
      <c r="C162" s="4">
        <v>0</v>
      </c>
      <c r="D162" s="4">
        <v>2</v>
      </c>
      <c r="E162" s="4">
        <v>0</v>
      </c>
      <c r="F162" s="4">
        <f>ROUND(F161*0.2,O162)</f>
        <v>4953.1899999999996</v>
      </c>
      <c r="G162" s="4" t="s">
        <v>23</v>
      </c>
      <c r="H162" s="4" t="s">
        <v>118</v>
      </c>
      <c r="I162" s="4"/>
      <c r="J162" s="4"/>
      <c r="K162" s="4">
        <v>212</v>
      </c>
      <c r="L162" s="4">
        <v>28</v>
      </c>
      <c r="M162" s="4">
        <v>0</v>
      </c>
      <c r="N162" s="4" t="s">
        <v>3</v>
      </c>
      <c r="O162" s="4">
        <v>2</v>
      </c>
      <c r="P162" s="4"/>
      <c r="Q162" s="4"/>
      <c r="R162" s="4"/>
      <c r="S162" s="4"/>
      <c r="T162" s="4"/>
      <c r="U162" s="4"/>
      <c r="V162" s="4"/>
      <c r="W162" s="4"/>
    </row>
    <row r="163" spans="1:245">
      <c r="A163" s="4">
        <v>50</v>
      </c>
      <c r="B163" s="4">
        <v>1</v>
      </c>
      <c r="C163" s="4">
        <v>0</v>
      </c>
      <c r="D163" s="4">
        <v>2</v>
      </c>
      <c r="E163" s="4">
        <v>0</v>
      </c>
      <c r="F163" s="4">
        <f>ROUND(F161+F162,O163)</f>
        <v>29719.14</v>
      </c>
      <c r="G163" s="4" t="s">
        <v>27</v>
      </c>
      <c r="H163" s="4" t="s">
        <v>119</v>
      </c>
      <c r="I163" s="4"/>
      <c r="J163" s="4"/>
      <c r="K163" s="4">
        <v>212</v>
      </c>
      <c r="L163" s="4">
        <v>29</v>
      </c>
      <c r="M163" s="4">
        <v>0</v>
      </c>
      <c r="N163" s="4" t="s">
        <v>3</v>
      </c>
      <c r="O163" s="4">
        <v>2</v>
      </c>
      <c r="P163" s="4"/>
      <c r="Q163" s="4"/>
      <c r="R163" s="4"/>
      <c r="S163" s="4"/>
      <c r="T163" s="4"/>
      <c r="U163" s="4"/>
      <c r="V163" s="4"/>
      <c r="W163" s="4"/>
    </row>
    <row r="165" spans="1:245">
      <c r="A165" s="1">
        <v>4</v>
      </c>
      <c r="B165" s="1">
        <v>1</v>
      </c>
      <c r="C165" s="1"/>
      <c r="D165" s="1">
        <f>ROW(A187)</f>
        <v>187</v>
      </c>
      <c r="E165" s="1"/>
      <c r="F165" s="1" t="s">
        <v>14</v>
      </c>
      <c r="G165" s="1" t="s">
        <v>176</v>
      </c>
      <c r="H165" s="1" t="s">
        <v>3</v>
      </c>
      <c r="I165" s="1">
        <v>0</v>
      </c>
      <c r="J165" s="1"/>
      <c r="K165" s="1">
        <v>0</v>
      </c>
      <c r="L165" s="1"/>
      <c r="M165" s="1"/>
      <c r="N165" s="1"/>
      <c r="O165" s="1"/>
      <c r="P165" s="1"/>
      <c r="Q165" s="1"/>
      <c r="R165" s="1"/>
      <c r="S165" s="1"/>
      <c r="T165" s="1"/>
      <c r="U165" s="1" t="s">
        <v>3</v>
      </c>
      <c r="V165" s="1">
        <v>0</v>
      </c>
      <c r="W165" s="1"/>
      <c r="X165" s="1"/>
      <c r="Y165" s="1"/>
      <c r="Z165" s="1"/>
      <c r="AA165" s="1"/>
      <c r="AB165" s="1" t="s">
        <v>3</v>
      </c>
      <c r="AC165" s="1" t="s">
        <v>3</v>
      </c>
      <c r="AD165" s="1" t="s">
        <v>3</v>
      </c>
      <c r="AE165" s="1" t="s">
        <v>3</v>
      </c>
      <c r="AF165" s="1" t="s">
        <v>3</v>
      </c>
      <c r="AG165" s="1" t="s">
        <v>3</v>
      </c>
      <c r="AH165" s="1"/>
      <c r="AI165" s="1"/>
      <c r="AJ165" s="1"/>
      <c r="AK165" s="1"/>
      <c r="AL165" s="1"/>
      <c r="AM165" s="1"/>
      <c r="AN165" s="1"/>
      <c r="AO165" s="1"/>
      <c r="AP165" s="1" t="s">
        <v>3</v>
      </c>
      <c r="AQ165" s="1" t="s">
        <v>3</v>
      </c>
      <c r="AR165" s="1" t="s">
        <v>3</v>
      </c>
      <c r="AS165" s="1"/>
      <c r="AT165" s="1"/>
      <c r="AU165" s="1"/>
      <c r="AV165" s="1"/>
      <c r="AW165" s="1"/>
      <c r="AX165" s="1"/>
      <c r="AY165" s="1"/>
      <c r="AZ165" s="1" t="s">
        <v>3</v>
      </c>
      <c r="BA165" s="1"/>
      <c r="BB165" s="1" t="s">
        <v>3</v>
      </c>
      <c r="BC165" s="1" t="s">
        <v>3</v>
      </c>
      <c r="BD165" s="1" t="s">
        <v>3</v>
      </c>
      <c r="BE165" s="1" t="s">
        <v>3</v>
      </c>
      <c r="BF165" s="1" t="s">
        <v>3</v>
      </c>
      <c r="BG165" s="1" t="s">
        <v>3</v>
      </c>
      <c r="BH165" s="1" t="s">
        <v>3</v>
      </c>
      <c r="BI165" s="1" t="s">
        <v>3</v>
      </c>
      <c r="BJ165" s="1" t="s">
        <v>3</v>
      </c>
      <c r="BK165" s="1" t="s">
        <v>3</v>
      </c>
      <c r="BL165" s="1" t="s">
        <v>3</v>
      </c>
      <c r="BM165" s="1" t="s">
        <v>3</v>
      </c>
      <c r="BN165" s="1" t="s">
        <v>3</v>
      </c>
      <c r="BO165" s="1" t="s">
        <v>3</v>
      </c>
      <c r="BP165" s="1" t="s">
        <v>3</v>
      </c>
      <c r="BQ165" s="1"/>
      <c r="BR165" s="1"/>
      <c r="BS165" s="1"/>
      <c r="BT165" s="1"/>
      <c r="BU165" s="1"/>
      <c r="BV165" s="1"/>
      <c r="BW165" s="1"/>
      <c r="BX165" s="1">
        <v>0</v>
      </c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>
        <v>0</v>
      </c>
    </row>
    <row r="167" spans="1:245">
      <c r="A167" s="2">
        <v>52</v>
      </c>
      <c r="B167" s="2">
        <f t="shared" ref="B167:G167" si="156">B187</f>
        <v>1</v>
      </c>
      <c r="C167" s="2">
        <f t="shared" si="156"/>
        <v>4</v>
      </c>
      <c r="D167" s="2">
        <f t="shared" si="156"/>
        <v>165</v>
      </c>
      <c r="E167" s="2">
        <f t="shared" si="156"/>
        <v>0</v>
      </c>
      <c r="F167" s="2" t="str">
        <f t="shared" si="156"/>
        <v>Новый раздел</v>
      </c>
      <c r="G167" s="2" t="str">
        <f t="shared" si="156"/>
        <v>Посадка деревьев хвойных - 21шт.</v>
      </c>
      <c r="H167" s="2"/>
      <c r="I167" s="2"/>
      <c r="J167" s="2"/>
      <c r="K167" s="2"/>
      <c r="L167" s="2"/>
      <c r="M167" s="2"/>
      <c r="N167" s="2"/>
      <c r="O167" s="2">
        <f t="shared" ref="O167:AT167" si="157">O187</f>
        <v>127466.03</v>
      </c>
      <c r="P167" s="2">
        <f t="shared" si="157"/>
        <v>107038.34</v>
      </c>
      <c r="Q167" s="2">
        <f t="shared" si="157"/>
        <v>3451.75</v>
      </c>
      <c r="R167" s="2">
        <f t="shared" si="157"/>
        <v>888.71</v>
      </c>
      <c r="S167" s="2">
        <f t="shared" si="157"/>
        <v>16975.939999999999</v>
      </c>
      <c r="T167" s="2">
        <f t="shared" si="157"/>
        <v>0</v>
      </c>
      <c r="U167" s="2">
        <f t="shared" si="157"/>
        <v>83.030704</v>
      </c>
      <c r="V167" s="2">
        <f t="shared" si="157"/>
        <v>0</v>
      </c>
      <c r="W167" s="2">
        <f t="shared" si="157"/>
        <v>0</v>
      </c>
      <c r="X167" s="2">
        <f t="shared" si="157"/>
        <v>11883.16</v>
      </c>
      <c r="Y167" s="2">
        <f t="shared" si="157"/>
        <v>1697.6</v>
      </c>
      <c r="Z167" s="2">
        <f t="shared" si="157"/>
        <v>0</v>
      </c>
      <c r="AA167" s="2">
        <f t="shared" si="157"/>
        <v>0</v>
      </c>
      <c r="AB167" s="2">
        <f t="shared" si="157"/>
        <v>127466.03</v>
      </c>
      <c r="AC167" s="2">
        <f t="shared" si="157"/>
        <v>107038.34</v>
      </c>
      <c r="AD167" s="2">
        <f t="shared" si="157"/>
        <v>3451.75</v>
      </c>
      <c r="AE167" s="2">
        <f t="shared" si="157"/>
        <v>888.71</v>
      </c>
      <c r="AF167" s="2">
        <f t="shared" si="157"/>
        <v>16975.939999999999</v>
      </c>
      <c r="AG167" s="2">
        <f t="shared" si="157"/>
        <v>0</v>
      </c>
      <c r="AH167" s="2">
        <f t="shared" si="157"/>
        <v>83.030704</v>
      </c>
      <c r="AI167" s="2">
        <f t="shared" si="157"/>
        <v>0</v>
      </c>
      <c r="AJ167" s="2">
        <f t="shared" si="157"/>
        <v>0</v>
      </c>
      <c r="AK167" s="2">
        <f t="shared" si="157"/>
        <v>11883.16</v>
      </c>
      <c r="AL167" s="2">
        <f t="shared" si="157"/>
        <v>1697.6</v>
      </c>
      <c r="AM167" s="2">
        <f t="shared" si="157"/>
        <v>0</v>
      </c>
      <c r="AN167" s="2">
        <f t="shared" si="157"/>
        <v>0</v>
      </c>
      <c r="AO167" s="2">
        <f t="shared" si="157"/>
        <v>0</v>
      </c>
      <c r="AP167" s="2">
        <f t="shared" si="157"/>
        <v>0</v>
      </c>
      <c r="AQ167" s="2">
        <f t="shared" si="157"/>
        <v>0</v>
      </c>
      <c r="AR167" s="2">
        <f t="shared" si="157"/>
        <v>142006.6</v>
      </c>
      <c r="AS167" s="2">
        <f t="shared" si="157"/>
        <v>0</v>
      </c>
      <c r="AT167" s="2">
        <f t="shared" si="157"/>
        <v>0</v>
      </c>
      <c r="AU167" s="2">
        <f t="shared" ref="AU167:BZ167" si="158">AU187</f>
        <v>142006.6</v>
      </c>
      <c r="AV167" s="2">
        <f t="shared" si="158"/>
        <v>107038.34</v>
      </c>
      <c r="AW167" s="2">
        <f t="shared" si="158"/>
        <v>107038.34</v>
      </c>
      <c r="AX167" s="2">
        <f t="shared" si="158"/>
        <v>0</v>
      </c>
      <c r="AY167" s="2">
        <f t="shared" si="158"/>
        <v>107038.34</v>
      </c>
      <c r="AZ167" s="2">
        <f t="shared" si="158"/>
        <v>0</v>
      </c>
      <c r="BA167" s="2">
        <f t="shared" si="158"/>
        <v>0</v>
      </c>
      <c r="BB167" s="2">
        <f t="shared" si="158"/>
        <v>0</v>
      </c>
      <c r="BC167" s="2">
        <f t="shared" si="158"/>
        <v>0</v>
      </c>
      <c r="BD167" s="2">
        <f t="shared" si="158"/>
        <v>0</v>
      </c>
      <c r="BE167" s="2">
        <f t="shared" si="158"/>
        <v>0</v>
      </c>
      <c r="BF167" s="2">
        <f t="shared" si="158"/>
        <v>0</v>
      </c>
      <c r="BG167" s="2">
        <f t="shared" si="158"/>
        <v>0</v>
      </c>
      <c r="BH167" s="2">
        <f t="shared" si="158"/>
        <v>0</v>
      </c>
      <c r="BI167" s="2">
        <f t="shared" si="158"/>
        <v>0</v>
      </c>
      <c r="BJ167" s="2">
        <f t="shared" si="158"/>
        <v>0</v>
      </c>
      <c r="BK167" s="2">
        <f t="shared" si="158"/>
        <v>0</v>
      </c>
      <c r="BL167" s="2">
        <f t="shared" si="158"/>
        <v>0</v>
      </c>
      <c r="BM167" s="2">
        <f t="shared" si="158"/>
        <v>0</v>
      </c>
      <c r="BN167" s="2">
        <f t="shared" si="158"/>
        <v>0</v>
      </c>
      <c r="BO167" s="2">
        <f t="shared" si="158"/>
        <v>0</v>
      </c>
      <c r="BP167" s="2">
        <f t="shared" si="158"/>
        <v>0</v>
      </c>
      <c r="BQ167" s="2">
        <f t="shared" si="158"/>
        <v>0</v>
      </c>
      <c r="BR167" s="2">
        <f t="shared" si="158"/>
        <v>0</v>
      </c>
      <c r="BS167" s="2">
        <f t="shared" si="158"/>
        <v>0</v>
      </c>
      <c r="BT167" s="2">
        <f t="shared" si="158"/>
        <v>0</v>
      </c>
      <c r="BU167" s="2">
        <f t="shared" si="158"/>
        <v>0</v>
      </c>
      <c r="BV167" s="2">
        <f t="shared" si="158"/>
        <v>0</v>
      </c>
      <c r="BW167" s="2">
        <f t="shared" si="158"/>
        <v>0</v>
      </c>
      <c r="BX167" s="2">
        <f t="shared" si="158"/>
        <v>0</v>
      </c>
      <c r="BY167" s="2">
        <f t="shared" si="158"/>
        <v>0</v>
      </c>
      <c r="BZ167" s="2">
        <f t="shared" si="158"/>
        <v>0</v>
      </c>
      <c r="CA167" s="2">
        <f t="shared" ref="CA167:DF167" si="159">CA187</f>
        <v>142006.6</v>
      </c>
      <c r="CB167" s="2">
        <f t="shared" si="159"/>
        <v>0</v>
      </c>
      <c r="CC167" s="2">
        <f t="shared" si="159"/>
        <v>0</v>
      </c>
      <c r="CD167" s="2">
        <f t="shared" si="159"/>
        <v>142006.6</v>
      </c>
      <c r="CE167" s="2">
        <f t="shared" si="159"/>
        <v>107038.34</v>
      </c>
      <c r="CF167" s="2">
        <f t="shared" si="159"/>
        <v>107038.34</v>
      </c>
      <c r="CG167" s="2">
        <f t="shared" si="159"/>
        <v>0</v>
      </c>
      <c r="CH167" s="2">
        <f t="shared" si="159"/>
        <v>107038.34</v>
      </c>
      <c r="CI167" s="2">
        <f t="shared" si="159"/>
        <v>0</v>
      </c>
      <c r="CJ167" s="2">
        <f t="shared" si="159"/>
        <v>0</v>
      </c>
      <c r="CK167" s="2">
        <f t="shared" si="159"/>
        <v>0</v>
      </c>
      <c r="CL167" s="2">
        <f t="shared" si="159"/>
        <v>0</v>
      </c>
      <c r="CM167" s="2">
        <f t="shared" si="159"/>
        <v>0</v>
      </c>
      <c r="CN167" s="2">
        <f t="shared" si="159"/>
        <v>0</v>
      </c>
      <c r="CO167" s="2">
        <f t="shared" si="159"/>
        <v>0</v>
      </c>
      <c r="CP167" s="2">
        <f t="shared" si="159"/>
        <v>0</v>
      </c>
      <c r="CQ167" s="2">
        <f t="shared" si="159"/>
        <v>0</v>
      </c>
      <c r="CR167" s="2">
        <f t="shared" si="159"/>
        <v>0</v>
      </c>
      <c r="CS167" s="2">
        <f t="shared" si="159"/>
        <v>0</v>
      </c>
      <c r="CT167" s="2">
        <f t="shared" si="159"/>
        <v>0</v>
      </c>
      <c r="CU167" s="2">
        <f t="shared" si="159"/>
        <v>0</v>
      </c>
      <c r="CV167" s="2">
        <f t="shared" si="159"/>
        <v>0</v>
      </c>
      <c r="CW167" s="2">
        <f t="shared" si="159"/>
        <v>0</v>
      </c>
      <c r="CX167" s="2">
        <f t="shared" si="159"/>
        <v>0</v>
      </c>
      <c r="CY167" s="2">
        <f t="shared" si="159"/>
        <v>0</v>
      </c>
      <c r="CZ167" s="2">
        <f t="shared" si="159"/>
        <v>0</v>
      </c>
      <c r="DA167" s="2">
        <f t="shared" si="159"/>
        <v>0</v>
      </c>
      <c r="DB167" s="2">
        <f t="shared" si="159"/>
        <v>0</v>
      </c>
      <c r="DC167" s="2">
        <f t="shared" si="159"/>
        <v>0</v>
      </c>
      <c r="DD167" s="2">
        <f t="shared" si="159"/>
        <v>0</v>
      </c>
      <c r="DE167" s="2">
        <f t="shared" si="159"/>
        <v>0</v>
      </c>
      <c r="DF167" s="2">
        <f t="shared" si="159"/>
        <v>0</v>
      </c>
      <c r="DG167" s="3">
        <f t="shared" ref="DG167:EL167" si="160">DG187</f>
        <v>0</v>
      </c>
      <c r="DH167" s="3">
        <f t="shared" si="160"/>
        <v>0</v>
      </c>
      <c r="DI167" s="3">
        <f t="shared" si="160"/>
        <v>0</v>
      </c>
      <c r="DJ167" s="3">
        <f t="shared" si="160"/>
        <v>0</v>
      </c>
      <c r="DK167" s="3">
        <f t="shared" si="160"/>
        <v>0</v>
      </c>
      <c r="DL167" s="3">
        <f t="shared" si="160"/>
        <v>0</v>
      </c>
      <c r="DM167" s="3">
        <f t="shared" si="160"/>
        <v>0</v>
      </c>
      <c r="DN167" s="3">
        <f t="shared" si="160"/>
        <v>0</v>
      </c>
      <c r="DO167" s="3">
        <f t="shared" si="160"/>
        <v>0</v>
      </c>
      <c r="DP167" s="3">
        <f t="shared" si="160"/>
        <v>0</v>
      </c>
      <c r="DQ167" s="3">
        <f t="shared" si="160"/>
        <v>0</v>
      </c>
      <c r="DR167" s="3">
        <f t="shared" si="160"/>
        <v>0</v>
      </c>
      <c r="DS167" s="3">
        <f t="shared" si="160"/>
        <v>0</v>
      </c>
      <c r="DT167" s="3">
        <f t="shared" si="160"/>
        <v>0</v>
      </c>
      <c r="DU167" s="3">
        <f t="shared" si="160"/>
        <v>0</v>
      </c>
      <c r="DV167" s="3">
        <f t="shared" si="160"/>
        <v>0</v>
      </c>
      <c r="DW167" s="3">
        <f t="shared" si="160"/>
        <v>0</v>
      </c>
      <c r="DX167" s="3">
        <f t="shared" si="160"/>
        <v>0</v>
      </c>
      <c r="DY167" s="3">
        <f t="shared" si="160"/>
        <v>0</v>
      </c>
      <c r="DZ167" s="3">
        <f t="shared" si="160"/>
        <v>0</v>
      </c>
      <c r="EA167" s="3">
        <f t="shared" si="160"/>
        <v>0</v>
      </c>
      <c r="EB167" s="3">
        <f t="shared" si="160"/>
        <v>0</v>
      </c>
      <c r="EC167" s="3">
        <f t="shared" si="160"/>
        <v>0</v>
      </c>
      <c r="ED167" s="3">
        <f t="shared" si="160"/>
        <v>0</v>
      </c>
      <c r="EE167" s="3">
        <f t="shared" si="160"/>
        <v>0</v>
      </c>
      <c r="EF167" s="3">
        <f t="shared" si="160"/>
        <v>0</v>
      </c>
      <c r="EG167" s="3">
        <f t="shared" si="160"/>
        <v>0</v>
      </c>
      <c r="EH167" s="3">
        <f t="shared" si="160"/>
        <v>0</v>
      </c>
      <c r="EI167" s="3">
        <f t="shared" si="160"/>
        <v>0</v>
      </c>
      <c r="EJ167" s="3">
        <f t="shared" si="160"/>
        <v>0</v>
      </c>
      <c r="EK167" s="3">
        <f t="shared" si="160"/>
        <v>0</v>
      </c>
      <c r="EL167" s="3">
        <f t="shared" si="160"/>
        <v>0</v>
      </c>
      <c r="EM167" s="3">
        <f t="shared" ref="EM167:FR167" si="161">EM187</f>
        <v>0</v>
      </c>
      <c r="EN167" s="3">
        <f t="shared" si="161"/>
        <v>0</v>
      </c>
      <c r="EO167" s="3">
        <f t="shared" si="161"/>
        <v>0</v>
      </c>
      <c r="EP167" s="3">
        <f t="shared" si="161"/>
        <v>0</v>
      </c>
      <c r="EQ167" s="3">
        <f t="shared" si="161"/>
        <v>0</v>
      </c>
      <c r="ER167" s="3">
        <f t="shared" si="161"/>
        <v>0</v>
      </c>
      <c r="ES167" s="3">
        <f t="shared" si="161"/>
        <v>0</v>
      </c>
      <c r="ET167" s="3">
        <f t="shared" si="161"/>
        <v>0</v>
      </c>
      <c r="EU167" s="3">
        <f t="shared" si="161"/>
        <v>0</v>
      </c>
      <c r="EV167" s="3">
        <f t="shared" si="161"/>
        <v>0</v>
      </c>
      <c r="EW167" s="3">
        <f t="shared" si="161"/>
        <v>0</v>
      </c>
      <c r="EX167" s="3">
        <f t="shared" si="161"/>
        <v>0</v>
      </c>
      <c r="EY167" s="3">
        <f t="shared" si="161"/>
        <v>0</v>
      </c>
      <c r="EZ167" s="3">
        <f t="shared" si="161"/>
        <v>0</v>
      </c>
      <c r="FA167" s="3">
        <f t="shared" si="161"/>
        <v>0</v>
      </c>
      <c r="FB167" s="3">
        <f t="shared" si="161"/>
        <v>0</v>
      </c>
      <c r="FC167" s="3">
        <f t="shared" si="161"/>
        <v>0</v>
      </c>
      <c r="FD167" s="3">
        <f t="shared" si="161"/>
        <v>0</v>
      </c>
      <c r="FE167" s="3">
        <f t="shared" si="161"/>
        <v>0</v>
      </c>
      <c r="FF167" s="3">
        <f t="shared" si="161"/>
        <v>0</v>
      </c>
      <c r="FG167" s="3">
        <f t="shared" si="161"/>
        <v>0</v>
      </c>
      <c r="FH167" s="3">
        <f t="shared" si="161"/>
        <v>0</v>
      </c>
      <c r="FI167" s="3">
        <f t="shared" si="161"/>
        <v>0</v>
      </c>
      <c r="FJ167" s="3">
        <f t="shared" si="161"/>
        <v>0</v>
      </c>
      <c r="FK167" s="3">
        <f t="shared" si="161"/>
        <v>0</v>
      </c>
      <c r="FL167" s="3">
        <f t="shared" si="161"/>
        <v>0</v>
      </c>
      <c r="FM167" s="3">
        <f t="shared" si="161"/>
        <v>0</v>
      </c>
      <c r="FN167" s="3">
        <f t="shared" si="161"/>
        <v>0</v>
      </c>
      <c r="FO167" s="3">
        <f t="shared" si="161"/>
        <v>0</v>
      </c>
      <c r="FP167" s="3">
        <f t="shared" si="161"/>
        <v>0</v>
      </c>
      <c r="FQ167" s="3">
        <f t="shared" si="161"/>
        <v>0</v>
      </c>
      <c r="FR167" s="3">
        <f t="shared" si="161"/>
        <v>0</v>
      </c>
      <c r="FS167" s="3">
        <f t="shared" ref="FS167:GX167" si="162">FS187</f>
        <v>0</v>
      </c>
      <c r="FT167" s="3">
        <f t="shared" si="162"/>
        <v>0</v>
      </c>
      <c r="FU167" s="3">
        <f t="shared" si="162"/>
        <v>0</v>
      </c>
      <c r="FV167" s="3">
        <f t="shared" si="162"/>
        <v>0</v>
      </c>
      <c r="FW167" s="3">
        <f t="shared" si="162"/>
        <v>0</v>
      </c>
      <c r="FX167" s="3">
        <f t="shared" si="162"/>
        <v>0</v>
      </c>
      <c r="FY167" s="3">
        <f t="shared" si="162"/>
        <v>0</v>
      </c>
      <c r="FZ167" s="3">
        <f t="shared" si="162"/>
        <v>0</v>
      </c>
      <c r="GA167" s="3">
        <f t="shared" si="162"/>
        <v>0</v>
      </c>
      <c r="GB167" s="3">
        <f t="shared" si="162"/>
        <v>0</v>
      </c>
      <c r="GC167" s="3">
        <f t="shared" si="162"/>
        <v>0</v>
      </c>
      <c r="GD167" s="3">
        <f t="shared" si="162"/>
        <v>0</v>
      </c>
      <c r="GE167" s="3">
        <f t="shared" si="162"/>
        <v>0</v>
      </c>
      <c r="GF167" s="3">
        <f t="shared" si="162"/>
        <v>0</v>
      </c>
      <c r="GG167" s="3">
        <f t="shared" si="162"/>
        <v>0</v>
      </c>
      <c r="GH167" s="3">
        <f t="shared" si="162"/>
        <v>0</v>
      </c>
      <c r="GI167" s="3">
        <f t="shared" si="162"/>
        <v>0</v>
      </c>
      <c r="GJ167" s="3">
        <f t="shared" si="162"/>
        <v>0</v>
      </c>
      <c r="GK167" s="3">
        <f t="shared" si="162"/>
        <v>0</v>
      </c>
      <c r="GL167" s="3">
        <f t="shared" si="162"/>
        <v>0</v>
      </c>
      <c r="GM167" s="3">
        <f t="shared" si="162"/>
        <v>0</v>
      </c>
      <c r="GN167" s="3">
        <f t="shared" si="162"/>
        <v>0</v>
      </c>
      <c r="GO167" s="3">
        <f t="shared" si="162"/>
        <v>0</v>
      </c>
      <c r="GP167" s="3">
        <f t="shared" si="162"/>
        <v>0</v>
      </c>
      <c r="GQ167" s="3">
        <f t="shared" si="162"/>
        <v>0</v>
      </c>
      <c r="GR167" s="3">
        <f t="shared" si="162"/>
        <v>0</v>
      </c>
      <c r="GS167" s="3">
        <f t="shared" si="162"/>
        <v>0</v>
      </c>
      <c r="GT167" s="3">
        <f t="shared" si="162"/>
        <v>0</v>
      </c>
      <c r="GU167" s="3">
        <f t="shared" si="162"/>
        <v>0</v>
      </c>
      <c r="GV167" s="3">
        <f t="shared" si="162"/>
        <v>0</v>
      </c>
      <c r="GW167" s="3">
        <f t="shared" si="162"/>
        <v>0</v>
      </c>
      <c r="GX167" s="3">
        <f t="shared" si="162"/>
        <v>0</v>
      </c>
    </row>
    <row r="169" spans="1:245">
      <c r="A169">
        <v>17</v>
      </c>
      <c r="B169">
        <v>1</v>
      </c>
      <c r="C169">
        <f>ROW(SmtRes!A62)</f>
        <v>62</v>
      </c>
      <c r="D169">
        <f>ROW(EtalonRes!A54)</f>
        <v>54</v>
      </c>
      <c r="E169" t="s">
        <v>177</v>
      </c>
      <c r="F169" t="s">
        <v>160</v>
      </c>
      <c r="G169" t="s">
        <v>161</v>
      </c>
      <c r="H169" t="s">
        <v>124</v>
      </c>
      <c r="I169">
        <f>ROUND((4*0.6)/10,9)</f>
        <v>0.24</v>
      </c>
      <c r="J169">
        <v>0</v>
      </c>
      <c r="O169">
        <f t="shared" ref="O169:O185" si="163">ROUND(CP169,2)</f>
        <v>3156.34</v>
      </c>
      <c r="P169">
        <f t="shared" ref="P169:P185" si="164">ROUND(CQ169*I169,2)</f>
        <v>1529.87</v>
      </c>
      <c r="Q169">
        <f t="shared" ref="Q169:Q185" si="165">ROUND(CR169*I169,2)</f>
        <v>132.54</v>
      </c>
      <c r="R169">
        <f t="shared" ref="R169:R185" si="166">ROUND(CS169*I169,2)</f>
        <v>73.19</v>
      </c>
      <c r="S169">
        <f t="shared" ref="S169:S185" si="167">ROUND(CT169*I169,2)</f>
        <v>1493.93</v>
      </c>
      <c r="T169">
        <f t="shared" ref="T169:T185" si="168">ROUND(CU169*I169,2)</f>
        <v>0</v>
      </c>
      <c r="U169">
        <f t="shared" ref="U169:U185" si="169">CV169*I169</f>
        <v>8.2655999999999992</v>
      </c>
      <c r="V169">
        <f t="shared" ref="V169:V185" si="170">CW169*I169</f>
        <v>0</v>
      </c>
      <c r="W169">
        <f t="shared" ref="W169:W185" si="171">ROUND(CX169*I169,2)</f>
        <v>0</v>
      </c>
      <c r="X169">
        <f t="shared" ref="X169:X185" si="172">ROUND(CY169,2)</f>
        <v>1045.75</v>
      </c>
      <c r="Y169">
        <f t="shared" ref="Y169:Y185" si="173">ROUND(CZ169,2)</f>
        <v>149.38999999999999</v>
      </c>
      <c r="AA169">
        <v>42225948</v>
      </c>
      <c r="AB169">
        <f t="shared" ref="AB169:AB185" si="174">ROUND((AC169+AD169+AF169),6)</f>
        <v>13151.41</v>
      </c>
      <c r="AC169">
        <f t="shared" ref="AC169:AC185" si="175">ROUND((ES169),6)</f>
        <v>6374.45</v>
      </c>
      <c r="AD169">
        <f t="shared" ref="AD169:AD185" si="176">ROUND((((ET169)-(EU169))+AE169),6)</f>
        <v>552.27</v>
      </c>
      <c r="AE169">
        <f t="shared" ref="AE169:AE185" si="177">ROUND((EU169),6)</f>
        <v>304.97000000000003</v>
      </c>
      <c r="AF169">
        <f t="shared" ref="AF169:AF185" si="178">ROUND((EV169),6)</f>
        <v>6224.69</v>
      </c>
      <c r="AG169">
        <f t="shared" ref="AG169:AG185" si="179">ROUND((AP169),6)</f>
        <v>0</v>
      </c>
      <c r="AH169">
        <f t="shared" ref="AH169:AH185" si="180">(EW169)</f>
        <v>34.44</v>
      </c>
      <c r="AI169">
        <f t="shared" ref="AI169:AI185" si="181">(EX169)</f>
        <v>0</v>
      </c>
      <c r="AJ169">
        <f t="shared" ref="AJ169:AJ185" si="182">(AS169)</f>
        <v>0</v>
      </c>
      <c r="AK169">
        <v>13151.41</v>
      </c>
      <c r="AL169">
        <v>6374.45</v>
      </c>
      <c r="AM169">
        <v>552.27</v>
      </c>
      <c r="AN169">
        <v>304.97000000000003</v>
      </c>
      <c r="AO169">
        <v>6224.69</v>
      </c>
      <c r="AP169">
        <v>0</v>
      </c>
      <c r="AQ169">
        <v>34.44</v>
      </c>
      <c r="AR169">
        <v>0</v>
      </c>
      <c r="AS169">
        <v>0</v>
      </c>
      <c r="AT169">
        <v>70</v>
      </c>
      <c r="AU169">
        <v>10</v>
      </c>
      <c r="AV169">
        <v>1</v>
      </c>
      <c r="AW169">
        <v>1</v>
      </c>
      <c r="AZ169">
        <v>1</v>
      </c>
      <c r="BA169">
        <v>1</v>
      </c>
      <c r="BB169">
        <v>1</v>
      </c>
      <c r="BC169">
        <v>1</v>
      </c>
      <c r="BD169" t="s">
        <v>3</v>
      </c>
      <c r="BE169" t="s">
        <v>3</v>
      </c>
      <c r="BF169" t="s">
        <v>3</v>
      </c>
      <c r="BG169" t="s">
        <v>3</v>
      </c>
      <c r="BH169">
        <v>0</v>
      </c>
      <c r="BI169">
        <v>4</v>
      </c>
      <c r="BJ169" t="s">
        <v>162</v>
      </c>
      <c r="BM169">
        <v>0</v>
      </c>
      <c r="BN169">
        <v>0</v>
      </c>
      <c r="BO169" t="s">
        <v>3</v>
      </c>
      <c r="BP169">
        <v>0</v>
      </c>
      <c r="BQ169">
        <v>1</v>
      </c>
      <c r="BR169">
        <v>0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 t="s">
        <v>3</v>
      </c>
      <c r="BZ169">
        <v>70</v>
      </c>
      <c r="CA169">
        <v>10</v>
      </c>
      <c r="CE169">
        <v>0</v>
      </c>
      <c r="CF169">
        <v>0</v>
      </c>
      <c r="CG169">
        <v>0</v>
      </c>
      <c r="CM169">
        <v>0</v>
      </c>
      <c r="CN169" t="s">
        <v>3</v>
      </c>
      <c r="CO169">
        <v>0</v>
      </c>
      <c r="CP169">
        <f t="shared" ref="CP169:CP185" si="183">(P169+Q169+S169)</f>
        <v>3156.34</v>
      </c>
      <c r="CQ169">
        <f t="shared" ref="CQ169:CQ185" si="184">(AC169*BC169*AW169)</f>
        <v>6374.45</v>
      </c>
      <c r="CR169">
        <f t="shared" ref="CR169:CR185" si="185">((((ET169)*BB169-(EU169)*BS169)+AE169*BS169)*AV169)</f>
        <v>552.27</v>
      </c>
      <c r="CS169">
        <f t="shared" ref="CS169:CS185" si="186">(AE169*BS169*AV169)</f>
        <v>304.97000000000003</v>
      </c>
      <c r="CT169">
        <f t="shared" ref="CT169:CT185" si="187">(AF169*BA169*AV169)</f>
        <v>6224.69</v>
      </c>
      <c r="CU169">
        <f t="shared" ref="CU169:CU185" si="188">AG169</f>
        <v>0</v>
      </c>
      <c r="CV169">
        <f t="shared" ref="CV169:CV185" si="189">(AH169*AV169)</f>
        <v>34.44</v>
      </c>
      <c r="CW169">
        <f t="shared" ref="CW169:CW185" si="190">AI169</f>
        <v>0</v>
      </c>
      <c r="CX169">
        <f t="shared" ref="CX169:CX185" si="191">AJ169</f>
        <v>0</v>
      </c>
      <c r="CY169">
        <f t="shared" ref="CY169:CY185" si="192">((S169*BZ169)/100)</f>
        <v>1045.751</v>
      </c>
      <c r="CZ169">
        <f t="shared" ref="CZ169:CZ185" si="193">((S169*CA169)/100)</f>
        <v>149.393</v>
      </c>
      <c r="DC169" t="s">
        <v>3</v>
      </c>
      <c r="DD169" t="s">
        <v>3</v>
      </c>
      <c r="DE169" t="s">
        <v>3</v>
      </c>
      <c r="DF169" t="s">
        <v>3</v>
      </c>
      <c r="DG169" t="s">
        <v>3</v>
      </c>
      <c r="DH169" t="s">
        <v>3</v>
      </c>
      <c r="DI169" t="s">
        <v>3</v>
      </c>
      <c r="DJ169" t="s">
        <v>3</v>
      </c>
      <c r="DK169" t="s">
        <v>3</v>
      </c>
      <c r="DL169" t="s">
        <v>3</v>
      </c>
      <c r="DM169" t="s">
        <v>3</v>
      </c>
      <c r="DN169">
        <v>0</v>
      </c>
      <c r="DO169">
        <v>0</v>
      </c>
      <c r="DP169">
        <v>1</v>
      </c>
      <c r="DQ169">
        <v>1</v>
      </c>
      <c r="DU169">
        <v>1013</v>
      </c>
      <c r="DV169" t="s">
        <v>124</v>
      </c>
      <c r="DW169" t="s">
        <v>124</v>
      </c>
      <c r="DX169">
        <v>1</v>
      </c>
      <c r="EE169">
        <v>40050625</v>
      </c>
      <c r="EF169">
        <v>1</v>
      </c>
      <c r="EG169" t="s">
        <v>20</v>
      </c>
      <c r="EH169">
        <v>0</v>
      </c>
      <c r="EI169" t="s">
        <v>3</v>
      </c>
      <c r="EJ169">
        <v>4</v>
      </c>
      <c r="EK169">
        <v>0</v>
      </c>
      <c r="EL169" t="s">
        <v>21</v>
      </c>
      <c r="EM169" t="s">
        <v>22</v>
      </c>
      <c r="EO169" t="s">
        <v>3</v>
      </c>
      <c r="EQ169">
        <v>0</v>
      </c>
      <c r="ER169">
        <v>13151.41</v>
      </c>
      <c r="ES169">
        <v>6374.45</v>
      </c>
      <c r="ET169">
        <v>552.27</v>
      </c>
      <c r="EU169">
        <v>304.97000000000003</v>
      </c>
      <c r="EV169">
        <v>6224.69</v>
      </c>
      <c r="EW169">
        <v>34.44</v>
      </c>
      <c r="EX169">
        <v>0</v>
      </c>
      <c r="EY169">
        <v>0</v>
      </c>
      <c r="FQ169">
        <v>0</v>
      </c>
      <c r="FR169">
        <f t="shared" ref="FR169:FR185" si="194">ROUND(IF(AND(BH169=3,BI169=3),P169,0),2)</f>
        <v>0</v>
      </c>
      <c r="FS169">
        <v>0</v>
      </c>
      <c r="FX169">
        <v>70</v>
      </c>
      <c r="FY169">
        <v>10</v>
      </c>
      <c r="GA169" t="s">
        <v>3</v>
      </c>
      <c r="GD169">
        <v>0</v>
      </c>
      <c r="GF169">
        <v>-1796127192</v>
      </c>
      <c r="GG169">
        <v>2</v>
      </c>
      <c r="GH169">
        <v>1</v>
      </c>
      <c r="GI169">
        <v>-2</v>
      </c>
      <c r="GJ169">
        <v>0</v>
      </c>
      <c r="GK169">
        <f>ROUND(R169*(R12)/100,2)</f>
        <v>79.05</v>
      </c>
      <c r="GL169">
        <f t="shared" ref="GL169:GL185" si="195">ROUND(IF(AND(BH169=3,BI169=3,FS169&lt;&gt;0),P169,0),2)</f>
        <v>0</v>
      </c>
      <c r="GM169">
        <f t="shared" ref="GM169:GM185" si="196">ROUND(O169+X169+Y169+GK169,2)+GX169</f>
        <v>4430.53</v>
      </c>
      <c r="GN169">
        <f t="shared" ref="GN169:GN185" si="197">IF(OR(BI169=0,BI169=1),ROUND(O169+X169+Y169+GK169,2),0)</f>
        <v>0</v>
      </c>
      <c r="GO169">
        <f t="shared" ref="GO169:GO185" si="198">IF(BI169=2,ROUND(O169+X169+Y169+GK169,2),0)</f>
        <v>0</v>
      </c>
      <c r="GP169">
        <f t="shared" ref="GP169:GP185" si="199">IF(BI169=4,ROUND(O169+X169+Y169+GK169,2)+GX169,0)</f>
        <v>4430.53</v>
      </c>
      <c r="GR169">
        <v>0</v>
      </c>
      <c r="GS169">
        <v>0</v>
      </c>
      <c r="GT169">
        <v>0</v>
      </c>
      <c r="GU169" t="s">
        <v>3</v>
      </c>
      <c r="GV169">
        <f t="shared" ref="GV169:GV185" si="200">ROUND((GT169),6)</f>
        <v>0</v>
      </c>
      <c r="GW169">
        <v>1</v>
      </c>
      <c r="GX169">
        <f t="shared" ref="GX169:GX185" si="201">ROUND(HC169*I169,2)</f>
        <v>0</v>
      </c>
      <c r="HA169">
        <v>0</v>
      </c>
      <c r="HB169">
        <v>0</v>
      </c>
      <c r="HC169">
        <f t="shared" ref="HC169:HC185" si="202">GV169*GW169</f>
        <v>0</v>
      </c>
      <c r="IK169">
        <v>0</v>
      </c>
    </row>
    <row r="170" spans="1:245">
      <c r="A170">
        <v>17</v>
      </c>
      <c r="B170">
        <v>1</v>
      </c>
      <c r="C170">
        <f>ROW(SmtRes!A65)</f>
        <v>65</v>
      </c>
      <c r="D170">
        <f>ROW(EtalonRes!A57)</f>
        <v>57</v>
      </c>
      <c r="E170" t="s">
        <v>178</v>
      </c>
      <c r="F170" t="s">
        <v>164</v>
      </c>
      <c r="G170" t="s">
        <v>165</v>
      </c>
      <c r="H170" t="s">
        <v>124</v>
      </c>
      <c r="I170">
        <f>ROUND((4*0.4)/10,9)</f>
        <v>0.16</v>
      </c>
      <c r="J170">
        <v>0</v>
      </c>
      <c r="O170">
        <f t="shared" si="163"/>
        <v>2718.87</v>
      </c>
      <c r="P170">
        <f t="shared" si="164"/>
        <v>1019.91</v>
      </c>
      <c r="Q170">
        <f t="shared" si="165"/>
        <v>0</v>
      </c>
      <c r="R170">
        <f t="shared" si="166"/>
        <v>0</v>
      </c>
      <c r="S170">
        <f t="shared" si="167"/>
        <v>1698.96</v>
      </c>
      <c r="T170">
        <f t="shared" si="168"/>
        <v>0</v>
      </c>
      <c r="U170">
        <f t="shared" si="169"/>
        <v>9.4</v>
      </c>
      <c r="V170">
        <f t="shared" si="170"/>
        <v>0</v>
      </c>
      <c r="W170">
        <f t="shared" si="171"/>
        <v>0</v>
      </c>
      <c r="X170">
        <f t="shared" si="172"/>
        <v>1189.27</v>
      </c>
      <c r="Y170">
        <f t="shared" si="173"/>
        <v>169.9</v>
      </c>
      <c r="AA170">
        <v>42225948</v>
      </c>
      <c r="AB170">
        <f t="shared" si="174"/>
        <v>16992.93</v>
      </c>
      <c r="AC170">
        <f t="shared" si="175"/>
        <v>6374.45</v>
      </c>
      <c r="AD170">
        <f t="shared" si="176"/>
        <v>0</v>
      </c>
      <c r="AE170">
        <f t="shared" si="177"/>
        <v>0</v>
      </c>
      <c r="AF170">
        <f t="shared" si="178"/>
        <v>10618.48</v>
      </c>
      <c r="AG170">
        <f t="shared" si="179"/>
        <v>0</v>
      </c>
      <c r="AH170">
        <f t="shared" si="180"/>
        <v>58.75</v>
      </c>
      <c r="AI170">
        <f t="shared" si="181"/>
        <v>0</v>
      </c>
      <c r="AJ170">
        <f t="shared" si="182"/>
        <v>0</v>
      </c>
      <c r="AK170">
        <v>16992.93</v>
      </c>
      <c r="AL170">
        <v>6374.45</v>
      </c>
      <c r="AM170">
        <v>0</v>
      </c>
      <c r="AN170">
        <v>0</v>
      </c>
      <c r="AO170">
        <v>10618.48</v>
      </c>
      <c r="AP170">
        <v>0</v>
      </c>
      <c r="AQ170">
        <v>58.75</v>
      </c>
      <c r="AR170">
        <v>0</v>
      </c>
      <c r="AS170">
        <v>0</v>
      </c>
      <c r="AT170">
        <v>70</v>
      </c>
      <c r="AU170">
        <v>10</v>
      </c>
      <c r="AV170">
        <v>1</v>
      </c>
      <c r="AW170">
        <v>1</v>
      </c>
      <c r="AZ170">
        <v>1</v>
      </c>
      <c r="BA170">
        <v>1</v>
      </c>
      <c r="BB170">
        <v>1</v>
      </c>
      <c r="BC170">
        <v>1</v>
      </c>
      <c r="BD170" t="s">
        <v>3</v>
      </c>
      <c r="BE170" t="s">
        <v>3</v>
      </c>
      <c r="BF170" t="s">
        <v>3</v>
      </c>
      <c r="BG170" t="s">
        <v>3</v>
      </c>
      <c r="BH170">
        <v>0</v>
      </c>
      <c r="BI170">
        <v>4</v>
      </c>
      <c r="BJ170" t="s">
        <v>166</v>
      </c>
      <c r="BM170">
        <v>0</v>
      </c>
      <c r="BN170">
        <v>0</v>
      </c>
      <c r="BO170" t="s">
        <v>3</v>
      </c>
      <c r="BP170">
        <v>0</v>
      </c>
      <c r="BQ170">
        <v>1</v>
      </c>
      <c r="BR170">
        <v>0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 t="s">
        <v>3</v>
      </c>
      <c r="BZ170">
        <v>70</v>
      </c>
      <c r="CA170">
        <v>10</v>
      </c>
      <c r="CE170">
        <v>0</v>
      </c>
      <c r="CF170">
        <v>0</v>
      </c>
      <c r="CG170">
        <v>0</v>
      </c>
      <c r="CM170">
        <v>0</v>
      </c>
      <c r="CN170" t="s">
        <v>3</v>
      </c>
      <c r="CO170">
        <v>0</v>
      </c>
      <c r="CP170">
        <f t="shared" si="183"/>
        <v>2718.87</v>
      </c>
      <c r="CQ170">
        <f t="shared" si="184"/>
        <v>6374.45</v>
      </c>
      <c r="CR170">
        <f t="shared" si="185"/>
        <v>0</v>
      </c>
      <c r="CS170">
        <f t="shared" si="186"/>
        <v>0</v>
      </c>
      <c r="CT170">
        <f t="shared" si="187"/>
        <v>10618.48</v>
      </c>
      <c r="CU170">
        <f t="shared" si="188"/>
        <v>0</v>
      </c>
      <c r="CV170">
        <f t="shared" si="189"/>
        <v>58.75</v>
      </c>
      <c r="CW170">
        <f t="shared" si="190"/>
        <v>0</v>
      </c>
      <c r="CX170">
        <f t="shared" si="191"/>
        <v>0</v>
      </c>
      <c r="CY170">
        <f t="shared" si="192"/>
        <v>1189.2719999999999</v>
      </c>
      <c r="CZ170">
        <f t="shared" si="193"/>
        <v>169.89599999999999</v>
      </c>
      <c r="DC170" t="s">
        <v>3</v>
      </c>
      <c r="DD170" t="s">
        <v>3</v>
      </c>
      <c r="DE170" t="s">
        <v>3</v>
      </c>
      <c r="DF170" t="s">
        <v>3</v>
      </c>
      <c r="DG170" t="s">
        <v>3</v>
      </c>
      <c r="DH170" t="s">
        <v>3</v>
      </c>
      <c r="DI170" t="s">
        <v>3</v>
      </c>
      <c r="DJ170" t="s">
        <v>3</v>
      </c>
      <c r="DK170" t="s">
        <v>3</v>
      </c>
      <c r="DL170" t="s">
        <v>3</v>
      </c>
      <c r="DM170" t="s">
        <v>3</v>
      </c>
      <c r="DN170">
        <v>0</v>
      </c>
      <c r="DO170">
        <v>0</v>
      </c>
      <c r="DP170">
        <v>1</v>
      </c>
      <c r="DQ170">
        <v>1</v>
      </c>
      <c r="DU170">
        <v>1013</v>
      </c>
      <c r="DV170" t="s">
        <v>124</v>
      </c>
      <c r="DW170" t="s">
        <v>124</v>
      </c>
      <c r="DX170">
        <v>1</v>
      </c>
      <c r="EE170">
        <v>40050625</v>
      </c>
      <c r="EF170">
        <v>1</v>
      </c>
      <c r="EG170" t="s">
        <v>20</v>
      </c>
      <c r="EH170">
        <v>0</v>
      </c>
      <c r="EI170" t="s">
        <v>3</v>
      </c>
      <c r="EJ170">
        <v>4</v>
      </c>
      <c r="EK170">
        <v>0</v>
      </c>
      <c r="EL170" t="s">
        <v>21</v>
      </c>
      <c r="EM170" t="s">
        <v>22</v>
      </c>
      <c r="EO170" t="s">
        <v>3</v>
      </c>
      <c r="EQ170">
        <v>0</v>
      </c>
      <c r="ER170">
        <v>16992.93</v>
      </c>
      <c r="ES170">
        <v>6374.45</v>
      </c>
      <c r="ET170">
        <v>0</v>
      </c>
      <c r="EU170">
        <v>0</v>
      </c>
      <c r="EV170">
        <v>10618.48</v>
      </c>
      <c r="EW170">
        <v>58.75</v>
      </c>
      <c r="EX170">
        <v>0</v>
      </c>
      <c r="EY170">
        <v>0</v>
      </c>
      <c r="FQ170">
        <v>0</v>
      </c>
      <c r="FR170">
        <f t="shared" si="194"/>
        <v>0</v>
      </c>
      <c r="FS170">
        <v>0</v>
      </c>
      <c r="FX170">
        <v>70</v>
      </c>
      <c r="FY170">
        <v>10</v>
      </c>
      <c r="GA170" t="s">
        <v>3</v>
      </c>
      <c r="GD170">
        <v>0</v>
      </c>
      <c r="GF170">
        <v>-746871637</v>
      </c>
      <c r="GG170">
        <v>2</v>
      </c>
      <c r="GH170">
        <v>1</v>
      </c>
      <c r="GI170">
        <v>-2</v>
      </c>
      <c r="GJ170">
        <v>0</v>
      </c>
      <c r="GK170">
        <f>ROUND(R170*(R12)/100,2)</f>
        <v>0</v>
      </c>
      <c r="GL170">
        <f t="shared" si="195"/>
        <v>0</v>
      </c>
      <c r="GM170">
        <f t="shared" si="196"/>
        <v>4078.04</v>
      </c>
      <c r="GN170">
        <f t="shared" si="197"/>
        <v>0</v>
      </c>
      <c r="GO170">
        <f t="shared" si="198"/>
        <v>0</v>
      </c>
      <c r="GP170">
        <f t="shared" si="199"/>
        <v>4078.04</v>
      </c>
      <c r="GR170">
        <v>0</v>
      </c>
      <c r="GS170">
        <v>0</v>
      </c>
      <c r="GT170">
        <v>0</v>
      </c>
      <c r="GU170" t="s">
        <v>3</v>
      </c>
      <c r="GV170">
        <f t="shared" si="200"/>
        <v>0</v>
      </c>
      <c r="GW170">
        <v>1</v>
      </c>
      <c r="GX170">
        <f t="shared" si="201"/>
        <v>0</v>
      </c>
      <c r="HA170">
        <v>0</v>
      </c>
      <c r="HB170">
        <v>0</v>
      </c>
      <c r="HC170">
        <f t="shared" si="202"/>
        <v>0</v>
      </c>
      <c r="IK170">
        <v>0</v>
      </c>
    </row>
    <row r="171" spans="1:245">
      <c r="A171">
        <v>17</v>
      </c>
      <c r="B171">
        <v>1</v>
      </c>
      <c r="C171">
        <f>ROW(SmtRes!A66)</f>
        <v>66</v>
      </c>
      <c r="D171">
        <f>ROW(EtalonRes!A58)</f>
        <v>58</v>
      </c>
      <c r="E171" t="s">
        <v>179</v>
      </c>
      <c r="F171" t="s">
        <v>131</v>
      </c>
      <c r="G171" t="s">
        <v>549</v>
      </c>
      <c r="H171" t="s">
        <v>18</v>
      </c>
      <c r="I171">
        <f>ROUND(16.95/100,9)</f>
        <v>0.16950000000000001</v>
      </c>
      <c r="J171">
        <v>0</v>
      </c>
      <c r="O171">
        <f t="shared" si="163"/>
        <v>50.27</v>
      </c>
      <c r="P171">
        <f t="shared" si="164"/>
        <v>0</v>
      </c>
      <c r="Q171">
        <f t="shared" si="165"/>
        <v>50.27</v>
      </c>
      <c r="R171">
        <f t="shared" si="166"/>
        <v>18.89</v>
      </c>
      <c r="S171">
        <f t="shared" si="167"/>
        <v>0</v>
      </c>
      <c r="T171">
        <f t="shared" si="168"/>
        <v>0</v>
      </c>
      <c r="U171">
        <f t="shared" si="169"/>
        <v>0</v>
      </c>
      <c r="V171">
        <f t="shared" si="170"/>
        <v>0</v>
      </c>
      <c r="W171">
        <f t="shared" si="171"/>
        <v>0</v>
      </c>
      <c r="X171">
        <f t="shared" si="172"/>
        <v>0</v>
      </c>
      <c r="Y171">
        <f t="shared" si="173"/>
        <v>0</v>
      </c>
      <c r="AA171">
        <v>42225948</v>
      </c>
      <c r="AB171">
        <f t="shared" si="174"/>
        <v>296.60000000000002</v>
      </c>
      <c r="AC171">
        <f t="shared" si="175"/>
        <v>0</v>
      </c>
      <c r="AD171">
        <f t="shared" si="176"/>
        <v>296.60000000000002</v>
      </c>
      <c r="AE171">
        <f t="shared" si="177"/>
        <v>111.43</v>
      </c>
      <c r="AF171">
        <f t="shared" si="178"/>
        <v>0</v>
      </c>
      <c r="AG171">
        <f t="shared" si="179"/>
        <v>0</v>
      </c>
      <c r="AH171">
        <f t="shared" si="180"/>
        <v>0</v>
      </c>
      <c r="AI171">
        <f t="shared" si="181"/>
        <v>0</v>
      </c>
      <c r="AJ171">
        <f t="shared" si="182"/>
        <v>0</v>
      </c>
      <c r="AK171">
        <v>296.60000000000002</v>
      </c>
      <c r="AL171">
        <v>0</v>
      </c>
      <c r="AM171">
        <v>296.60000000000002</v>
      </c>
      <c r="AN171">
        <v>111.43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70</v>
      </c>
      <c r="AU171">
        <v>10</v>
      </c>
      <c r="AV171">
        <v>1</v>
      </c>
      <c r="AW171">
        <v>1</v>
      </c>
      <c r="AZ171">
        <v>1</v>
      </c>
      <c r="BA171">
        <v>1</v>
      </c>
      <c r="BB171">
        <v>1</v>
      </c>
      <c r="BC171">
        <v>1</v>
      </c>
      <c r="BD171" t="s">
        <v>3</v>
      </c>
      <c r="BE171" t="s">
        <v>3</v>
      </c>
      <c r="BF171" t="s">
        <v>3</v>
      </c>
      <c r="BG171" t="s">
        <v>3</v>
      </c>
      <c r="BH171">
        <v>0</v>
      </c>
      <c r="BI171">
        <v>4</v>
      </c>
      <c r="BJ171" t="s">
        <v>132</v>
      </c>
      <c r="BM171">
        <v>0</v>
      </c>
      <c r="BN171">
        <v>0</v>
      </c>
      <c r="BO171" t="s">
        <v>3</v>
      </c>
      <c r="BP171">
        <v>0</v>
      </c>
      <c r="BQ171">
        <v>1</v>
      </c>
      <c r="BR171">
        <v>0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 t="s">
        <v>3</v>
      </c>
      <c r="BZ171">
        <v>70</v>
      </c>
      <c r="CA171">
        <v>10</v>
      </c>
      <c r="CE171">
        <v>0</v>
      </c>
      <c r="CF171">
        <v>0</v>
      </c>
      <c r="CG171">
        <v>0</v>
      </c>
      <c r="CM171">
        <v>0</v>
      </c>
      <c r="CN171" t="s">
        <v>3</v>
      </c>
      <c r="CO171">
        <v>0</v>
      </c>
      <c r="CP171">
        <f t="shared" si="183"/>
        <v>50.27</v>
      </c>
      <c r="CQ171">
        <f t="shared" si="184"/>
        <v>0</v>
      </c>
      <c r="CR171">
        <f t="shared" si="185"/>
        <v>296.60000000000002</v>
      </c>
      <c r="CS171">
        <f t="shared" si="186"/>
        <v>111.43</v>
      </c>
      <c r="CT171">
        <f t="shared" si="187"/>
        <v>0</v>
      </c>
      <c r="CU171">
        <f t="shared" si="188"/>
        <v>0</v>
      </c>
      <c r="CV171">
        <f t="shared" si="189"/>
        <v>0</v>
      </c>
      <c r="CW171">
        <f t="shared" si="190"/>
        <v>0</v>
      </c>
      <c r="CX171">
        <f t="shared" si="191"/>
        <v>0</v>
      </c>
      <c r="CY171">
        <f t="shared" si="192"/>
        <v>0</v>
      </c>
      <c r="CZ171">
        <f t="shared" si="193"/>
        <v>0</v>
      </c>
      <c r="DC171" t="s">
        <v>3</v>
      </c>
      <c r="DD171" t="s">
        <v>3</v>
      </c>
      <c r="DE171" t="s">
        <v>3</v>
      </c>
      <c r="DF171" t="s">
        <v>3</v>
      </c>
      <c r="DG171" t="s">
        <v>3</v>
      </c>
      <c r="DH171" t="s">
        <v>3</v>
      </c>
      <c r="DI171" t="s">
        <v>3</v>
      </c>
      <c r="DJ171" t="s">
        <v>3</v>
      </c>
      <c r="DK171" t="s">
        <v>3</v>
      </c>
      <c r="DL171" t="s">
        <v>3</v>
      </c>
      <c r="DM171" t="s">
        <v>3</v>
      </c>
      <c r="DN171">
        <v>0</v>
      </c>
      <c r="DO171">
        <v>0</v>
      </c>
      <c r="DP171">
        <v>1</v>
      </c>
      <c r="DQ171">
        <v>1</v>
      </c>
      <c r="DU171">
        <v>1005</v>
      </c>
      <c r="DV171" t="s">
        <v>18</v>
      </c>
      <c r="DW171" t="s">
        <v>18</v>
      </c>
      <c r="DX171">
        <v>100</v>
      </c>
      <c r="EE171">
        <v>40050625</v>
      </c>
      <c r="EF171">
        <v>1</v>
      </c>
      <c r="EG171" t="s">
        <v>20</v>
      </c>
      <c r="EH171">
        <v>0</v>
      </c>
      <c r="EI171" t="s">
        <v>3</v>
      </c>
      <c r="EJ171">
        <v>4</v>
      </c>
      <c r="EK171">
        <v>0</v>
      </c>
      <c r="EL171" t="s">
        <v>21</v>
      </c>
      <c r="EM171" t="s">
        <v>22</v>
      </c>
      <c r="EO171" t="s">
        <v>3</v>
      </c>
      <c r="EQ171">
        <v>0</v>
      </c>
      <c r="ER171">
        <v>296.60000000000002</v>
      </c>
      <c r="ES171">
        <v>0</v>
      </c>
      <c r="ET171">
        <v>296.60000000000002</v>
      </c>
      <c r="EU171">
        <v>111.43</v>
      </c>
      <c r="EV171">
        <v>0</v>
      </c>
      <c r="EW171">
        <v>0</v>
      </c>
      <c r="EX171">
        <v>0</v>
      </c>
      <c r="EY171">
        <v>0</v>
      </c>
      <c r="FQ171">
        <v>0</v>
      </c>
      <c r="FR171">
        <f t="shared" si="194"/>
        <v>0</v>
      </c>
      <c r="FS171">
        <v>0</v>
      </c>
      <c r="FX171">
        <v>70</v>
      </c>
      <c r="FY171">
        <v>10</v>
      </c>
      <c r="GA171" t="s">
        <v>3</v>
      </c>
      <c r="GD171">
        <v>0</v>
      </c>
      <c r="GF171">
        <v>-1916452029</v>
      </c>
      <c r="GG171">
        <v>2</v>
      </c>
      <c r="GH171">
        <v>1</v>
      </c>
      <c r="GI171">
        <v>-2</v>
      </c>
      <c r="GJ171">
        <v>0</v>
      </c>
      <c r="GK171">
        <f>ROUND(R171*(R12)/100,2)</f>
        <v>20.399999999999999</v>
      </c>
      <c r="GL171">
        <f t="shared" si="195"/>
        <v>0</v>
      </c>
      <c r="GM171">
        <f t="shared" si="196"/>
        <v>70.67</v>
      </c>
      <c r="GN171">
        <f t="shared" si="197"/>
        <v>0</v>
      </c>
      <c r="GO171">
        <f t="shared" si="198"/>
        <v>0</v>
      </c>
      <c r="GP171">
        <f t="shared" si="199"/>
        <v>70.67</v>
      </c>
      <c r="GR171">
        <v>0</v>
      </c>
      <c r="GS171">
        <v>0</v>
      </c>
      <c r="GT171">
        <v>0</v>
      </c>
      <c r="GU171" t="s">
        <v>3</v>
      </c>
      <c r="GV171">
        <f t="shared" si="200"/>
        <v>0</v>
      </c>
      <c r="GW171">
        <v>1</v>
      </c>
      <c r="GX171">
        <f t="shared" si="201"/>
        <v>0</v>
      </c>
      <c r="HA171">
        <v>0</v>
      </c>
      <c r="HB171">
        <v>0</v>
      </c>
      <c r="HC171">
        <f t="shared" si="202"/>
        <v>0</v>
      </c>
      <c r="IK171">
        <v>0</v>
      </c>
    </row>
    <row r="172" spans="1:245">
      <c r="A172">
        <v>17</v>
      </c>
      <c r="B172">
        <v>1</v>
      </c>
      <c r="C172">
        <f>ROW(SmtRes!A67)</f>
        <v>67</v>
      </c>
      <c r="D172">
        <f>ROW(EtalonRes!A59)</f>
        <v>59</v>
      </c>
      <c r="E172" t="s">
        <v>180</v>
      </c>
      <c r="F172" t="s">
        <v>134</v>
      </c>
      <c r="G172" t="s">
        <v>169</v>
      </c>
      <c r="H172" t="s">
        <v>18</v>
      </c>
      <c r="I172">
        <f>ROUND(5.65/100,9)</f>
        <v>5.6500000000000002E-2</v>
      </c>
      <c r="J172">
        <v>0</v>
      </c>
      <c r="O172">
        <f t="shared" si="163"/>
        <v>119.78</v>
      </c>
      <c r="P172">
        <f t="shared" si="164"/>
        <v>0</v>
      </c>
      <c r="Q172">
        <f t="shared" si="165"/>
        <v>0</v>
      </c>
      <c r="R172">
        <f t="shared" si="166"/>
        <v>0</v>
      </c>
      <c r="S172">
        <f t="shared" si="167"/>
        <v>119.78</v>
      </c>
      <c r="T172">
        <f t="shared" si="168"/>
        <v>0</v>
      </c>
      <c r="U172">
        <f t="shared" si="169"/>
        <v>0.66274500000000003</v>
      </c>
      <c r="V172">
        <f t="shared" si="170"/>
        <v>0</v>
      </c>
      <c r="W172">
        <f t="shared" si="171"/>
        <v>0</v>
      </c>
      <c r="X172">
        <f t="shared" si="172"/>
        <v>83.85</v>
      </c>
      <c r="Y172">
        <f t="shared" si="173"/>
        <v>11.98</v>
      </c>
      <c r="AA172">
        <v>42225948</v>
      </c>
      <c r="AB172">
        <f t="shared" si="174"/>
        <v>2120.08</v>
      </c>
      <c r="AC172">
        <f t="shared" si="175"/>
        <v>0</v>
      </c>
      <c r="AD172">
        <f t="shared" si="176"/>
        <v>0</v>
      </c>
      <c r="AE172">
        <f t="shared" si="177"/>
        <v>0</v>
      </c>
      <c r="AF172">
        <f t="shared" si="178"/>
        <v>2120.08</v>
      </c>
      <c r="AG172">
        <f t="shared" si="179"/>
        <v>0</v>
      </c>
      <c r="AH172">
        <f t="shared" si="180"/>
        <v>11.73</v>
      </c>
      <c r="AI172">
        <f t="shared" si="181"/>
        <v>0</v>
      </c>
      <c r="AJ172">
        <f t="shared" si="182"/>
        <v>0</v>
      </c>
      <c r="AK172">
        <v>2120.08</v>
      </c>
      <c r="AL172">
        <v>0</v>
      </c>
      <c r="AM172">
        <v>0</v>
      </c>
      <c r="AN172">
        <v>0</v>
      </c>
      <c r="AO172">
        <v>2120.08</v>
      </c>
      <c r="AP172">
        <v>0</v>
      </c>
      <c r="AQ172">
        <v>11.73</v>
      </c>
      <c r="AR172">
        <v>0</v>
      </c>
      <c r="AS172">
        <v>0</v>
      </c>
      <c r="AT172">
        <v>70</v>
      </c>
      <c r="AU172">
        <v>10</v>
      </c>
      <c r="AV172">
        <v>1</v>
      </c>
      <c r="AW172">
        <v>1</v>
      </c>
      <c r="AZ172">
        <v>1</v>
      </c>
      <c r="BA172">
        <v>1</v>
      </c>
      <c r="BB172">
        <v>1</v>
      </c>
      <c r="BC172">
        <v>1</v>
      </c>
      <c r="BD172" t="s">
        <v>3</v>
      </c>
      <c r="BE172" t="s">
        <v>3</v>
      </c>
      <c r="BF172" t="s">
        <v>3</v>
      </c>
      <c r="BG172" t="s">
        <v>3</v>
      </c>
      <c r="BH172">
        <v>0</v>
      </c>
      <c r="BI172">
        <v>4</v>
      </c>
      <c r="BJ172" t="s">
        <v>136</v>
      </c>
      <c r="BM172">
        <v>0</v>
      </c>
      <c r="BN172">
        <v>0</v>
      </c>
      <c r="BO172" t="s">
        <v>3</v>
      </c>
      <c r="BP172">
        <v>0</v>
      </c>
      <c r="BQ172">
        <v>1</v>
      </c>
      <c r="BR172">
        <v>0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 t="s">
        <v>3</v>
      </c>
      <c r="BZ172">
        <v>70</v>
      </c>
      <c r="CA172">
        <v>10</v>
      </c>
      <c r="CE172">
        <v>0</v>
      </c>
      <c r="CF172">
        <v>0</v>
      </c>
      <c r="CG172">
        <v>0</v>
      </c>
      <c r="CM172">
        <v>0</v>
      </c>
      <c r="CN172" t="s">
        <v>3</v>
      </c>
      <c r="CO172">
        <v>0</v>
      </c>
      <c r="CP172">
        <f t="shared" si="183"/>
        <v>119.78</v>
      </c>
      <c r="CQ172">
        <f t="shared" si="184"/>
        <v>0</v>
      </c>
      <c r="CR172">
        <f t="shared" si="185"/>
        <v>0</v>
      </c>
      <c r="CS172">
        <f t="shared" si="186"/>
        <v>0</v>
      </c>
      <c r="CT172">
        <f t="shared" si="187"/>
        <v>2120.08</v>
      </c>
      <c r="CU172">
        <f t="shared" si="188"/>
        <v>0</v>
      </c>
      <c r="CV172">
        <f t="shared" si="189"/>
        <v>11.73</v>
      </c>
      <c r="CW172">
        <f t="shared" si="190"/>
        <v>0</v>
      </c>
      <c r="CX172">
        <f t="shared" si="191"/>
        <v>0</v>
      </c>
      <c r="CY172">
        <f t="shared" si="192"/>
        <v>83.846000000000004</v>
      </c>
      <c r="CZ172">
        <f t="shared" si="193"/>
        <v>11.978</v>
      </c>
      <c r="DC172" t="s">
        <v>3</v>
      </c>
      <c r="DD172" t="s">
        <v>3</v>
      </c>
      <c r="DE172" t="s">
        <v>3</v>
      </c>
      <c r="DF172" t="s">
        <v>3</v>
      </c>
      <c r="DG172" t="s">
        <v>3</v>
      </c>
      <c r="DH172" t="s">
        <v>3</v>
      </c>
      <c r="DI172" t="s">
        <v>3</v>
      </c>
      <c r="DJ172" t="s">
        <v>3</v>
      </c>
      <c r="DK172" t="s">
        <v>3</v>
      </c>
      <c r="DL172" t="s">
        <v>3</v>
      </c>
      <c r="DM172" t="s">
        <v>3</v>
      </c>
      <c r="DN172">
        <v>0</v>
      </c>
      <c r="DO172">
        <v>0</v>
      </c>
      <c r="DP172">
        <v>1</v>
      </c>
      <c r="DQ172">
        <v>1</v>
      </c>
      <c r="DU172">
        <v>1005</v>
      </c>
      <c r="DV172" t="s">
        <v>18</v>
      </c>
      <c r="DW172" t="s">
        <v>18</v>
      </c>
      <c r="DX172">
        <v>100</v>
      </c>
      <c r="EE172">
        <v>40050625</v>
      </c>
      <c r="EF172">
        <v>1</v>
      </c>
      <c r="EG172" t="s">
        <v>20</v>
      </c>
      <c r="EH172">
        <v>0</v>
      </c>
      <c r="EI172" t="s">
        <v>3</v>
      </c>
      <c r="EJ172">
        <v>4</v>
      </c>
      <c r="EK172">
        <v>0</v>
      </c>
      <c r="EL172" t="s">
        <v>21</v>
      </c>
      <c r="EM172" t="s">
        <v>22</v>
      </c>
      <c r="EO172" t="s">
        <v>3</v>
      </c>
      <c r="EQ172">
        <v>0</v>
      </c>
      <c r="ER172">
        <v>2120.08</v>
      </c>
      <c r="ES172">
        <v>0</v>
      </c>
      <c r="ET172">
        <v>0</v>
      </c>
      <c r="EU172">
        <v>0</v>
      </c>
      <c r="EV172">
        <v>2120.08</v>
      </c>
      <c r="EW172">
        <v>11.73</v>
      </c>
      <c r="EX172">
        <v>0</v>
      </c>
      <c r="EY172">
        <v>0</v>
      </c>
      <c r="FQ172">
        <v>0</v>
      </c>
      <c r="FR172">
        <f t="shared" si="194"/>
        <v>0</v>
      </c>
      <c r="FS172">
        <v>0</v>
      </c>
      <c r="FX172">
        <v>70</v>
      </c>
      <c r="FY172">
        <v>10</v>
      </c>
      <c r="GA172" t="s">
        <v>3</v>
      </c>
      <c r="GD172">
        <v>0</v>
      </c>
      <c r="GF172">
        <v>1432931546</v>
      </c>
      <c r="GG172">
        <v>2</v>
      </c>
      <c r="GH172">
        <v>1</v>
      </c>
      <c r="GI172">
        <v>-2</v>
      </c>
      <c r="GJ172">
        <v>0</v>
      </c>
      <c r="GK172">
        <f>ROUND(R172*(R12)/100,2)</f>
        <v>0</v>
      </c>
      <c r="GL172">
        <f t="shared" si="195"/>
        <v>0</v>
      </c>
      <c r="GM172">
        <f t="shared" si="196"/>
        <v>215.61</v>
      </c>
      <c r="GN172">
        <f t="shared" si="197"/>
        <v>0</v>
      </c>
      <c r="GO172">
        <f t="shared" si="198"/>
        <v>0</v>
      </c>
      <c r="GP172">
        <f t="shared" si="199"/>
        <v>215.61</v>
      </c>
      <c r="GR172">
        <v>0</v>
      </c>
      <c r="GS172">
        <v>0</v>
      </c>
      <c r="GT172">
        <v>0</v>
      </c>
      <c r="GU172" t="s">
        <v>3</v>
      </c>
      <c r="GV172">
        <f t="shared" si="200"/>
        <v>0</v>
      </c>
      <c r="GW172">
        <v>1</v>
      </c>
      <c r="GX172">
        <f t="shared" si="201"/>
        <v>0</v>
      </c>
      <c r="HA172">
        <v>0</v>
      </c>
      <c r="HB172">
        <v>0</v>
      </c>
      <c r="HC172">
        <f t="shared" si="202"/>
        <v>0</v>
      </c>
      <c r="IK172">
        <v>0</v>
      </c>
    </row>
    <row r="173" spans="1:245">
      <c r="A173">
        <v>17</v>
      </c>
      <c r="B173">
        <v>1</v>
      </c>
      <c r="C173">
        <f>ROW(SmtRes!A75)</f>
        <v>75</v>
      </c>
      <c r="D173">
        <f>ROW(EtalonRes!A66)</f>
        <v>66</v>
      </c>
      <c r="E173" t="s">
        <v>181</v>
      </c>
      <c r="F173" t="s">
        <v>171</v>
      </c>
      <c r="G173" t="s">
        <v>172</v>
      </c>
      <c r="H173" t="s">
        <v>140</v>
      </c>
      <c r="I173">
        <f>ROUND(4/10,9)</f>
        <v>0.4</v>
      </c>
      <c r="J173">
        <v>0</v>
      </c>
      <c r="O173">
        <f t="shared" si="163"/>
        <v>2913.47</v>
      </c>
      <c r="P173">
        <f t="shared" si="164"/>
        <v>332.01</v>
      </c>
      <c r="Q173">
        <f t="shared" si="165"/>
        <v>614.26</v>
      </c>
      <c r="R173">
        <f t="shared" si="166"/>
        <v>139.4</v>
      </c>
      <c r="S173">
        <f t="shared" si="167"/>
        <v>1967.2</v>
      </c>
      <c r="T173">
        <f t="shared" si="168"/>
        <v>0</v>
      </c>
      <c r="U173">
        <f t="shared" si="169"/>
        <v>8.2840000000000007</v>
      </c>
      <c r="V173">
        <f t="shared" si="170"/>
        <v>0</v>
      </c>
      <c r="W173">
        <f t="shared" si="171"/>
        <v>0</v>
      </c>
      <c r="X173">
        <f t="shared" si="172"/>
        <v>1377.04</v>
      </c>
      <c r="Y173">
        <f t="shared" si="173"/>
        <v>196.72</v>
      </c>
      <c r="AA173">
        <v>42225948</v>
      </c>
      <c r="AB173">
        <f t="shared" si="174"/>
        <v>7283.67</v>
      </c>
      <c r="AC173">
        <f t="shared" si="175"/>
        <v>830.02</v>
      </c>
      <c r="AD173">
        <f t="shared" si="176"/>
        <v>1535.65</v>
      </c>
      <c r="AE173">
        <f t="shared" si="177"/>
        <v>348.51</v>
      </c>
      <c r="AF173">
        <f t="shared" si="178"/>
        <v>4918</v>
      </c>
      <c r="AG173">
        <f t="shared" si="179"/>
        <v>0</v>
      </c>
      <c r="AH173">
        <f t="shared" si="180"/>
        <v>20.71</v>
      </c>
      <c r="AI173">
        <f t="shared" si="181"/>
        <v>0</v>
      </c>
      <c r="AJ173">
        <f t="shared" si="182"/>
        <v>0</v>
      </c>
      <c r="AK173">
        <v>7283.67</v>
      </c>
      <c r="AL173">
        <v>830.02</v>
      </c>
      <c r="AM173">
        <v>1535.65</v>
      </c>
      <c r="AN173">
        <v>348.51</v>
      </c>
      <c r="AO173">
        <v>4918</v>
      </c>
      <c r="AP173">
        <v>0</v>
      </c>
      <c r="AQ173">
        <v>20.71</v>
      </c>
      <c r="AR173">
        <v>0</v>
      </c>
      <c r="AS173">
        <v>0</v>
      </c>
      <c r="AT173">
        <v>70</v>
      </c>
      <c r="AU173">
        <v>10</v>
      </c>
      <c r="AV173">
        <v>1</v>
      </c>
      <c r="AW173">
        <v>1</v>
      </c>
      <c r="AZ173">
        <v>1</v>
      </c>
      <c r="BA173">
        <v>1</v>
      </c>
      <c r="BB173">
        <v>1</v>
      </c>
      <c r="BC173">
        <v>1</v>
      </c>
      <c r="BD173" t="s">
        <v>3</v>
      </c>
      <c r="BE173" t="s">
        <v>3</v>
      </c>
      <c r="BF173" t="s">
        <v>3</v>
      </c>
      <c r="BG173" t="s">
        <v>3</v>
      </c>
      <c r="BH173">
        <v>0</v>
      </c>
      <c r="BI173">
        <v>4</v>
      </c>
      <c r="BJ173" t="s">
        <v>173</v>
      </c>
      <c r="BM173">
        <v>0</v>
      </c>
      <c r="BN173">
        <v>0</v>
      </c>
      <c r="BO173" t="s">
        <v>3</v>
      </c>
      <c r="BP173">
        <v>0</v>
      </c>
      <c r="BQ173">
        <v>1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 t="s">
        <v>3</v>
      </c>
      <c r="BZ173">
        <v>70</v>
      </c>
      <c r="CA173">
        <v>10</v>
      </c>
      <c r="CE173">
        <v>0</v>
      </c>
      <c r="CF173">
        <v>0</v>
      </c>
      <c r="CG173">
        <v>0</v>
      </c>
      <c r="CM173">
        <v>0</v>
      </c>
      <c r="CN173" t="s">
        <v>3</v>
      </c>
      <c r="CO173">
        <v>0</v>
      </c>
      <c r="CP173">
        <f t="shared" si="183"/>
        <v>2913.4700000000003</v>
      </c>
      <c r="CQ173">
        <f t="shared" si="184"/>
        <v>830.02</v>
      </c>
      <c r="CR173">
        <f t="shared" si="185"/>
        <v>1535.65</v>
      </c>
      <c r="CS173">
        <f t="shared" si="186"/>
        <v>348.51</v>
      </c>
      <c r="CT173">
        <f t="shared" si="187"/>
        <v>4918</v>
      </c>
      <c r="CU173">
        <f t="shared" si="188"/>
        <v>0</v>
      </c>
      <c r="CV173">
        <f t="shared" si="189"/>
        <v>20.71</v>
      </c>
      <c r="CW173">
        <f t="shared" si="190"/>
        <v>0</v>
      </c>
      <c r="CX173">
        <f t="shared" si="191"/>
        <v>0</v>
      </c>
      <c r="CY173">
        <f t="shared" si="192"/>
        <v>1377.04</v>
      </c>
      <c r="CZ173">
        <f t="shared" si="193"/>
        <v>196.72</v>
      </c>
      <c r="DC173" t="s">
        <v>3</v>
      </c>
      <c r="DD173" t="s">
        <v>3</v>
      </c>
      <c r="DE173" t="s">
        <v>3</v>
      </c>
      <c r="DF173" t="s">
        <v>3</v>
      </c>
      <c r="DG173" t="s">
        <v>3</v>
      </c>
      <c r="DH173" t="s">
        <v>3</v>
      </c>
      <c r="DI173" t="s">
        <v>3</v>
      </c>
      <c r="DJ173" t="s">
        <v>3</v>
      </c>
      <c r="DK173" t="s">
        <v>3</v>
      </c>
      <c r="DL173" t="s">
        <v>3</v>
      </c>
      <c r="DM173" t="s">
        <v>3</v>
      </c>
      <c r="DN173">
        <v>0</v>
      </c>
      <c r="DO173">
        <v>0</v>
      </c>
      <c r="DP173">
        <v>1</v>
      </c>
      <c r="DQ173">
        <v>1</v>
      </c>
      <c r="DU173">
        <v>1010</v>
      </c>
      <c r="DV173" t="s">
        <v>140</v>
      </c>
      <c r="DW173" t="s">
        <v>140</v>
      </c>
      <c r="DX173">
        <v>10</v>
      </c>
      <c r="EE173">
        <v>40050625</v>
      </c>
      <c r="EF173">
        <v>1</v>
      </c>
      <c r="EG173" t="s">
        <v>20</v>
      </c>
      <c r="EH173">
        <v>0</v>
      </c>
      <c r="EI173" t="s">
        <v>3</v>
      </c>
      <c r="EJ173">
        <v>4</v>
      </c>
      <c r="EK173">
        <v>0</v>
      </c>
      <c r="EL173" t="s">
        <v>21</v>
      </c>
      <c r="EM173" t="s">
        <v>22</v>
      </c>
      <c r="EO173" t="s">
        <v>3</v>
      </c>
      <c r="EQ173">
        <v>0</v>
      </c>
      <c r="ER173">
        <v>7283.67</v>
      </c>
      <c r="ES173">
        <v>830.02</v>
      </c>
      <c r="ET173">
        <v>1535.65</v>
      </c>
      <c r="EU173">
        <v>348.51</v>
      </c>
      <c r="EV173">
        <v>4918</v>
      </c>
      <c r="EW173">
        <v>20.71</v>
      </c>
      <c r="EX173">
        <v>0</v>
      </c>
      <c r="EY173">
        <v>0</v>
      </c>
      <c r="FQ173">
        <v>0</v>
      </c>
      <c r="FR173">
        <f t="shared" si="194"/>
        <v>0</v>
      </c>
      <c r="FS173">
        <v>0</v>
      </c>
      <c r="FX173">
        <v>70</v>
      </c>
      <c r="FY173">
        <v>10</v>
      </c>
      <c r="GA173" t="s">
        <v>3</v>
      </c>
      <c r="GD173">
        <v>0</v>
      </c>
      <c r="GF173">
        <v>2043723813</v>
      </c>
      <c r="GG173">
        <v>2</v>
      </c>
      <c r="GH173">
        <v>1</v>
      </c>
      <c r="GI173">
        <v>-2</v>
      </c>
      <c r="GJ173">
        <v>0</v>
      </c>
      <c r="GK173">
        <f>ROUND(R173*(R12)/100,2)</f>
        <v>150.55000000000001</v>
      </c>
      <c r="GL173">
        <f t="shared" si="195"/>
        <v>0</v>
      </c>
      <c r="GM173">
        <f t="shared" si="196"/>
        <v>4637.78</v>
      </c>
      <c r="GN173">
        <f t="shared" si="197"/>
        <v>0</v>
      </c>
      <c r="GO173">
        <f t="shared" si="198"/>
        <v>0</v>
      </c>
      <c r="GP173">
        <f t="shared" si="199"/>
        <v>4637.78</v>
      </c>
      <c r="GR173">
        <v>0</v>
      </c>
      <c r="GS173">
        <v>0</v>
      </c>
      <c r="GT173">
        <v>0</v>
      </c>
      <c r="GU173" t="s">
        <v>3</v>
      </c>
      <c r="GV173">
        <f t="shared" si="200"/>
        <v>0</v>
      </c>
      <c r="GW173">
        <v>1</v>
      </c>
      <c r="GX173">
        <f t="shared" si="201"/>
        <v>0</v>
      </c>
      <c r="HA173">
        <v>0</v>
      </c>
      <c r="HB173">
        <v>0</v>
      </c>
      <c r="HC173">
        <f t="shared" si="202"/>
        <v>0</v>
      </c>
      <c r="IK173">
        <v>0</v>
      </c>
    </row>
    <row r="174" spans="1:245">
      <c r="A174">
        <v>18</v>
      </c>
      <c r="B174">
        <v>1</v>
      </c>
      <c r="C174">
        <v>74</v>
      </c>
      <c r="E174" t="s">
        <v>182</v>
      </c>
      <c r="F174" t="s">
        <v>183</v>
      </c>
      <c r="G174" t="s">
        <v>184</v>
      </c>
      <c r="H174" t="s">
        <v>51</v>
      </c>
      <c r="I174">
        <f>I173*J174</f>
        <v>2</v>
      </c>
      <c r="J174">
        <v>5</v>
      </c>
      <c r="O174">
        <f t="shared" si="163"/>
        <v>27618.34</v>
      </c>
      <c r="P174">
        <f t="shared" si="164"/>
        <v>27618.34</v>
      </c>
      <c r="Q174">
        <f t="shared" si="165"/>
        <v>0</v>
      </c>
      <c r="R174">
        <f t="shared" si="166"/>
        <v>0</v>
      </c>
      <c r="S174">
        <f t="shared" si="167"/>
        <v>0</v>
      </c>
      <c r="T174">
        <f t="shared" si="168"/>
        <v>0</v>
      </c>
      <c r="U174">
        <f t="shared" si="169"/>
        <v>0</v>
      </c>
      <c r="V174">
        <f t="shared" si="170"/>
        <v>0</v>
      </c>
      <c r="W174">
        <f t="shared" si="171"/>
        <v>0</v>
      </c>
      <c r="X174">
        <f t="shared" si="172"/>
        <v>0</v>
      </c>
      <c r="Y174">
        <f t="shared" si="173"/>
        <v>0</v>
      </c>
      <c r="AA174">
        <v>42225948</v>
      </c>
      <c r="AB174">
        <f t="shared" si="174"/>
        <v>13809.17</v>
      </c>
      <c r="AC174">
        <f t="shared" si="175"/>
        <v>13809.17</v>
      </c>
      <c r="AD174">
        <f t="shared" si="176"/>
        <v>0</v>
      </c>
      <c r="AE174">
        <f t="shared" si="177"/>
        <v>0</v>
      </c>
      <c r="AF174">
        <f t="shared" si="178"/>
        <v>0</v>
      </c>
      <c r="AG174">
        <f t="shared" si="179"/>
        <v>0</v>
      </c>
      <c r="AH174">
        <f t="shared" si="180"/>
        <v>0</v>
      </c>
      <c r="AI174">
        <f t="shared" si="181"/>
        <v>0</v>
      </c>
      <c r="AJ174">
        <f t="shared" si="182"/>
        <v>0</v>
      </c>
      <c r="AK174">
        <v>13809.17</v>
      </c>
      <c r="AL174">
        <v>13809.17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70</v>
      </c>
      <c r="AU174">
        <v>10</v>
      </c>
      <c r="AV174">
        <v>1</v>
      </c>
      <c r="AW174">
        <v>1</v>
      </c>
      <c r="AZ174">
        <v>1</v>
      </c>
      <c r="BA174">
        <v>1</v>
      </c>
      <c r="BB174">
        <v>1</v>
      </c>
      <c r="BC174">
        <v>1</v>
      </c>
      <c r="BD174" t="s">
        <v>3</v>
      </c>
      <c r="BE174" t="s">
        <v>3</v>
      </c>
      <c r="BF174" t="s">
        <v>3</v>
      </c>
      <c r="BG174" t="s">
        <v>3</v>
      </c>
      <c r="BH174">
        <v>3</v>
      </c>
      <c r="BI174">
        <v>4</v>
      </c>
      <c r="BJ174" t="s">
        <v>3</v>
      </c>
      <c r="BM174">
        <v>0</v>
      </c>
      <c r="BN174">
        <v>0</v>
      </c>
      <c r="BO174" t="s">
        <v>3</v>
      </c>
      <c r="BP174">
        <v>0</v>
      </c>
      <c r="BQ174">
        <v>1</v>
      </c>
      <c r="BR174">
        <v>0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 t="s">
        <v>3</v>
      </c>
      <c r="BZ174">
        <v>70</v>
      </c>
      <c r="CA174">
        <v>10</v>
      </c>
      <c r="CE174">
        <v>0</v>
      </c>
      <c r="CF174">
        <v>0</v>
      </c>
      <c r="CG174">
        <v>0</v>
      </c>
      <c r="CM174">
        <v>0</v>
      </c>
      <c r="CN174" t="s">
        <v>3</v>
      </c>
      <c r="CO174">
        <v>0</v>
      </c>
      <c r="CP174">
        <f t="shared" si="183"/>
        <v>27618.34</v>
      </c>
      <c r="CQ174">
        <f t="shared" si="184"/>
        <v>13809.17</v>
      </c>
      <c r="CR174">
        <f t="shared" si="185"/>
        <v>0</v>
      </c>
      <c r="CS174">
        <f t="shared" si="186"/>
        <v>0</v>
      </c>
      <c r="CT174">
        <f t="shared" si="187"/>
        <v>0</v>
      </c>
      <c r="CU174">
        <f t="shared" si="188"/>
        <v>0</v>
      </c>
      <c r="CV174">
        <f t="shared" si="189"/>
        <v>0</v>
      </c>
      <c r="CW174">
        <f t="shared" si="190"/>
        <v>0</v>
      </c>
      <c r="CX174">
        <f t="shared" si="191"/>
        <v>0</v>
      </c>
      <c r="CY174">
        <f t="shared" si="192"/>
        <v>0</v>
      </c>
      <c r="CZ174">
        <f t="shared" si="193"/>
        <v>0</v>
      </c>
      <c r="DC174" t="s">
        <v>3</v>
      </c>
      <c r="DD174" t="s">
        <v>3</v>
      </c>
      <c r="DE174" t="s">
        <v>3</v>
      </c>
      <c r="DF174" t="s">
        <v>3</v>
      </c>
      <c r="DG174" t="s">
        <v>3</v>
      </c>
      <c r="DH174" t="s">
        <v>3</v>
      </c>
      <c r="DI174" t="s">
        <v>3</v>
      </c>
      <c r="DJ174" t="s">
        <v>3</v>
      </c>
      <c r="DK174" t="s">
        <v>3</v>
      </c>
      <c r="DL174" t="s">
        <v>3</v>
      </c>
      <c r="DM174" t="s">
        <v>3</v>
      </c>
      <c r="DN174">
        <v>0</v>
      </c>
      <c r="DO174">
        <v>0</v>
      </c>
      <c r="DP174">
        <v>1</v>
      </c>
      <c r="DQ174">
        <v>1</v>
      </c>
      <c r="DU174">
        <v>1010</v>
      </c>
      <c r="DV174" t="s">
        <v>51</v>
      </c>
      <c r="DW174" t="s">
        <v>51</v>
      </c>
      <c r="DX174">
        <v>1</v>
      </c>
      <c r="EE174">
        <v>40050625</v>
      </c>
      <c r="EF174">
        <v>1</v>
      </c>
      <c r="EG174" t="s">
        <v>20</v>
      </c>
      <c r="EH174">
        <v>0</v>
      </c>
      <c r="EI174" t="s">
        <v>3</v>
      </c>
      <c r="EJ174">
        <v>4</v>
      </c>
      <c r="EK174">
        <v>0</v>
      </c>
      <c r="EL174" t="s">
        <v>21</v>
      </c>
      <c r="EM174" t="s">
        <v>22</v>
      </c>
      <c r="EO174" t="s">
        <v>3</v>
      </c>
      <c r="EQ174">
        <v>0</v>
      </c>
      <c r="ER174">
        <v>13809.17</v>
      </c>
      <c r="ES174">
        <v>13809.17</v>
      </c>
      <c r="ET174">
        <v>0</v>
      </c>
      <c r="EU174">
        <v>0</v>
      </c>
      <c r="EV174">
        <v>0</v>
      </c>
      <c r="EW174">
        <v>0</v>
      </c>
      <c r="EX174">
        <v>0</v>
      </c>
      <c r="FQ174">
        <v>0</v>
      </c>
      <c r="FR174">
        <f t="shared" si="194"/>
        <v>0</v>
      </c>
      <c r="FS174">
        <v>0</v>
      </c>
      <c r="FX174">
        <v>70</v>
      </c>
      <c r="FY174">
        <v>10</v>
      </c>
      <c r="GA174" t="s">
        <v>3</v>
      </c>
      <c r="GD174">
        <v>0</v>
      </c>
      <c r="GF174">
        <v>-1116103531</v>
      </c>
      <c r="GG174">
        <v>2</v>
      </c>
      <c r="GH174">
        <v>0</v>
      </c>
      <c r="GI174">
        <v>-2</v>
      </c>
      <c r="GJ174">
        <v>0</v>
      </c>
      <c r="GK174">
        <f>ROUND(R174*(R12)/100,2)</f>
        <v>0</v>
      </c>
      <c r="GL174">
        <f t="shared" si="195"/>
        <v>0</v>
      </c>
      <c r="GM174">
        <f t="shared" si="196"/>
        <v>27618.34</v>
      </c>
      <c r="GN174">
        <f t="shared" si="197"/>
        <v>0</v>
      </c>
      <c r="GO174">
        <f t="shared" si="198"/>
        <v>0</v>
      </c>
      <c r="GP174">
        <f t="shared" si="199"/>
        <v>27618.34</v>
      </c>
      <c r="GR174">
        <v>0</v>
      </c>
      <c r="GS174">
        <v>0</v>
      </c>
      <c r="GT174">
        <v>0</v>
      </c>
      <c r="GU174" t="s">
        <v>3</v>
      </c>
      <c r="GV174">
        <f t="shared" si="200"/>
        <v>0</v>
      </c>
      <c r="GW174">
        <v>1</v>
      </c>
      <c r="GX174">
        <f t="shared" si="201"/>
        <v>0</v>
      </c>
      <c r="HA174">
        <v>0</v>
      </c>
      <c r="HB174">
        <v>0</v>
      </c>
      <c r="HC174">
        <f t="shared" si="202"/>
        <v>0</v>
      </c>
      <c r="IK174">
        <v>0</v>
      </c>
    </row>
    <row r="175" spans="1:245">
      <c r="A175">
        <v>18</v>
      </c>
      <c r="B175">
        <v>1</v>
      </c>
      <c r="C175">
        <v>75</v>
      </c>
      <c r="E175" t="s">
        <v>185</v>
      </c>
      <c r="F175" t="s">
        <v>183</v>
      </c>
      <c r="G175" t="s">
        <v>186</v>
      </c>
      <c r="H175" t="s">
        <v>51</v>
      </c>
      <c r="I175">
        <f>I173*J175</f>
        <v>2</v>
      </c>
      <c r="J175">
        <v>5</v>
      </c>
      <c r="O175">
        <f t="shared" si="163"/>
        <v>15691.66</v>
      </c>
      <c r="P175">
        <f t="shared" si="164"/>
        <v>15691.66</v>
      </c>
      <c r="Q175">
        <f t="shared" si="165"/>
        <v>0</v>
      </c>
      <c r="R175">
        <f t="shared" si="166"/>
        <v>0</v>
      </c>
      <c r="S175">
        <f t="shared" si="167"/>
        <v>0</v>
      </c>
      <c r="T175">
        <f t="shared" si="168"/>
        <v>0</v>
      </c>
      <c r="U175">
        <f t="shared" si="169"/>
        <v>0</v>
      </c>
      <c r="V175">
        <f t="shared" si="170"/>
        <v>0</v>
      </c>
      <c r="W175">
        <f t="shared" si="171"/>
        <v>0</v>
      </c>
      <c r="X175">
        <f t="shared" si="172"/>
        <v>0</v>
      </c>
      <c r="Y175">
        <f t="shared" si="173"/>
        <v>0</v>
      </c>
      <c r="AA175">
        <v>42225948</v>
      </c>
      <c r="AB175">
        <f t="shared" si="174"/>
        <v>7845.83</v>
      </c>
      <c r="AC175">
        <f t="shared" si="175"/>
        <v>7845.83</v>
      </c>
      <c r="AD175">
        <f t="shared" si="176"/>
        <v>0</v>
      </c>
      <c r="AE175">
        <f t="shared" si="177"/>
        <v>0</v>
      </c>
      <c r="AF175">
        <f t="shared" si="178"/>
        <v>0</v>
      </c>
      <c r="AG175">
        <f t="shared" si="179"/>
        <v>0</v>
      </c>
      <c r="AH175">
        <f t="shared" si="180"/>
        <v>0</v>
      </c>
      <c r="AI175">
        <f t="shared" si="181"/>
        <v>0</v>
      </c>
      <c r="AJ175">
        <f t="shared" si="182"/>
        <v>0</v>
      </c>
      <c r="AK175">
        <v>7845.83</v>
      </c>
      <c r="AL175">
        <v>7845.83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70</v>
      </c>
      <c r="AU175">
        <v>10</v>
      </c>
      <c r="AV175">
        <v>1</v>
      </c>
      <c r="AW175">
        <v>1</v>
      </c>
      <c r="AZ175">
        <v>1</v>
      </c>
      <c r="BA175">
        <v>1</v>
      </c>
      <c r="BB175">
        <v>1</v>
      </c>
      <c r="BC175">
        <v>1</v>
      </c>
      <c r="BD175" t="s">
        <v>3</v>
      </c>
      <c r="BE175" t="s">
        <v>3</v>
      </c>
      <c r="BF175" t="s">
        <v>3</v>
      </c>
      <c r="BG175" t="s">
        <v>3</v>
      </c>
      <c r="BH175">
        <v>3</v>
      </c>
      <c r="BI175">
        <v>4</v>
      </c>
      <c r="BJ175" t="s">
        <v>3</v>
      </c>
      <c r="BM175">
        <v>0</v>
      </c>
      <c r="BN175">
        <v>0</v>
      </c>
      <c r="BO175" t="s">
        <v>3</v>
      </c>
      <c r="BP175">
        <v>0</v>
      </c>
      <c r="BQ175">
        <v>1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 t="s">
        <v>3</v>
      </c>
      <c r="BZ175">
        <v>70</v>
      </c>
      <c r="CA175">
        <v>10</v>
      </c>
      <c r="CE175">
        <v>0</v>
      </c>
      <c r="CF175">
        <v>0</v>
      </c>
      <c r="CG175">
        <v>0</v>
      </c>
      <c r="CM175">
        <v>0</v>
      </c>
      <c r="CN175" t="s">
        <v>3</v>
      </c>
      <c r="CO175">
        <v>0</v>
      </c>
      <c r="CP175">
        <f t="shared" si="183"/>
        <v>15691.66</v>
      </c>
      <c r="CQ175">
        <f t="shared" si="184"/>
        <v>7845.83</v>
      </c>
      <c r="CR175">
        <f t="shared" si="185"/>
        <v>0</v>
      </c>
      <c r="CS175">
        <f t="shared" si="186"/>
        <v>0</v>
      </c>
      <c r="CT175">
        <f t="shared" si="187"/>
        <v>0</v>
      </c>
      <c r="CU175">
        <f t="shared" si="188"/>
        <v>0</v>
      </c>
      <c r="CV175">
        <f t="shared" si="189"/>
        <v>0</v>
      </c>
      <c r="CW175">
        <f t="shared" si="190"/>
        <v>0</v>
      </c>
      <c r="CX175">
        <f t="shared" si="191"/>
        <v>0</v>
      </c>
      <c r="CY175">
        <f t="shared" si="192"/>
        <v>0</v>
      </c>
      <c r="CZ175">
        <f t="shared" si="193"/>
        <v>0</v>
      </c>
      <c r="DC175" t="s">
        <v>3</v>
      </c>
      <c r="DD175" t="s">
        <v>3</v>
      </c>
      <c r="DE175" t="s">
        <v>3</v>
      </c>
      <c r="DF175" t="s">
        <v>3</v>
      </c>
      <c r="DG175" t="s">
        <v>3</v>
      </c>
      <c r="DH175" t="s">
        <v>3</v>
      </c>
      <c r="DI175" t="s">
        <v>3</v>
      </c>
      <c r="DJ175" t="s">
        <v>3</v>
      </c>
      <c r="DK175" t="s">
        <v>3</v>
      </c>
      <c r="DL175" t="s">
        <v>3</v>
      </c>
      <c r="DM175" t="s">
        <v>3</v>
      </c>
      <c r="DN175">
        <v>0</v>
      </c>
      <c r="DO175">
        <v>0</v>
      </c>
      <c r="DP175">
        <v>1</v>
      </c>
      <c r="DQ175">
        <v>1</v>
      </c>
      <c r="DU175">
        <v>1010</v>
      </c>
      <c r="DV175" t="s">
        <v>51</v>
      </c>
      <c r="DW175" t="s">
        <v>51</v>
      </c>
      <c r="DX175">
        <v>1</v>
      </c>
      <c r="EE175">
        <v>40050625</v>
      </c>
      <c r="EF175">
        <v>1</v>
      </c>
      <c r="EG175" t="s">
        <v>20</v>
      </c>
      <c r="EH175">
        <v>0</v>
      </c>
      <c r="EI175" t="s">
        <v>3</v>
      </c>
      <c r="EJ175">
        <v>4</v>
      </c>
      <c r="EK175">
        <v>0</v>
      </c>
      <c r="EL175" t="s">
        <v>21</v>
      </c>
      <c r="EM175" t="s">
        <v>22</v>
      </c>
      <c r="EO175" t="s">
        <v>3</v>
      </c>
      <c r="EQ175">
        <v>0</v>
      </c>
      <c r="ER175">
        <v>7845.83</v>
      </c>
      <c r="ES175">
        <v>7845.83</v>
      </c>
      <c r="ET175">
        <v>0</v>
      </c>
      <c r="EU175">
        <v>0</v>
      </c>
      <c r="EV175">
        <v>0</v>
      </c>
      <c r="EW175">
        <v>0</v>
      </c>
      <c r="EX175">
        <v>0</v>
      </c>
      <c r="FQ175">
        <v>0</v>
      </c>
      <c r="FR175">
        <f t="shared" si="194"/>
        <v>0</v>
      </c>
      <c r="FS175">
        <v>0</v>
      </c>
      <c r="FX175">
        <v>70</v>
      </c>
      <c r="FY175">
        <v>10</v>
      </c>
      <c r="GA175" t="s">
        <v>3</v>
      </c>
      <c r="GD175">
        <v>0</v>
      </c>
      <c r="GF175">
        <v>-1077476460</v>
      </c>
      <c r="GG175">
        <v>2</v>
      </c>
      <c r="GH175">
        <v>0</v>
      </c>
      <c r="GI175">
        <v>-2</v>
      </c>
      <c r="GJ175">
        <v>0</v>
      </c>
      <c r="GK175">
        <f>ROUND(R175*(R12)/100,2)</f>
        <v>0</v>
      </c>
      <c r="GL175">
        <f t="shared" si="195"/>
        <v>0</v>
      </c>
      <c r="GM175">
        <f t="shared" si="196"/>
        <v>15691.66</v>
      </c>
      <c r="GN175">
        <f t="shared" si="197"/>
        <v>0</v>
      </c>
      <c r="GO175">
        <f t="shared" si="198"/>
        <v>0</v>
      </c>
      <c r="GP175">
        <f t="shared" si="199"/>
        <v>15691.66</v>
      </c>
      <c r="GR175">
        <v>0</v>
      </c>
      <c r="GS175">
        <v>0</v>
      </c>
      <c r="GT175">
        <v>0</v>
      </c>
      <c r="GU175" t="s">
        <v>3</v>
      </c>
      <c r="GV175">
        <f t="shared" si="200"/>
        <v>0</v>
      </c>
      <c r="GW175">
        <v>1</v>
      </c>
      <c r="GX175">
        <f t="shared" si="201"/>
        <v>0</v>
      </c>
      <c r="HA175">
        <v>0</v>
      </c>
      <c r="HB175">
        <v>0</v>
      </c>
      <c r="HC175">
        <f t="shared" si="202"/>
        <v>0</v>
      </c>
      <c r="IK175">
        <v>0</v>
      </c>
    </row>
    <row r="176" spans="1:245">
      <c r="A176">
        <v>17</v>
      </c>
      <c r="B176">
        <v>1</v>
      </c>
      <c r="C176">
        <f>ROW(SmtRes!A78)</f>
        <v>78</v>
      </c>
      <c r="D176">
        <f>ROW(EtalonRes!A69)</f>
        <v>69</v>
      </c>
      <c r="E176" t="s">
        <v>187</v>
      </c>
      <c r="F176" t="s">
        <v>188</v>
      </c>
      <c r="G176" t="s">
        <v>189</v>
      </c>
      <c r="H176" t="s">
        <v>124</v>
      </c>
      <c r="I176">
        <f>ROUND((17*0.4)/10,9)</f>
        <v>0.68</v>
      </c>
      <c r="J176">
        <v>0</v>
      </c>
      <c r="O176">
        <f t="shared" si="163"/>
        <v>4926.07</v>
      </c>
      <c r="P176">
        <f t="shared" si="164"/>
        <v>2250.4699999999998</v>
      </c>
      <c r="Q176">
        <f t="shared" si="165"/>
        <v>0</v>
      </c>
      <c r="R176">
        <f t="shared" si="166"/>
        <v>0</v>
      </c>
      <c r="S176">
        <f t="shared" si="167"/>
        <v>2675.6</v>
      </c>
      <c r="T176">
        <f t="shared" si="168"/>
        <v>0</v>
      </c>
      <c r="U176">
        <f t="shared" si="169"/>
        <v>14.803600000000001</v>
      </c>
      <c r="V176">
        <f t="shared" si="170"/>
        <v>0</v>
      </c>
      <c r="W176">
        <f t="shared" si="171"/>
        <v>0</v>
      </c>
      <c r="X176">
        <f t="shared" si="172"/>
        <v>1872.92</v>
      </c>
      <c r="Y176">
        <f t="shared" si="173"/>
        <v>267.56</v>
      </c>
      <c r="AA176">
        <v>42225948</v>
      </c>
      <c r="AB176">
        <f t="shared" si="174"/>
        <v>7244.22</v>
      </c>
      <c r="AC176">
        <f t="shared" si="175"/>
        <v>3309.51</v>
      </c>
      <c r="AD176">
        <f t="shared" si="176"/>
        <v>0</v>
      </c>
      <c r="AE176">
        <f t="shared" si="177"/>
        <v>0</v>
      </c>
      <c r="AF176">
        <f t="shared" si="178"/>
        <v>3934.71</v>
      </c>
      <c r="AG176">
        <f t="shared" si="179"/>
        <v>0</v>
      </c>
      <c r="AH176">
        <f t="shared" si="180"/>
        <v>21.77</v>
      </c>
      <c r="AI176">
        <f t="shared" si="181"/>
        <v>0</v>
      </c>
      <c r="AJ176">
        <f t="shared" si="182"/>
        <v>0</v>
      </c>
      <c r="AK176">
        <v>7244.22</v>
      </c>
      <c r="AL176">
        <v>3309.51</v>
      </c>
      <c r="AM176">
        <v>0</v>
      </c>
      <c r="AN176">
        <v>0</v>
      </c>
      <c r="AO176">
        <v>3934.71</v>
      </c>
      <c r="AP176">
        <v>0</v>
      </c>
      <c r="AQ176">
        <v>21.77</v>
      </c>
      <c r="AR176">
        <v>0</v>
      </c>
      <c r="AS176">
        <v>0</v>
      </c>
      <c r="AT176">
        <v>70</v>
      </c>
      <c r="AU176">
        <v>10</v>
      </c>
      <c r="AV176">
        <v>1</v>
      </c>
      <c r="AW176">
        <v>1</v>
      </c>
      <c r="AZ176">
        <v>1</v>
      </c>
      <c r="BA176">
        <v>1</v>
      </c>
      <c r="BB176">
        <v>1</v>
      </c>
      <c r="BC176">
        <v>1</v>
      </c>
      <c r="BD176" t="s">
        <v>3</v>
      </c>
      <c r="BE176" t="s">
        <v>3</v>
      </c>
      <c r="BF176" t="s">
        <v>3</v>
      </c>
      <c r="BG176" t="s">
        <v>3</v>
      </c>
      <c r="BH176">
        <v>0</v>
      </c>
      <c r="BI176">
        <v>4</v>
      </c>
      <c r="BJ176" t="s">
        <v>190</v>
      </c>
      <c r="BM176">
        <v>0</v>
      </c>
      <c r="BN176">
        <v>0</v>
      </c>
      <c r="BO176" t="s">
        <v>3</v>
      </c>
      <c r="BP176">
        <v>0</v>
      </c>
      <c r="BQ176">
        <v>1</v>
      </c>
      <c r="BR176">
        <v>0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 t="s">
        <v>3</v>
      </c>
      <c r="BZ176">
        <v>70</v>
      </c>
      <c r="CA176">
        <v>10</v>
      </c>
      <c r="CE176">
        <v>0</v>
      </c>
      <c r="CF176">
        <v>0</v>
      </c>
      <c r="CG176">
        <v>0</v>
      </c>
      <c r="CM176">
        <v>0</v>
      </c>
      <c r="CN176" t="s">
        <v>3</v>
      </c>
      <c r="CO176">
        <v>0</v>
      </c>
      <c r="CP176">
        <f t="shared" si="183"/>
        <v>4926.07</v>
      </c>
      <c r="CQ176">
        <f t="shared" si="184"/>
        <v>3309.51</v>
      </c>
      <c r="CR176">
        <f t="shared" si="185"/>
        <v>0</v>
      </c>
      <c r="CS176">
        <f t="shared" si="186"/>
        <v>0</v>
      </c>
      <c r="CT176">
        <f t="shared" si="187"/>
        <v>3934.71</v>
      </c>
      <c r="CU176">
        <f t="shared" si="188"/>
        <v>0</v>
      </c>
      <c r="CV176">
        <f t="shared" si="189"/>
        <v>21.77</v>
      </c>
      <c r="CW176">
        <f t="shared" si="190"/>
        <v>0</v>
      </c>
      <c r="CX176">
        <f t="shared" si="191"/>
        <v>0</v>
      </c>
      <c r="CY176">
        <f t="shared" si="192"/>
        <v>1872.92</v>
      </c>
      <c r="CZ176">
        <f t="shared" si="193"/>
        <v>267.56</v>
      </c>
      <c r="DC176" t="s">
        <v>3</v>
      </c>
      <c r="DD176" t="s">
        <v>3</v>
      </c>
      <c r="DE176" t="s">
        <v>3</v>
      </c>
      <c r="DF176" t="s">
        <v>3</v>
      </c>
      <c r="DG176" t="s">
        <v>3</v>
      </c>
      <c r="DH176" t="s">
        <v>3</v>
      </c>
      <c r="DI176" t="s">
        <v>3</v>
      </c>
      <c r="DJ176" t="s">
        <v>3</v>
      </c>
      <c r="DK176" t="s">
        <v>3</v>
      </c>
      <c r="DL176" t="s">
        <v>3</v>
      </c>
      <c r="DM176" t="s">
        <v>3</v>
      </c>
      <c r="DN176">
        <v>0</v>
      </c>
      <c r="DO176">
        <v>0</v>
      </c>
      <c r="DP176">
        <v>1</v>
      </c>
      <c r="DQ176">
        <v>1</v>
      </c>
      <c r="DU176">
        <v>1013</v>
      </c>
      <c r="DV176" t="s">
        <v>124</v>
      </c>
      <c r="DW176" t="s">
        <v>124</v>
      </c>
      <c r="DX176">
        <v>1</v>
      </c>
      <c r="EE176">
        <v>40050625</v>
      </c>
      <c r="EF176">
        <v>1</v>
      </c>
      <c r="EG176" t="s">
        <v>20</v>
      </c>
      <c r="EH176">
        <v>0</v>
      </c>
      <c r="EI176" t="s">
        <v>3</v>
      </c>
      <c r="EJ176">
        <v>4</v>
      </c>
      <c r="EK176">
        <v>0</v>
      </c>
      <c r="EL176" t="s">
        <v>21</v>
      </c>
      <c r="EM176" t="s">
        <v>22</v>
      </c>
      <c r="EO176" t="s">
        <v>3</v>
      </c>
      <c r="EQ176">
        <v>0</v>
      </c>
      <c r="ER176">
        <v>7244.22</v>
      </c>
      <c r="ES176">
        <v>3309.51</v>
      </c>
      <c r="ET176">
        <v>0</v>
      </c>
      <c r="EU176">
        <v>0</v>
      </c>
      <c r="EV176">
        <v>3934.71</v>
      </c>
      <c r="EW176">
        <v>21.77</v>
      </c>
      <c r="EX176">
        <v>0</v>
      </c>
      <c r="EY176">
        <v>0</v>
      </c>
      <c r="FQ176">
        <v>0</v>
      </c>
      <c r="FR176">
        <f t="shared" si="194"/>
        <v>0</v>
      </c>
      <c r="FS176">
        <v>0</v>
      </c>
      <c r="FX176">
        <v>70</v>
      </c>
      <c r="FY176">
        <v>10</v>
      </c>
      <c r="GA176" t="s">
        <v>3</v>
      </c>
      <c r="GD176">
        <v>0</v>
      </c>
      <c r="GF176">
        <v>1847960894</v>
      </c>
      <c r="GG176">
        <v>2</v>
      </c>
      <c r="GH176">
        <v>1</v>
      </c>
      <c r="GI176">
        <v>-2</v>
      </c>
      <c r="GJ176">
        <v>0</v>
      </c>
      <c r="GK176">
        <f>ROUND(R176*(R12)/100,2)</f>
        <v>0</v>
      </c>
      <c r="GL176">
        <f t="shared" si="195"/>
        <v>0</v>
      </c>
      <c r="GM176">
        <f t="shared" si="196"/>
        <v>7066.55</v>
      </c>
      <c r="GN176">
        <f t="shared" si="197"/>
        <v>0</v>
      </c>
      <c r="GO176">
        <f t="shared" si="198"/>
        <v>0</v>
      </c>
      <c r="GP176">
        <f t="shared" si="199"/>
        <v>7066.55</v>
      </c>
      <c r="GR176">
        <v>0</v>
      </c>
      <c r="GS176">
        <v>0</v>
      </c>
      <c r="GT176">
        <v>0</v>
      </c>
      <c r="GU176" t="s">
        <v>3</v>
      </c>
      <c r="GV176">
        <f t="shared" si="200"/>
        <v>0</v>
      </c>
      <c r="GW176">
        <v>1</v>
      </c>
      <c r="GX176">
        <f t="shared" si="201"/>
        <v>0</v>
      </c>
      <c r="HA176">
        <v>0</v>
      </c>
      <c r="HB176">
        <v>0</v>
      </c>
      <c r="HC176">
        <f t="shared" si="202"/>
        <v>0</v>
      </c>
      <c r="IK176">
        <v>0</v>
      </c>
    </row>
    <row r="177" spans="1:245">
      <c r="A177">
        <v>17</v>
      </c>
      <c r="B177">
        <v>1</v>
      </c>
      <c r="C177">
        <f>ROW(SmtRes!A83)</f>
        <v>83</v>
      </c>
      <c r="D177">
        <f>ROW(EtalonRes!A74)</f>
        <v>74</v>
      </c>
      <c r="E177" t="s">
        <v>191</v>
      </c>
      <c r="F177" t="s">
        <v>192</v>
      </c>
      <c r="G177" t="s">
        <v>193</v>
      </c>
      <c r="H177" t="s">
        <v>124</v>
      </c>
      <c r="I177">
        <f>ROUND((17*0.6)/10,9)</f>
        <v>1.02</v>
      </c>
      <c r="J177">
        <v>0</v>
      </c>
      <c r="O177">
        <f t="shared" si="163"/>
        <v>6528.04</v>
      </c>
      <c r="P177">
        <f t="shared" si="164"/>
        <v>3375.7</v>
      </c>
      <c r="Q177">
        <f t="shared" si="165"/>
        <v>291.16000000000003</v>
      </c>
      <c r="R177">
        <f t="shared" si="166"/>
        <v>106.49</v>
      </c>
      <c r="S177">
        <f t="shared" si="167"/>
        <v>2861.18</v>
      </c>
      <c r="T177">
        <f t="shared" si="168"/>
        <v>0</v>
      </c>
      <c r="U177">
        <f t="shared" si="169"/>
        <v>15.830399999999999</v>
      </c>
      <c r="V177">
        <f t="shared" si="170"/>
        <v>0</v>
      </c>
      <c r="W177">
        <f t="shared" si="171"/>
        <v>0</v>
      </c>
      <c r="X177">
        <f t="shared" si="172"/>
        <v>2002.83</v>
      </c>
      <c r="Y177">
        <f t="shared" si="173"/>
        <v>286.12</v>
      </c>
      <c r="AA177">
        <v>42225948</v>
      </c>
      <c r="AB177">
        <f t="shared" si="174"/>
        <v>6400.04</v>
      </c>
      <c r="AC177">
        <f t="shared" si="175"/>
        <v>3309.51</v>
      </c>
      <c r="AD177">
        <f t="shared" si="176"/>
        <v>285.45</v>
      </c>
      <c r="AE177">
        <f t="shared" si="177"/>
        <v>104.4</v>
      </c>
      <c r="AF177">
        <f t="shared" si="178"/>
        <v>2805.08</v>
      </c>
      <c r="AG177">
        <f t="shared" si="179"/>
        <v>0</v>
      </c>
      <c r="AH177">
        <f t="shared" si="180"/>
        <v>15.52</v>
      </c>
      <c r="AI177">
        <f t="shared" si="181"/>
        <v>0</v>
      </c>
      <c r="AJ177">
        <f t="shared" si="182"/>
        <v>0</v>
      </c>
      <c r="AK177">
        <v>6400.04</v>
      </c>
      <c r="AL177">
        <v>3309.51</v>
      </c>
      <c r="AM177">
        <v>285.45</v>
      </c>
      <c r="AN177">
        <v>104.4</v>
      </c>
      <c r="AO177">
        <v>2805.08</v>
      </c>
      <c r="AP177">
        <v>0</v>
      </c>
      <c r="AQ177">
        <v>15.52</v>
      </c>
      <c r="AR177">
        <v>0</v>
      </c>
      <c r="AS177">
        <v>0</v>
      </c>
      <c r="AT177">
        <v>70</v>
      </c>
      <c r="AU177">
        <v>10</v>
      </c>
      <c r="AV177">
        <v>1</v>
      </c>
      <c r="AW177">
        <v>1</v>
      </c>
      <c r="AZ177">
        <v>1</v>
      </c>
      <c r="BA177">
        <v>1</v>
      </c>
      <c r="BB177">
        <v>1</v>
      </c>
      <c r="BC177">
        <v>1</v>
      </c>
      <c r="BD177" t="s">
        <v>3</v>
      </c>
      <c r="BE177" t="s">
        <v>3</v>
      </c>
      <c r="BF177" t="s">
        <v>3</v>
      </c>
      <c r="BG177" t="s">
        <v>3</v>
      </c>
      <c r="BH177">
        <v>0</v>
      </c>
      <c r="BI177">
        <v>4</v>
      </c>
      <c r="BJ177" t="s">
        <v>194</v>
      </c>
      <c r="BM177">
        <v>0</v>
      </c>
      <c r="BN177">
        <v>0</v>
      </c>
      <c r="BO177" t="s">
        <v>3</v>
      </c>
      <c r="BP177">
        <v>0</v>
      </c>
      <c r="BQ177">
        <v>1</v>
      </c>
      <c r="BR177">
        <v>0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 t="s">
        <v>3</v>
      </c>
      <c r="BZ177">
        <v>70</v>
      </c>
      <c r="CA177">
        <v>10</v>
      </c>
      <c r="CE177">
        <v>0</v>
      </c>
      <c r="CF177">
        <v>0</v>
      </c>
      <c r="CG177">
        <v>0</v>
      </c>
      <c r="CM177">
        <v>0</v>
      </c>
      <c r="CN177" t="s">
        <v>3</v>
      </c>
      <c r="CO177">
        <v>0</v>
      </c>
      <c r="CP177">
        <f t="shared" si="183"/>
        <v>6528.0399999999991</v>
      </c>
      <c r="CQ177">
        <f t="shared" si="184"/>
        <v>3309.51</v>
      </c>
      <c r="CR177">
        <f t="shared" si="185"/>
        <v>285.45</v>
      </c>
      <c r="CS177">
        <f t="shared" si="186"/>
        <v>104.4</v>
      </c>
      <c r="CT177">
        <f t="shared" si="187"/>
        <v>2805.08</v>
      </c>
      <c r="CU177">
        <f t="shared" si="188"/>
        <v>0</v>
      </c>
      <c r="CV177">
        <f t="shared" si="189"/>
        <v>15.52</v>
      </c>
      <c r="CW177">
        <f t="shared" si="190"/>
        <v>0</v>
      </c>
      <c r="CX177">
        <f t="shared" si="191"/>
        <v>0</v>
      </c>
      <c r="CY177">
        <f t="shared" si="192"/>
        <v>2002.8259999999998</v>
      </c>
      <c r="CZ177">
        <f t="shared" si="193"/>
        <v>286.11799999999999</v>
      </c>
      <c r="DC177" t="s">
        <v>3</v>
      </c>
      <c r="DD177" t="s">
        <v>3</v>
      </c>
      <c r="DE177" t="s">
        <v>3</v>
      </c>
      <c r="DF177" t="s">
        <v>3</v>
      </c>
      <c r="DG177" t="s">
        <v>3</v>
      </c>
      <c r="DH177" t="s">
        <v>3</v>
      </c>
      <c r="DI177" t="s">
        <v>3</v>
      </c>
      <c r="DJ177" t="s">
        <v>3</v>
      </c>
      <c r="DK177" t="s">
        <v>3</v>
      </c>
      <c r="DL177" t="s">
        <v>3</v>
      </c>
      <c r="DM177" t="s">
        <v>3</v>
      </c>
      <c r="DN177">
        <v>0</v>
      </c>
      <c r="DO177">
        <v>0</v>
      </c>
      <c r="DP177">
        <v>1</v>
      </c>
      <c r="DQ177">
        <v>1</v>
      </c>
      <c r="DU177">
        <v>1013</v>
      </c>
      <c r="DV177" t="s">
        <v>124</v>
      </c>
      <c r="DW177" t="s">
        <v>124</v>
      </c>
      <c r="DX177">
        <v>1</v>
      </c>
      <c r="EE177">
        <v>40050625</v>
      </c>
      <c r="EF177">
        <v>1</v>
      </c>
      <c r="EG177" t="s">
        <v>20</v>
      </c>
      <c r="EH177">
        <v>0</v>
      </c>
      <c r="EI177" t="s">
        <v>3</v>
      </c>
      <c r="EJ177">
        <v>4</v>
      </c>
      <c r="EK177">
        <v>0</v>
      </c>
      <c r="EL177" t="s">
        <v>21</v>
      </c>
      <c r="EM177" t="s">
        <v>22</v>
      </c>
      <c r="EO177" t="s">
        <v>3</v>
      </c>
      <c r="EQ177">
        <v>0</v>
      </c>
      <c r="ER177">
        <v>6400.04</v>
      </c>
      <c r="ES177">
        <v>3309.51</v>
      </c>
      <c r="ET177">
        <v>285.45</v>
      </c>
      <c r="EU177">
        <v>104.4</v>
      </c>
      <c r="EV177">
        <v>2805.08</v>
      </c>
      <c r="EW177">
        <v>15.52</v>
      </c>
      <c r="EX177">
        <v>0</v>
      </c>
      <c r="EY177">
        <v>0</v>
      </c>
      <c r="FQ177">
        <v>0</v>
      </c>
      <c r="FR177">
        <f t="shared" si="194"/>
        <v>0</v>
      </c>
      <c r="FS177">
        <v>0</v>
      </c>
      <c r="FX177">
        <v>70</v>
      </c>
      <c r="FY177">
        <v>10</v>
      </c>
      <c r="GA177" t="s">
        <v>3</v>
      </c>
      <c r="GD177">
        <v>0</v>
      </c>
      <c r="GF177">
        <v>353330812</v>
      </c>
      <c r="GG177">
        <v>2</v>
      </c>
      <c r="GH177">
        <v>1</v>
      </c>
      <c r="GI177">
        <v>-2</v>
      </c>
      <c r="GJ177">
        <v>0</v>
      </c>
      <c r="GK177">
        <f>ROUND(R177*(R12)/100,2)</f>
        <v>115.01</v>
      </c>
      <c r="GL177">
        <f t="shared" si="195"/>
        <v>0</v>
      </c>
      <c r="GM177">
        <f t="shared" si="196"/>
        <v>8932</v>
      </c>
      <c r="GN177">
        <f t="shared" si="197"/>
        <v>0</v>
      </c>
      <c r="GO177">
        <f t="shared" si="198"/>
        <v>0</v>
      </c>
      <c r="GP177">
        <f t="shared" si="199"/>
        <v>8932</v>
      </c>
      <c r="GR177">
        <v>0</v>
      </c>
      <c r="GS177">
        <v>0</v>
      </c>
      <c r="GT177">
        <v>0</v>
      </c>
      <c r="GU177" t="s">
        <v>3</v>
      </c>
      <c r="GV177">
        <f t="shared" si="200"/>
        <v>0</v>
      </c>
      <c r="GW177">
        <v>1</v>
      </c>
      <c r="GX177">
        <f t="shared" si="201"/>
        <v>0</v>
      </c>
      <c r="HA177">
        <v>0</v>
      </c>
      <c r="HB177">
        <v>0</v>
      </c>
      <c r="HC177">
        <f t="shared" si="202"/>
        <v>0</v>
      </c>
      <c r="IK177">
        <v>0</v>
      </c>
    </row>
    <row r="178" spans="1:245">
      <c r="A178">
        <v>17</v>
      </c>
      <c r="B178">
        <v>1</v>
      </c>
      <c r="C178">
        <f>ROW(SmtRes!A84)</f>
        <v>84</v>
      </c>
      <c r="D178">
        <f>ROW(EtalonRes!A75)</f>
        <v>75</v>
      </c>
      <c r="E178" t="s">
        <v>195</v>
      </c>
      <c r="F178" t="s">
        <v>131</v>
      </c>
      <c r="G178" t="s">
        <v>550</v>
      </c>
      <c r="H178" t="s">
        <v>18</v>
      </c>
      <c r="I178">
        <f>ROUND(32.51/100,9)</f>
        <v>0.3251</v>
      </c>
      <c r="J178">
        <v>0</v>
      </c>
      <c r="O178">
        <f t="shared" si="163"/>
        <v>96.42</v>
      </c>
      <c r="P178">
        <f t="shared" si="164"/>
        <v>0</v>
      </c>
      <c r="Q178">
        <f t="shared" si="165"/>
        <v>96.42</v>
      </c>
      <c r="R178">
        <f t="shared" si="166"/>
        <v>36.229999999999997</v>
      </c>
      <c r="S178">
        <f t="shared" si="167"/>
        <v>0</v>
      </c>
      <c r="T178">
        <f t="shared" si="168"/>
        <v>0</v>
      </c>
      <c r="U178">
        <f t="shared" si="169"/>
        <v>0</v>
      </c>
      <c r="V178">
        <f t="shared" si="170"/>
        <v>0</v>
      </c>
      <c r="W178">
        <f t="shared" si="171"/>
        <v>0</v>
      </c>
      <c r="X178">
        <f t="shared" si="172"/>
        <v>0</v>
      </c>
      <c r="Y178">
        <f t="shared" si="173"/>
        <v>0</v>
      </c>
      <c r="AA178">
        <v>42225948</v>
      </c>
      <c r="AB178">
        <f t="shared" si="174"/>
        <v>296.60000000000002</v>
      </c>
      <c r="AC178">
        <f t="shared" si="175"/>
        <v>0</v>
      </c>
      <c r="AD178">
        <f t="shared" si="176"/>
        <v>296.60000000000002</v>
      </c>
      <c r="AE178">
        <f t="shared" si="177"/>
        <v>111.43</v>
      </c>
      <c r="AF178">
        <f t="shared" si="178"/>
        <v>0</v>
      </c>
      <c r="AG178">
        <f t="shared" si="179"/>
        <v>0</v>
      </c>
      <c r="AH178">
        <f t="shared" si="180"/>
        <v>0</v>
      </c>
      <c r="AI178">
        <f t="shared" si="181"/>
        <v>0</v>
      </c>
      <c r="AJ178">
        <f t="shared" si="182"/>
        <v>0</v>
      </c>
      <c r="AK178">
        <v>296.60000000000002</v>
      </c>
      <c r="AL178">
        <v>0</v>
      </c>
      <c r="AM178">
        <v>296.60000000000002</v>
      </c>
      <c r="AN178">
        <v>111.43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70</v>
      </c>
      <c r="AU178">
        <v>10</v>
      </c>
      <c r="AV178">
        <v>1</v>
      </c>
      <c r="AW178">
        <v>1</v>
      </c>
      <c r="AZ178">
        <v>1</v>
      </c>
      <c r="BA178">
        <v>1</v>
      </c>
      <c r="BB178">
        <v>1</v>
      </c>
      <c r="BC178">
        <v>1</v>
      </c>
      <c r="BD178" t="s">
        <v>3</v>
      </c>
      <c r="BE178" t="s">
        <v>3</v>
      </c>
      <c r="BF178" t="s">
        <v>3</v>
      </c>
      <c r="BG178" t="s">
        <v>3</v>
      </c>
      <c r="BH178">
        <v>0</v>
      </c>
      <c r="BI178">
        <v>4</v>
      </c>
      <c r="BJ178" t="s">
        <v>132</v>
      </c>
      <c r="BM178">
        <v>0</v>
      </c>
      <c r="BN178">
        <v>0</v>
      </c>
      <c r="BO178" t="s">
        <v>3</v>
      </c>
      <c r="BP178">
        <v>0</v>
      </c>
      <c r="BQ178">
        <v>1</v>
      </c>
      <c r="BR178">
        <v>0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 t="s">
        <v>3</v>
      </c>
      <c r="BZ178">
        <v>70</v>
      </c>
      <c r="CA178">
        <v>10</v>
      </c>
      <c r="CE178">
        <v>0</v>
      </c>
      <c r="CF178">
        <v>0</v>
      </c>
      <c r="CG178">
        <v>0</v>
      </c>
      <c r="CM178">
        <v>0</v>
      </c>
      <c r="CN178" t="s">
        <v>3</v>
      </c>
      <c r="CO178">
        <v>0</v>
      </c>
      <c r="CP178">
        <f t="shared" si="183"/>
        <v>96.42</v>
      </c>
      <c r="CQ178">
        <f t="shared" si="184"/>
        <v>0</v>
      </c>
      <c r="CR178">
        <f t="shared" si="185"/>
        <v>296.60000000000002</v>
      </c>
      <c r="CS178">
        <f t="shared" si="186"/>
        <v>111.43</v>
      </c>
      <c r="CT178">
        <f t="shared" si="187"/>
        <v>0</v>
      </c>
      <c r="CU178">
        <f t="shared" si="188"/>
        <v>0</v>
      </c>
      <c r="CV178">
        <f t="shared" si="189"/>
        <v>0</v>
      </c>
      <c r="CW178">
        <f t="shared" si="190"/>
        <v>0</v>
      </c>
      <c r="CX178">
        <f t="shared" si="191"/>
        <v>0</v>
      </c>
      <c r="CY178">
        <f t="shared" si="192"/>
        <v>0</v>
      </c>
      <c r="CZ178">
        <f t="shared" si="193"/>
        <v>0</v>
      </c>
      <c r="DC178" t="s">
        <v>3</v>
      </c>
      <c r="DD178" t="s">
        <v>3</v>
      </c>
      <c r="DE178" t="s">
        <v>3</v>
      </c>
      <c r="DF178" t="s">
        <v>3</v>
      </c>
      <c r="DG178" t="s">
        <v>3</v>
      </c>
      <c r="DH178" t="s">
        <v>3</v>
      </c>
      <c r="DI178" t="s">
        <v>3</v>
      </c>
      <c r="DJ178" t="s">
        <v>3</v>
      </c>
      <c r="DK178" t="s">
        <v>3</v>
      </c>
      <c r="DL178" t="s">
        <v>3</v>
      </c>
      <c r="DM178" t="s">
        <v>3</v>
      </c>
      <c r="DN178">
        <v>0</v>
      </c>
      <c r="DO178">
        <v>0</v>
      </c>
      <c r="DP178">
        <v>1</v>
      </c>
      <c r="DQ178">
        <v>1</v>
      </c>
      <c r="DU178">
        <v>1005</v>
      </c>
      <c r="DV178" t="s">
        <v>18</v>
      </c>
      <c r="DW178" t="s">
        <v>18</v>
      </c>
      <c r="DX178">
        <v>100</v>
      </c>
      <c r="EE178">
        <v>40050625</v>
      </c>
      <c r="EF178">
        <v>1</v>
      </c>
      <c r="EG178" t="s">
        <v>20</v>
      </c>
      <c r="EH178">
        <v>0</v>
      </c>
      <c r="EI178" t="s">
        <v>3</v>
      </c>
      <c r="EJ178">
        <v>4</v>
      </c>
      <c r="EK178">
        <v>0</v>
      </c>
      <c r="EL178" t="s">
        <v>21</v>
      </c>
      <c r="EM178" t="s">
        <v>22</v>
      </c>
      <c r="EO178" t="s">
        <v>3</v>
      </c>
      <c r="EQ178">
        <v>0</v>
      </c>
      <c r="ER178">
        <v>296.60000000000002</v>
      </c>
      <c r="ES178">
        <v>0</v>
      </c>
      <c r="ET178">
        <v>296.60000000000002</v>
      </c>
      <c r="EU178">
        <v>111.43</v>
      </c>
      <c r="EV178">
        <v>0</v>
      </c>
      <c r="EW178">
        <v>0</v>
      </c>
      <c r="EX178">
        <v>0</v>
      </c>
      <c r="EY178">
        <v>0</v>
      </c>
      <c r="FQ178">
        <v>0</v>
      </c>
      <c r="FR178">
        <f t="shared" si="194"/>
        <v>0</v>
      </c>
      <c r="FS178">
        <v>0</v>
      </c>
      <c r="FX178">
        <v>70</v>
      </c>
      <c r="FY178">
        <v>10</v>
      </c>
      <c r="GA178" t="s">
        <v>3</v>
      </c>
      <c r="GD178">
        <v>0</v>
      </c>
      <c r="GF178">
        <v>-129249750</v>
      </c>
      <c r="GG178">
        <v>2</v>
      </c>
      <c r="GH178">
        <v>1</v>
      </c>
      <c r="GI178">
        <v>-2</v>
      </c>
      <c r="GJ178">
        <v>0</v>
      </c>
      <c r="GK178">
        <f>ROUND(R178*(R12)/100,2)</f>
        <v>39.130000000000003</v>
      </c>
      <c r="GL178">
        <f t="shared" si="195"/>
        <v>0</v>
      </c>
      <c r="GM178">
        <f t="shared" si="196"/>
        <v>135.55000000000001</v>
      </c>
      <c r="GN178">
        <f t="shared" si="197"/>
        <v>0</v>
      </c>
      <c r="GO178">
        <f t="shared" si="198"/>
        <v>0</v>
      </c>
      <c r="GP178">
        <f t="shared" si="199"/>
        <v>135.55000000000001</v>
      </c>
      <c r="GR178">
        <v>0</v>
      </c>
      <c r="GS178">
        <v>0</v>
      </c>
      <c r="GT178">
        <v>0</v>
      </c>
      <c r="GU178" t="s">
        <v>3</v>
      </c>
      <c r="GV178">
        <f t="shared" si="200"/>
        <v>0</v>
      </c>
      <c r="GW178">
        <v>1</v>
      </c>
      <c r="GX178">
        <f t="shared" si="201"/>
        <v>0</v>
      </c>
      <c r="HA178">
        <v>0</v>
      </c>
      <c r="HB178">
        <v>0</v>
      </c>
      <c r="HC178">
        <f t="shared" si="202"/>
        <v>0</v>
      </c>
      <c r="IK178">
        <v>0</v>
      </c>
    </row>
    <row r="179" spans="1:245">
      <c r="A179">
        <v>17</v>
      </c>
      <c r="B179">
        <v>1</v>
      </c>
      <c r="C179">
        <f>ROW(SmtRes!A85)</f>
        <v>85</v>
      </c>
      <c r="D179">
        <f>ROW(EtalonRes!A76)</f>
        <v>76</v>
      </c>
      <c r="E179" t="s">
        <v>196</v>
      </c>
      <c r="F179" t="s">
        <v>134</v>
      </c>
      <c r="G179" t="s">
        <v>197</v>
      </c>
      <c r="H179" t="s">
        <v>18</v>
      </c>
      <c r="I179">
        <f>ROUND(10.83/100,9)</f>
        <v>0.10829999999999999</v>
      </c>
      <c r="J179">
        <v>0</v>
      </c>
      <c r="O179">
        <f t="shared" si="163"/>
        <v>229.6</v>
      </c>
      <c r="P179">
        <f t="shared" si="164"/>
        <v>0</v>
      </c>
      <c r="Q179">
        <f t="shared" si="165"/>
        <v>0</v>
      </c>
      <c r="R179">
        <f t="shared" si="166"/>
        <v>0</v>
      </c>
      <c r="S179">
        <f t="shared" si="167"/>
        <v>229.6</v>
      </c>
      <c r="T179">
        <f t="shared" si="168"/>
        <v>0</v>
      </c>
      <c r="U179">
        <f t="shared" si="169"/>
        <v>1.270359</v>
      </c>
      <c r="V179">
        <f t="shared" si="170"/>
        <v>0</v>
      </c>
      <c r="W179">
        <f t="shared" si="171"/>
        <v>0</v>
      </c>
      <c r="X179">
        <f t="shared" si="172"/>
        <v>160.72</v>
      </c>
      <c r="Y179">
        <f t="shared" si="173"/>
        <v>22.96</v>
      </c>
      <c r="AA179">
        <v>42225948</v>
      </c>
      <c r="AB179">
        <f t="shared" si="174"/>
        <v>2120.08</v>
      </c>
      <c r="AC179">
        <f t="shared" si="175"/>
        <v>0</v>
      </c>
      <c r="AD179">
        <f t="shared" si="176"/>
        <v>0</v>
      </c>
      <c r="AE179">
        <f t="shared" si="177"/>
        <v>0</v>
      </c>
      <c r="AF179">
        <f t="shared" si="178"/>
        <v>2120.08</v>
      </c>
      <c r="AG179">
        <f t="shared" si="179"/>
        <v>0</v>
      </c>
      <c r="AH179">
        <f t="shared" si="180"/>
        <v>11.73</v>
      </c>
      <c r="AI179">
        <f t="shared" si="181"/>
        <v>0</v>
      </c>
      <c r="AJ179">
        <f t="shared" si="182"/>
        <v>0</v>
      </c>
      <c r="AK179">
        <v>2120.08</v>
      </c>
      <c r="AL179">
        <v>0</v>
      </c>
      <c r="AM179">
        <v>0</v>
      </c>
      <c r="AN179">
        <v>0</v>
      </c>
      <c r="AO179">
        <v>2120.08</v>
      </c>
      <c r="AP179">
        <v>0</v>
      </c>
      <c r="AQ179">
        <v>11.73</v>
      </c>
      <c r="AR179">
        <v>0</v>
      </c>
      <c r="AS179">
        <v>0</v>
      </c>
      <c r="AT179">
        <v>70</v>
      </c>
      <c r="AU179">
        <v>10</v>
      </c>
      <c r="AV179">
        <v>1</v>
      </c>
      <c r="AW179">
        <v>1</v>
      </c>
      <c r="AZ179">
        <v>1</v>
      </c>
      <c r="BA179">
        <v>1</v>
      </c>
      <c r="BB179">
        <v>1</v>
      </c>
      <c r="BC179">
        <v>1</v>
      </c>
      <c r="BD179" t="s">
        <v>3</v>
      </c>
      <c r="BE179" t="s">
        <v>3</v>
      </c>
      <c r="BF179" t="s">
        <v>3</v>
      </c>
      <c r="BG179" t="s">
        <v>3</v>
      </c>
      <c r="BH179">
        <v>0</v>
      </c>
      <c r="BI179">
        <v>4</v>
      </c>
      <c r="BJ179" t="s">
        <v>136</v>
      </c>
      <c r="BM179">
        <v>0</v>
      </c>
      <c r="BN179">
        <v>0</v>
      </c>
      <c r="BO179" t="s">
        <v>3</v>
      </c>
      <c r="BP179">
        <v>0</v>
      </c>
      <c r="BQ179">
        <v>1</v>
      </c>
      <c r="BR179">
        <v>0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 t="s">
        <v>3</v>
      </c>
      <c r="BZ179">
        <v>70</v>
      </c>
      <c r="CA179">
        <v>10</v>
      </c>
      <c r="CE179">
        <v>0</v>
      </c>
      <c r="CF179">
        <v>0</v>
      </c>
      <c r="CG179">
        <v>0</v>
      </c>
      <c r="CM179">
        <v>0</v>
      </c>
      <c r="CN179" t="s">
        <v>3</v>
      </c>
      <c r="CO179">
        <v>0</v>
      </c>
      <c r="CP179">
        <f t="shared" si="183"/>
        <v>229.6</v>
      </c>
      <c r="CQ179">
        <f t="shared" si="184"/>
        <v>0</v>
      </c>
      <c r="CR179">
        <f t="shared" si="185"/>
        <v>0</v>
      </c>
      <c r="CS179">
        <f t="shared" si="186"/>
        <v>0</v>
      </c>
      <c r="CT179">
        <f t="shared" si="187"/>
        <v>2120.08</v>
      </c>
      <c r="CU179">
        <f t="shared" si="188"/>
        <v>0</v>
      </c>
      <c r="CV179">
        <f t="shared" si="189"/>
        <v>11.73</v>
      </c>
      <c r="CW179">
        <f t="shared" si="190"/>
        <v>0</v>
      </c>
      <c r="CX179">
        <f t="shared" si="191"/>
        <v>0</v>
      </c>
      <c r="CY179">
        <f t="shared" si="192"/>
        <v>160.72</v>
      </c>
      <c r="CZ179">
        <f t="shared" si="193"/>
        <v>22.96</v>
      </c>
      <c r="DC179" t="s">
        <v>3</v>
      </c>
      <c r="DD179" t="s">
        <v>3</v>
      </c>
      <c r="DE179" t="s">
        <v>3</v>
      </c>
      <c r="DF179" t="s">
        <v>3</v>
      </c>
      <c r="DG179" t="s">
        <v>3</v>
      </c>
      <c r="DH179" t="s">
        <v>3</v>
      </c>
      <c r="DI179" t="s">
        <v>3</v>
      </c>
      <c r="DJ179" t="s">
        <v>3</v>
      </c>
      <c r="DK179" t="s">
        <v>3</v>
      </c>
      <c r="DL179" t="s">
        <v>3</v>
      </c>
      <c r="DM179" t="s">
        <v>3</v>
      </c>
      <c r="DN179">
        <v>0</v>
      </c>
      <c r="DO179">
        <v>0</v>
      </c>
      <c r="DP179">
        <v>1</v>
      </c>
      <c r="DQ179">
        <v>1</v>
      </c>
      <c r="DU179">
        <v>1005</v>
      </c>
      <c r="DV179" t="s">
        <v>18</v>
      </c>
      <c r="DW179" t="s">
        <v>18</v>
      </c>
      <c r="DX179">
        <v>100</v>
      </c>
      <c r="EE179">
        <v>40050625</v>
      </c>
      <c r="EF179">
        <v>1</v>
      </c>
      <c r="EG179" t="s">
        <v>20</v>
      </c>
      <c r="EH179">
        <v>0</v>
      </c>
      <c r="EI179" t="s">
        <v>3</v>
      </c>
      <c r="EJ179">
        <v>4</v>
      </c>
      <c r="EK179">
        <v>0</v>
      </c>
      <c r="EL179" t="s">
        <v>21</v>
      </c>
      <c r="EM179" t="s">
        <v>22</v>
      </c>
      <c r="EO179" t="s">
        <v>3</v>
      </c>
      <c r="EQ179">
        <v>0</v>
      </c>
      <c r="ER179">
        <v>2120.08</v>
      </c>
      <c r="ES179">
        <v>0</v>
      </c>
      <c r="ET179">
        <v>0</v>
      </c>
      <c r="EU179">
        <v>0</v>
      </c>
      <c r="EV179">
        <v>2120.08</v>
      </c>
      <c r="EW179">
        <v>11.73</v>
      </c>
      <c r="EX179">
        <v>0</v>
      </c>
      <c r="EY179">
        <v>0</v>
      </c>
      <c r="FQ179">
        <v>0</v>
      </c>
      <c r="FR179">
        <f t="shared" si="194"/>
        <v>0</v>
      </c>
      <c r="FS179">
        <v>0</v>
      </c>
      <c r="FX179">
        <v>70</v>
      </c>
      <c r="FY179">
        <v>10</v>
      </c>
      <c r="GA179" t="s">
        <v>3</v>
      </c>
      <c r="GD179">
        <v>0</v>
      </c>
      <c r="GF179">
        <v>-1656939865</v>
      </c>
      <c r="GG179">
        <v>2</v>
      </c>
      <c r="GH179">
        <v>1</v>
      </c>
      <c r="GI179">
        <v>-2</v>
      </c>
      <c r="GJ179">
        <v>0</v>
      </c>
      <c r="GK179">
        <f>ROUND(R179*(R12)/100,2)</f>
        <v>0</v>
      </c>
      <c r="GL179">
        <f t="shared" si="195"/>
        <v>0</v>
      </c>
      <c r="GM179">
        <f t="shared" si="196"/>
        <v>413.28</v>
      </c>
      <c r="GN179">
        <f t="shared" si="197"/>
        <v>0</v>
      </c>
      <c r="GO179">
        <f t="shared" si="198"/>
        <v>0</v>
      </c>
      <c r="GP179">
        <f t="shared" si="199"/>
        <v>413.28</v>
      </c>
      <c r="GR179">
        <v>0</v>
      </c>
      <c r="GS179">
        <v>0</v>
      </c>
      <c r="GT179">
        <v>0</v>
      </c>
      <c r="GU179" t="s">
        <v>3</v>
      </c>
      <c r="GV179">
        <f t="shared" si="200"/>
        <v>0</v>
      </c>
      <c r="GW179">
        <v>1</v>
      </c>
      <c r="GX179">
        <f t="shared" si="201"/>
        <v>0</v>
      </c>
      <c r="HA179">
        <v>0</v>
      </c>
      <c r="HB179">
        <v>0</v>
      </c>
      <c r="HC179">
        <f t="shared" si="202"/>
        <v>0</v>
      </c>
      <c r="IK179">
        <v>0</v>
      </c>
    </row>
    <row r="180" spans="1:245">
      <c r="A180">
        <v>17</v>
      </c>
      <c r="B180">
        <v>1</v>
      </c>
      <c r="C180">
        <f>ROW(SmtRes!A96)</f>
        <v>96</v>
      </c>
      <c r="D180">
        <f>ROW(EtalonRes!A83)</f>
        <v>83</v>
      </c>
      <c r="E180" t="s">
        <v>198</v>
      </c>
      <c r="F180" t="s">
        <v>199</v>
      </c>
      <c r="G180" t="s">
        <v>200</v>
      </c>
      <c r="H180" t="s">
        <v>140</v>
      </c>
      <c r="I180">
        <f>ROUND(17/10,9)</f>
        <v>1.7</v>
      </c>
      <c r="J180">
        <v>0</v>
      </c>
      <c r="O180">
        <f t="shared" si="163"/>
        <v>9583.85</v>
      </c>
      <c r="P180">
        <f t="shared" si="164"/>
        <v>1387.06</v>
      </c>
      <c r="Q180">
        <f t="shared" si="165"/>
        <v>2267.1</v>
      </c>
      <c r="R180">
        <f t="shared" si="166"/>
        <v>514.51</v>
      </c>
      <c r="S180">
        <f t="shared" si="167"/>
        <v>5929.69</v>
      </c>
      <c r="T180">
        <f t="shared" si="168"/>
        <v>0</v>
      </c>
      <c r="U180">
        <f t="shared" si="169"/>
        <v>24.513999999999999</v>
      </c>
      <c r="V180">
        <f t="shared" si="170"/>
        <v>0</v>
      </c>
      <c r="W180">
        <f t="shared" si="171"/>
        <v>0</v>
      </c>
      <c r="X180">
        <f t="shared" si="172"/>
        <v>4150.78</v>
      </c>
      <c r="Y180">
        <f t="shared" si="173"/>
        <v>592.97</v>
      </c>
      <c r="AA180">
        <v>42225948</v>
      </c>
      <c r="AB180">
        <f t="shared" si="174"/>
        <v>5637.56</v>
      </c>
      <c r="AC180">
        <f t="shared" si="175"/>
        <v>815.92</v>
      </c>
      <c r="AD180">
        <f t="shared" si="176"/>
        <v>1333.59</v>
      </c>
      <c r="AE180">
        <f t="shared" si="177"/>
        <v>302.64999999999998</v>
      </c>
      <c r="AF180">
        <f t="shared" si="178"/>
        <v>3488.05</v>
      </c>
      <c r="AG180">
        <f t="shared" si="179"/>
        <v>0</v>
      </c>
      <c r="AH180">
        <f t="shared" si="180"/>
        <v>14.42</v>
      </c>
      <c r="AI180">
        <f t="shared" si="181"/>
        <v>0</v>
      </c>
      <c r="AJ180">
        <f t="shared" si="182"/>
        <v>0</v>
      </c>
      <c r="AK180">
        <v>5637.56</v>
      </c>
      <c r="AL180">
        <v>815.92</v>
      </c>
      <c r="AM180">
        <v>1333.59</v>
      </c>
      <c r="AN180">
        <v>302.64999999999998</v>
      </c>
      <c r="AO180">
        <v>3488.05</v>
      </c>
      <c r="AP180">
        <v>0</v>
      </c>
      <c r="AQ180">
        <v>14.42</v>
      </c>
      <c r="AR180">
        <v>0</v>
      </c>
      <c r="AS180">
        <v>0</v>
      </c>
      <c r="AT180">
        <v>70</v>
      </c>
      <c r="AU180">
        <v>10</v>
      </c>
      <c r="AV180">
        <v>1</v>
      </c>
      <c r="AW180">
        <v>1</v>
      </c>
      <c r="AZ180">
        <v>1</v>
      </c>
      <c r="BA180">
        <v>1</v>
      </c>
      <c r="BB180">
        <v>1</v>
      </c>
      <c r="BC180">
        <v>1</v>
      </c>
      <c r="BD180" t="s">
        <v>3</v>
      </c>
      <c r="BE180" t="s">
        <v>3</v>
      </c>
      <c r="BF180" t="s">
        <v>3</v>
      </c>
      <c r="BG180" t="s">
        <v>3</v>
      </c>
      <c r="BH180">
        <v>0</v>
      </c>
      <c r="BI180">
        <v>4</v>
      </c>
      <c r="BJ180" t="s">
        <v>201</v>
      </c>
      <c r="BM180">
        <v>0</v>
      </c>
      <c r="BN180">
        <v>0</v>
      </c>
      <c r="BO180" t="s">
        <v>3</v>
      </c>
      <c r="BP180">
        <v>0</v>
      </c>
      <c r="BQ180">
        <v>1</v>
      </c>
      <c r="BR180">
        <v>0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 t="s">
        <v>3</v>
      </c>
      <c r="BZ180">
        <v>70</v>
      </c>
      <c r="CA180">
        <v>10</v>
      </c>
      <c r="CE180">
        <v>0</v>
      </c>
      <c r="CF180">
        <v>0</v>
      </c>
      <c r="CG180">
        <v>0</v>
      </c>
      <c r="CM180">
        <v>0</v>
      </c>
      <c r="CN180" t="s">
        <v>3</v>
      </c>
      <c r="CO180">
        <v>0</v>
      </c>
      <c r="CP180">
        <f t="shared" si="183"/>
        <v>9583.8499999999985</v>
      </c>
      <c r="CQ180">
        <f t="shared" si="184"/>
        <v>815.92</v>
      </c>
      <c r="CR180">
        <f t="shared" si="185"/>
        <v>1333.5900000000001</v>
      </c>
      <c r="CS180">
        <f t="shared" si="186"/>
        <v>302.64999999999998</v>
      </c>
      <c r="CT180">
        <f t="shared" si="187"/>
        <v>3488.05</v>
      </c>
      <c r="CU180">
        <f t="shared" si="188"/>
        <v>0</v>
      </c>
      <c r="CV180">
        <f t="shared" si="189"/>
        <v>14.42</v>
      </c>
      <c r="CW180">
        <f t="shared" si="190"/>
        <v>0</v>
      </c>
      <c r="CX180">
        <f t="shared" si="191"/>
        <v>0</v>
      </c>
      <c r="CY180">
        <f t="shared" si="192"/>
        <v>4150.7829999999994</v>
      </c>
      <c r="CZ180">
        <f t="shared" si="193"/>
        <v>592.96899999999994</v>
      </c>
      <c r="DC180" t="s">
        <v>3</v>
      </c>
      <c r="DD180" t="s">
        <v>3</v>
      </c>
      <c r="DE180" t="s">
        <v>3</v>
      </c>
      <c r="DF180" t="s">
        <v>3</v>
      </c>
      <c r="DG180" t="s">
        <v>3</v>
      </c>
      <c r="DH180" t="s">
        <v>3</v>
      </c>
      <c r="DI180" t="s">
        <v>3</v>
      </c>
      <c r="DJ180" t="s">
        <v>3</v>
      </c>
      <c r="DK180" t="s">
        <v>3</v>
      </c>
      <c r="DL180" t="s">
        <v>3</v>
      </c>
      <c r="DM180" t="s">
        <v>3</v>
      </c>
      <c r="DN180">
        <v>0</v>
      </c>
      <c r="DO180">
        <v>0</v>
      </c>
      <c r="DP180">
        <v>1</v>
      </c>
      <c r="DQ180">
        <v>1</v>
      </c>
      <c r="DU180">
        <v>1010</v>
      </c>
      <c r="DV180" t="s">
        <v>140</v>
      </c>
      <c r="DW180" t="s">
        <v>140</v>
      </c>
      <c r="DX180">
        <v>10</v>
      </c>
      <c r="EE180">
        <v>40050625</v>
      </c>
      <c r="EF180">
        <v>1</v>
      </c>
      <c r="EG180" t="s">
        <v>20</v>
      </c>
      <c r="EH180">
        <v>0</v>
      </c>
      <c r="EI180" t="s">
        <v>3</v>
      </c>
      <c r="EJ180">
        <v>4</v>
      </c>
      <c r="EK180">
        <v>0</v>
      </c>
      <c r="EL180" t="s">
        <v>21</v>
      </c>
      <c r="EM180" t="s">
        <v>22</v>
      </c>
      <c r="EO180" t="s">
        <v>3</v>
      </c>
      <c r="EQ180">
        <v>0</v>
      </c>
      <c r="ER180">
        <v>5637.56</v>
      </c>
      <c r="ES180">
        <v>815.92</v>
      </c>
      <c r="ET180">
        <v>1333.59</v>
      </c>
      <c r="EU180">
        <v>302.64999999999998</v>
      </c>
      <c r="EV180">
        <v>3488.05</v>
      </c>
      <c r="EW180">
        <v>14.42</v>
      </c>
      <c r="EX180">
        <v>0</v>
      </c>
      <c r="EY180">
        <v>0</v>
      </c>
      <c r="FQ180">
        <v>0</v>
      </c>
      <c r="FR180">
        <f t="shared" si="194"/>
        <v>0</v>
      </c>
      <c r="FS180">
        <v>0</v>
      </c>
      <c r="FX180">
        <v>70</v>
      </c>
      <c r="FY180">
        <v>10</v>
      </c>
      <c r="GA180" t="s">
        <v>3</v>
      </c>
      <c r="GD180">
        <v>0</v>
      </c>
      <c r="GF180">
        <v>1531671440</v>
      </c>
      <c r="GG180">
        <v>2</v>
      </c>
      <c r="GH180">
        <v>1</v>
      </c>
      <c r="GI180">
        <v>-2</v>
      </c>
      <c r="GJ180">
        <v>0</v>
      </c>
      <c r="GK180">
        <f>ROUND(R180*(R12)/100,2)</f>
        <v>555.66999999999996</v>
      </c>
      <c r="GL180">
        <f t="shared" si="195"/>
        <v>0</v>
      </c>
      <c r="GM180">
        <f t="shared" si="196"/>
        <v>14883.27</v>
      </c>
      <c r="GN180">
        <f t="shared" si="197"/>
        <v>0</v>
      </c>
      <c r="GO180">
        <f t="shared" si="198"/>
        <v>0</v>
      </c>
      <c r="GP180">
        <f t="shared" si="199"/>
        <v>14883.27</v>
      </c>
      <c r="GR180">
        <v>0</v>
      </c>
      <c r="GS180">
        <v>0</v>
      </c>
      <c r="GT180">
        <v>0</v>
      </c>
      <c r="GU180" t="s">
        <v>3</v>
      </c>
      <c r="GV180">
        <f t="shared" si="200"/>
        <v>0</v>
      </c>
      <c r="GW180">
        <v>1</v>
      </c>
      <c r="GX180">
        <f t="shared" si="201"/>
        <v>0</v>
      </c>
      <c r="HA180">
        <v>0</v>
      </c>
      <c r="HB180">
        <v>0</v>
      </c>
      <c r="HC180">
        <f t="shared" si="202"/>
        <v>0</v>
      </c>
      <c r="IK180">
        <v>0</v>
      </c>
    </row>
    <row r="181" spans="1:245">
      <c r="A181">
        <v>18</v>
      </c>
      <c r="B181">
        <v>1</v>
      </c>
      <c r="C181">
        <v>92</v>
      </c>
      <c r="E181" t="s">
        <v>202</v>
      </c>
      <c r="F181" t="s">
        <v>183</v>
      </c>
      <c r="G181" t="s">
        <v>203</v>
      </c>
      <c r="H181" t="s">
        <v>51</v>
      </c>
      <c r="I181">
        <f>I180*J181</f>
        <v>1</v>
      </c>
      <c r="J181">
        <v>0.58823529411764708</v>
      </c>
      <c r="O181">
        <f t="shared" si="163"/>
        <v>3833.33</v>
      </c>
      <c r="P181">
        <f t="shared" si="164"/>
        <v>3833.33</v>
      </c>
      <c r="Q181">
        <f t="shared" si="165"/>
        <v>0</v>
      </c>
      <c r="R181">
        <f t="shared" si="166"/>
        <v>0</v>
      </c>
      <c r="S181">
        <f t="shared" si="167"/>
        <v>0</v>
      </c>
      <c r="T181">
        <f t="shared" si="168"/>
        <v>0</v>
      </c>
      <c r="U181">
        <f t="shared" si="169"/>
        <v>0</v>
      </c>
      <c r="V181">
        <f t="shared" si="170"/>
        <v>0</v>
      </c>
      <c r="W181">
        <f t="shared" si="171"/>
        <v>0</v>
      </c>
      <c r="X181">
        <f t="shared" si="172"/>
        <v>0</v>
      </c>
      <c r="Y181">
        <f t="shared" si="173"/>
        <v>0</v>
      </c>
      <c r="AA181">
        <v>42225948</v>
      </c>
      <c r="AB181">
        <f t="shared" si="174"/>
        <v>3833.33</v>
      </c>
      <c r="AC181">
        <f t="shared" si="175"/>
        <v>3833.33</v>
      </c>
      <c r="AD181">
        <f t="shared" si="176"/>
        <v>0</v>
      </c>
      <c r="AE181">
        <f t="shared" si="177"/>
        <v>0</v>
      </c>
      <c r="AF181">
        <f t="shared" si="178"/>
        <v>0</v>
      </c>
      <c r="AG181">
        <f t="shared" si="179"/>
        <v>0</v>
      </c>
      <c r="AH181">
        <f t="shared" si="180"/>
        <v>0</v>
      </c>
      <c r="AI181">
        <f t="shared" si="181"/>
        <v>0</v>
      </c>
      <c r="AJ181">
        <f t="shared" si="182"/>
        <v>0</v>
      </c>
      <c r="AK181">
        <v>3833.33</v>
      </c>
      <c r="AL181">
        <v>3833.33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70</v>
      </c>
      <c r="AU181">
        <v>10</v>
      </c>
      <c r="AV181">
        <v>1</v>
      </c>
      <c r="AW181">
        <v>1</v>
      </c>
      <c r="AZ181">
        <v>1</v>
      </c>
      <c r="BA181">
        <v>1</v>
      </c>
      <c r="BB181">
        <v>1</v>
      </c>
      <c r="BC181">
        <v>1</v>
      </c>
      <c r="BD181" t="s">
        <v>3</v>
      </c>
      <c r="BE181" t="s">
        <v>3</v>
      </c>
      <c r="BF181" t="s">
        <v>3</v>
      </c>
      <c r="BG181" t="s">
        <v>3</v>
      </c>
      <c r="BH181">
        <v>3</v>
      </c>
      <c r="BI181">
        <v>4</v>
      </c>
      <c r="BJ181" t="s">
        <v>3</v>
      </c>
      <c r="BM181">
        <v>0</v>
      </c>
      <c r="BN181">
        <v>0</v>
      </c>
      <c r="BO181" t="s">
        <v>3</v>
      </c>
      <c r="BP181">
        <v>0</v>
      </c>
      <c r="BQ181">
        <v>1</v>
      </c>
      <c r="BR181">
        <v>0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 t="s">
        <v>3</v>
      </c>
      <c r="BZ181">
        <v>70</v>
      </c>
      <c r="CA181">
        <v>10</v>
      </c>
      <c r="CE181">
        <v>0</v>
      </c>
      <c r="CF181">
        <v>0</v>
      </c>
      <c r="CG181">
        <v>0</v>
      </c>
      <c r="CM181">
        <v>0</v>
      </c>
      <c r="CN181" t="s">
        <v>3</v>
      </c>
      <c r="CO181">
        <v>0</v>
      </c>
      <c r="CP181">
        <f t="shared" si="183"/>
        <v>3833.33</v>
      </c>
      <c r="CQ181">
        <f t="shared" si="184"/>
        <v>3833.33</v>
      </c>
      <c r="CR181">
        <f t="shared" si="185"/>
        <v>0</v>
      </c>
      <c r="CS181">
        <f t="shared" si="186"/>
        <v>0</v>
      </c>
      <c r="CT181">
        <f t="shared" si="187"/>
        <v>0</v>
      </c>
      <c r="CU181">
        <f t="shared" si="188"/>
        <v>0</v>
      </c>
      <c r="CV181">
        <f t="shared" si="189"/>
        <v>0</v>
      </c>
      <c r="CW181">
        <f t="shared" si="190"/>
        <v>0</v>
      </c>
      <c r="CX181">
        <f t="shared" si="191"/>
        <v>0</v>
      </c>
      <c r="CY181">
        <f t="shared" si="192"/>
        <v>0</v>
      </c>
      <c r="CZ181">
        <f t="shared" si="193"/>
        <v>0</v>
      </c>
      <c r="DC181" t="s">
        <v>3</v>
      </c>
      <c r="DD181" t="s">
        <v>3</v>
      </c>
      <c r="DE181" t="s">
        <v>3</v>
      </c>
      <c r="DF181" t="s">
        <v>3</v>
      </c>
      <c r="DG181" t="s">
        <v>3</v>
      </c>
      <c r="DH181" t="s">
        <v>3</v>
      </c>
      <c r="DI181" t="s">
        <v>3</v>
      </c>
      <c r="DJ181" t="s">
        <v>3</v>
      </c>
      <c r="DK181" t="s">
        <v>3</v>
      </c>
      <c r="DL181" t="s">
        <v>3</v>
      </c>
      <c r="DM181" t="s">
        <v>3</v>
      </c>
      <c r="DN181">
        <v>0</v>
      </c>
      <c r="DO181">
        <v>0</v>
      </c>
      <c r="DP181">
        <v>1</v>
      </c>
      <c r="DQ181">
        <v>1</v>
      </c>
      <c r="DU181">
        <v>1010</v>
      </c>
      <c r="DV181" t="s">
        <v>51</v>
      </c>
      <c r="DW181" t="s">
        <v>51</v>
      </c>
      <c r="DX181">
        <v>1</v>
      </c>
      <c r="EE181">
        <v>40050625</v>
      </c>
      <c r="EF181">
        <v>1</v>
      </c>
      <c r="EG181" t="s">
        <v>20</v>
      </c>
      <c r="EH181">
        <v>0</v>
      </c>
      <c r="EI181" t="s">
        <v>3</v>
      </c>
      <c r="EJ181">
        <v>4</v>
      </c>
      <c r="EK181">
        <v>0</v>
      </c>
      <c r="EL181" t="s">
        <v>21</v>
      </c>
      <c r="EM181" t="s">
        <v>22</v>
      </c>
      <c r="EO181" t="s">
        <v>3</v>
      </c>
      <c r="EQ181">
        <v>0</v>
      </c>
      <c r="ER181">
        <v>3833.33</v>
      </c>
      <c r="ES181">
        <v>3833.33</v>
      </c>
      <c r="ET181">
        <v>0</v>
      </c>
      <c r="EU181">
        <v>0</v>
      </c>
      <c r="EV181">
        <v>0</v>
      </c>
      <c r="EW181">
        <v>0</v>
      </c>
      <c r="EX181">
        <v>0</v>
      </c>
      <c r="FQ181">
        <v>0</v>
      </c>
      <c r="FR181">
        <f t="shared" si="194"/>
        <v>0</v>
      </c>
      <c r="FS181">
        <v>0</v>
      </c>
      <c r="FX181">
        <v>70</v>
      </c>
      <c r="FY181">
        <v>10</v>
      </c>
      <c r="GA181" t="s">
        <v>3</v>
      </c>
      <c r="GD181">
        <v>0</v>
      </c>
      <c r="GF181">
        <v>1882630652</v>
      </c>
      <c r="GG181">
        <v>2</v>
      </c>
      <c r="GH181">
        <v>0</v>
      </c>
      <c r="GI181">
        <v>-2</v>
      </c>
      <c r="GJ181">
        <v>0</v>
      </c>
      <c r="GK181">
        <f>ROUND(R181*(R12)/100,2)</f>
        <v>0</v>
      </c>
      <c r="GL181">
        <f t="shared" si="195"/>
        <v>0</v>
      </c>
      <c r="GM181">
        <f t="shared" si="196"/>
        <v>3833.33</v>
      </c>
      <c r="GN181">
        <f t="shared" si="197"/>
        <v>0</v>
      </c>
      <c r="GO181">
        <f t="shared" si="198"/>
        <v>0</v>
      </c>
      <c r="GP181">
        <f t="shared" si="199"/>
        <v>3833.33</v>
      </c>
      <c r="GR181">
        <v>0</v>
      </c>
      <c r="GS181">
        <v>0</v>
      </c>
      <c r="GT181">
        <v>0</v>
      </c>
      <c r="GU181" t="s">
        <v>3</v>
      </c>
      <c r="GV181">
        <f t="shared" si="200"/>
        <v>0</v>
      </c>
      <c r="GW181">
        <v>1</v>
      </c>
      <c r="GX181">
        <f t="shared" si="201"/>
        <v>0</v>
      </c>
      <c r="HA181">
        <v>0</v>
      </c>
      <c r="HB181">
        <v>0</v>
      </c>
      <c r="HC181">
        <f t="shared" si="202"/>
        <v>0</v>
      </c>
      <c r="IK181">
        <v>0</v>
      </c>
    </row>
    <row r="182" spans="1:245">
      <c r="A182">
        <v>18</v>
      </c>
      <c r="B182">
        <v>1</v>
      </c>
      <c r="C182">
        <v>93</v>
      </c>
      <c r="E182" t="s">
        <v>204</v>
      </c>
      <c r="F182" t="s">
        <v>183</v>
      </c>
      <c r="G182" t="s">
        <v>205</v>
      </c>
      <c r="H182" t="s">
        <v>51</v>
      </c>
      <c r="I182">
        <f>I180*J182</f>
        <v>6</v>
      </c>
      <c r="J182">
        <v>3.5294117647058822</v>
      </c>
      <c r="O182">
        <f t="shared" si="163"/>
        <v>13500</v>
      </c>
      <c r="P182">
        <f t="shared" si="164"/>
        <v>13500</v>
      </c>
      <c r="Q182">
        <f t="shared" si="165"/>
        <v>0</v>
      </c>
      <c r="R182">
        <f t="shared" si="166"/>
        <v>0</v>
      </c>
      <c r="S182">
        <f t="shared" si="167"/>
        <v>0</v>
      </c>
      <c r="T182">
        <f t="shared" si="168"/>
        <v>0</v>
      </c>
      <c r="U182">
        <f t="shared" si="169"/>
        <v>0</v>
      </c>
      <c r="V182">
        <f t="shared" si="170"/>
        <v>0</v>
      </c>
      <c r="W182">
        <f t="shared" si="171"/>
        <v>0</v>
      </c>
      <c r="X182">
        <f t="shared" si="172"/>
        <v>0</v>
      </c>
      <c r="Y182">
        <f t="shared" si="173"/>
        <v>0</v>
      </c>
      <c r="AA182">
        <v>42225948</v>
      </c>
      <c r="AB182">
        <f t="shared" si="174"/>
        <v>2250</v>
      </c>
      <c r="AC182">
        <f t="shared" si="175"/>
        <v>2250</v>
      </c>
      <c r="AD182">
        <f t="shared" si="176"/>
        <v>0</v>
      </c>
      <c r="AE182">
        <f t="shared" si="177"/>
        <v>0</v>
      </c>
      <c r="AF182">
        <f t="shared" si="178"/>
        <v>0</v>
      </c>
      <c r="AG182">
        <f t="shared" si="179"/>
        <v>0</v>
      </c>
      <c r="AH182">
        <f t="shared" si="180"/>
        <v>0</v>
      </c>
      <c r="AI182">
        <f t="shared" si="181"/>
        <v>0</v>
      </c>
      <c r="AJ182">
        <f t="shared" si="182"/>
        <v>0</v>
      </c>
      <c r="AK182">
        <v>2250</v>
      </c>
      <c r="AL182">
        <v>2250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70</v>
      </c>
      <c r="AU182">
        <v>10</v>
      </c>
      <c r="AV182">
        <v>1</v>
      </c>
      <c r="AW182">
        <v>1</v>
      </c>
      <c r="AZ182">
        <v>1</v>
      </c>
      <c r="BA182">
        <v>1</v>
      </c>
      <c r="BB182">
        <v>1</v>
      </c>
      <c r="BC182">
        <v>1</v>
      </c>
      <c r="BD182" t="s">
        <v>3</v>
      </c>
      <c r="BE182" t="s">
        <v>3</v>
      </c>
      <c r="BF182" t="s">
        <v>3</v>
      </c>
      <c r="BG182" t="s">
        <v>3</v>
      </c>
      <c r="BH182">
        <v>3</v>
      </c>
      <c r="BI182">
        <v>4</v>
      </c>
      <c r="BJ182" t="s">
        <v>3</v>
      </c>
      <c r="BM182">
        <v>0</v>
      </c>
      <c r="BN182">
        <v>0</v>
      </c>
      <c r="BO182" t="s">
        <v>3</v>
      </c>
      <c r="BP182">
        <v>0</v>
      </c>
      <c r="BQ182">
        <v>1</v>
      </c>
      <c r="BR182">
        <v>0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 t="s">
        <v>3</v>
      </c>
      <c r="BZ182">
        <v>70</v>
      </c>
      <c r="CA182">
        <v>10</v>
      </c>
      <c r="CE182">
        <v>0</v>
      </c>
      <c r="CF182">
        <v>0</v>
      </c>
      <c r="CG182">
        <v>0</v>
      </c>
      <c r="CM182">
        <v>0</v>
      </c>
      <c r="CN182" t="s">
        <v>3</v>
      </c>
      <c r="CO182">
        <v>0</v>
      </c>
      <c r="CP182">
        <f t="shared" si="183"/>
        <v>13500</v>
      </c>
      <c r="CQ182">
        <f t="shared" si="184"/>
        <v>2250</v>
      </c>
      <c r="CR182">
        <f t="shared" si="185"/>
        <v>0</v>
      </c>
      <c r="CS182">
        <f t="shared" si="186"/>
        <v>0</v>
      </c>
      <c r="CT182">
        <f t="shared" si="187"/>
        <v>0</v>
      </c>
      <c r="CU182">
        <f t="shared" si="188"/>
        <v>0</v>
      </c>
      <c r="CV182">
        <f t="shared" si="189"/>
        <v>0</v>
      </c>
      <c r="CW182">
        <f t="shared" si="190"/>
        <v>0</v>
      </c>
      <c r="CX182">
        <f t="shared" si="191"/>
        <v>0</v>
      </c>
      <c r="CY182">
        <f t="shared" si="192"/>
        <v>0</v>
      </c>
      <c r="CZ182">
        <f t="shared" si="193"/>
        <v>0</v>
      </c>
      <c r="DC182" t="s">
        <v>3</v>
      </c>
      <c r="DD182" t="s">
        <v>3</v>
      </c>
      <c r="DE182" t="s">
        <v>3</v>
      </c>
      <c r="DF182" t="s">
        <v>3</v>
      </c>
      <c r="DG182" t="s">
        <v>3</v>
      </c>
      <c r="DH182" t="s">
        <v>3</v>
      </c>
      <c r="DI182" t="s">
        <v>3</v>
      </c>
      <c r="DJ182" t="s">
        <v>3</v>
      </c>
      <c r="DK182" t="s">
        <v>3</v>
      </c>
      <c r="DL182" t="s">
        <v>3</v>
      </c>
      <c r="DM182" t="s">
        <v>3</v>
      </c>
      <c r="DN182">
        <v>0</v>
      </c>
      <c r="DO182">
        <v>0</v>
      </c>
      <c r="DP182">
        <v>1</v>
      </c>
      <c r="DQ182">
        <v>1</v>
      </c>
      <c r="DU182">
        <v>1010</v>
      </c>
      <c r="DV182" t="s">
        <v>51</v>
      </c>
      <c r="DW182" t="s">
        <v>51</v>
      </c>
      <c r="DX182">
        <v>1</v>
      </c>
      <c r="EE182">
        <v>40050625</v>
      </c>
      <c r="EF182">
        <v>1</v>
      </c>
      <c r="EG182" t="s">
        <v>20</v>
      </c>
      <c r="EH182">
        <v>0</v>
      </c>
      <c r="EI182" t="s">
        <v>3</v>
      </c>
      <c r="EJ182">
        <v>4</v>
      </c>
      <c r="EK182">
        <v>0</v>
      </c>
      <c r="EL182" t="s">
        <v>21</v>
      </c>
      <c r="EM182" t="s">
        <v>22</v>
      </c>
      <c r="EO182" t="s">
        <v>3</v>
      </c>
      <c r="EQ182">
        <v>0</v>
      </c>
      <c r="ER182">
        <v>2250</v>
      </c>
      <c r="ES182">
        <v>2250</v>
      </c>
      <c r="ET182">
        <v>0</v>
      </c>
      <c r="EU182">
        <v>0</v>
      </c>
      <c r="EV182">
        <v>0</v>
      </c>
      <c r="EW182">
        <v>0</v>
      </c>
      <c r="EX182">
        <v>0</v>
      </c>
      <c r="FQ182">
        <v>0</v>
      </c>
      <c r="FR182">
        <f t="shared" si="194"/>
        <v>0</v>
      </c>
      <c r="FS182">
        <v>0</v>
      </c>
      <c r="FX182">
        <v>70</v>
      </c>
      <c r="FY182">
        <v>10</v>
      </c>
      <c r="GA182" t="s">
        <v>3</v>
      </c>
      <c r="GD182">
        <v>0</v>
      </c>
      <c r="GF182">
        <v>-1583705309</v>
      </c>
      <c r="GG182">
        <v>2</v>
      </c>
      <c r="GH182">
        <v>0</v>
      </c>
      <c r="GI182">
        <v>-2</v>
      </c>
      <c r="GJ182">
        <v>0</v>
      </c>
      <c r="GK182">
        <f>ROUND(R182*(R12)/100,2)</f>
        <v>0</v>
      </c>
      <c r="GL182">
        <f t="shared" si="195"/>
        <v>0</v>
      </c>
      <c r="GM182">
        <f t="shared" si="196"/>
        <v>13500</v>
      </c>
      <c r="GN182">
        <f t="shared" si="197"/>
        <v>0</v>
      </c>
      <c r="GO182">
        <f t="shared" si="198"/>
        <v>0</v>
      </c>
      <c r="GP182">
        <f t="shared" si="199"/>
        <v>13500</v>
      </c>
      <c r="GR182">
        <v>0</v>
      </c>
      <c r="GS182">
        <v>0</v>
      </c>
      <c r="GT182">
        <v>0</v>
      </c>
      <c r="GU182" t="s">
        <v>3</v>
      </c>
      <c r="GV182">
        <f t="shared" si="200"/>
        <v>0</v>
      </c>
      <c r="GW182">
        <v>1</v>
      </c>
      <c r="GX182">
        <f t="shared" si="201"/>
        <v>0</v>
      </c>
      <c r="HA182">
        <v>0</v>
      </c>
      <c r="HB182">
        <v>0</v>
      </c>
      <c r="HC182">
        <f t="shared" si="202"/>
        <v>0</v>
      </c>
      <c r="IK182">
        <v>0</v>
      </c>
    </row>
    <row r="183" spans="1:245">
      <c r="A183">
        <v>18</v>
      </c>
      <c r="B183">
        <v>1</v>
      </c>
      <c r="C183">
        <v>94</v>
      </c>
      <c r="E183" t="s">
        <v>206</v>
      </c>
      <c r="F183" t="s">
        <v>183</v>
      </c>
      <c r="G183" t="s">
        <v>207</v>
      </c>
      <c r="H183" t="s">
        <v>51</v>
      </c>
      <c r="I183">
        <f>I180*J183</f>
        <v>3</v>
      </c>
      <c r="J183">
        <v>1.7647058823529411</v>
      </c>
      <c r="O183">
        <f t="shared" si="163"/>
        <v>12750</v>
      </c>
      <c r="P183">
        <f t="shared" si="164"/>
        <v>12750</v>
      </c>
      <c r="Q183">
        <f t="shared" si="165"/>
        <v>0</v>
      </c>
      <c r="R183">
        <f t="shared" si="166"/>
        <v>0</v>
      </c>
      <c r="S183">
        <f t="shared" si="167"/>
        <v>0</v>
      </c>
      <c r="T183">
        <f t="shared" si="168"/>
        <v>0</v>
      </c>
      <c r="U183">
        <f t="shared" si="169"/>
        <v>0</v>
      </c>
      <c r="V183">
        <f t="shared" si="170"/>
        <v>0</v>
      </c>
      <c r="W183">
        <f t="shared" si="171"/>
        <v>0</v>
      </c>
      <c r="X183">
        <f t="shared" si="172"/>
        <v>0</v>
      </c>
      <c r="Y183">
        <f t="shared" si="173"/>
        <v>0</v>
      </c>
      <c r="AA183">
        <v>42225948</v>
      </c>
      <c r="AB183">
        <f t="shared" si="174"/>
        <v>4250</v>
      </c>
      <c r="AC183">
        <f t="shared" si="175"/>
        <v>4250</v>
      </c>
      <c r="AD183">
        <f t="shared" si="176"/>
        <v>0</v>
      </c>
      <c r="AE183">
        <f t="shared" si="177"/>
        <v>0</v>
      </c>
      <c r="AF183">
        <f t="shared" si="178"/>
        <v>0</v>
      </c>
      <c r="AG183">
        <f t="shared" si="179"/>
        <v>0</v>
      </c>
      <c r="AH183">
        <f t="shared" si="180"/>
        <v>0</v>
      </c>
      <c r="AI183">
        <f t="shared" si="181"/>
        <v>0</v>
      </c>
      <c r="AJ183">
        <f t="shared" si="182"/>
        <v>0</v>
      </c>
      <c r="AK183">
        <v>4250</v>
      </c>
      <c r="AL183">
        <v>4250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70</v>
      </c>
      <c r="AU183">
        <v>10</v>
      </c>
      <c r="AV183">
        <v>1</v>
      </c>
      <c r="AW183">
        <v>1</v>
      </c>
      <c r="AZ183">
        <v>1</v>
      </c>
      <c r="BA183">
        <v>1</v>
      </c>
      <c r="BB183">
        <v>1</v>
      </c>
      <c r="BC183">
        <v>1</v>
      </c>
      <c r="BD183" t="s">
        <v>3</v>
      </c>
      <c r="BE183" t="s">
        <v>3</v>
      </c>
      <c r="BF183" t="s">
        <v>3</v>
      </c>
      <c r="BG183" t="s">
        <v>3</v>
      </c>
      <c r="BH183">
        <v>3</v>
      </c>
      <c r="BI183">
        <v>4</v>
      </c>
      <c r="BJ183" t="s">
        <v>3</v>
      </c>
      <c r="BM183">
        <v>0</v>
      </c>
      <c r="BN183">
        <v>0</v>
      </c>
      <c r="BO183" t="s">
        <v>3</v>
      </c>
      <c r="BP183">
        <v>0</v>
      </c>
      <c r="BQ183">
        <v>1</v>
      </c>
      <c r="BR183">
        <v>0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 t="s">
        <v>3</v>
      </c>
      <c r="BZ183">
        <v>70</v>
      </c>
      <c r="CA183">
        <v>10</v>
      </c>
      <c r="CE183">
        <v>0</v>
      </c>
      <c r="CF183">
        <v>0</v>
      </c>
      <c r="CG183">
        <v>0</v>
      </c>
      <c r="CM183">
        <v>0</v>
      </c>
      <c r="CN183" t="s">
        <v>3</v>
      </c>
      <c r="CO183">
        <v>0</v>
      </c>
      <c r="CP183">
        <f t="shared" si="183"/>
        <v>12750</v>
      </c>
      <c r="CQ183">
        <f t="shared" si="184"/>
        <v>4250</v>
      </c>
      <c r="CR183">
        <f t="shared" si="185"/>
        <v>0</v>
      </c>
      <c r="CS183">
        <f t="shared" si="186"/>
        <v>0</v>
      </c>
      <c r="CT183">
        <f t="shared" si="187"/>
        <v>0</v>
      </c>
      <c r="CU183">
        <f t="shared" si="188"/>
        <v>0</v>
      </c>
      <c r="CV183">
        <f t="shared" si="189"/>
        <v>0</v>
      </c>
      <c r="CW183">
        <f t="shared" si="190"/>
        <v>0</v>
      </c>
      <c r="CX183">
        <f t="shared" si="191"/>
        <v>0</v>
      </c>
      <c r="CY183">
        <f t="shared" si="192"/>
        <v>0</v>
      </c>
      <c r="CZ183">
        <f t="shared" si="193"/>
        <v>0</v>
      </c>
      <c r="DC183" t="s">
        <v>3</v>
      </c>
      <c r="DD183" t="s">
        <v>3</v>
      </c>
      <c r="DE183" t="s">
        <v>3</v>
      </c>
      <c r="DF183" t="s">
        <v>3</v>
      </c>
      <c r="DG183" t="s">
        <v>3</v>
      </c>
      <c r="DH183" t="s">
        <v>3</v>
      </c>
      <c r="DI183" t="s">
        <v>3</v>
      </c>
      <c r="DJ183" t="s">
        <v>3</v>
      </c>
      <c r="DK183" t="s">
        <v>3</v>
      </c>
      <c r="DL183" t="s">
        <v>3</v>
      </c>
      <c r="DM183" t="s">
        <v>3</v>
      </c>
      <c r="DN183">
        <v>0</v>
      </c>
      <c r="DO183">
        <v>0</v>
      </c>
      <c r="DP183">
        <v>1</v>
      </c>
      <c r="DQ183">
        <v>1</v>
      </c>
      <c r="DU183">
        <v>1010</v>
      </c>
      <c r="DV183" t="s">
        <v>51</v>
      </c>
      <c r="DW183" t="s">
        <v>51</v>
      </c>
      <c r="DX183">
        <v>1</v>
      </c>
      <c r="EE183">
        <v>40050625</v>
      </c>
      <c r="EF183">
        <v>1</v>
      </c>
      <c r="EG183" t="s">
        <v>20</v>
      </c>
      <c r="EH183">
        <v>0</v>
      </c>
      <c r="EI183" t="s">
        <v>3</v>
      </c>
      <c r="EJ183">
        <v>4</v>
      </c>
      <c r="EK183">
        <v>0</v>
      </c>
      <c r="EL183" t="s">
        <v>21</v>
      </c>
      <c r="EM183" t="s">
        <v>22</v>
      </c>
      <c r="EO183" t="s">
        <v>3</v>
      </c>
      <c r="EQ183">
        <v>0</v>
      </c>
      <c r="ER183">
        <v>4250</v>
      </c>
      <c r="ES183">
        <v>4250</v>
      </c>
      <c r="ET183">
        <v>0</v>
      </c>
      <c r="EU183">
        <v>0</v>
      </c>
      <c r="EV183">
        <v>0</v>
      </c>
      <c r="EW183">
        <v>0</v>
      </c>
      <c r="EX183">
        <v>0</v>
      </c>
      <c r="FQ183">
        <v>0</v>
      </c>
      <c r="FR183">
        <f t="shared" si="194"/>
        <v>0</v>
      </c>
      <c r="FS183">
        <v>0</v>
      </c>
      <c r="FX183">
        <v>70</v>
      </c>
      <c r="FY183">
        <v>10</v>
      </c>
      <c r="GA183" t="s">
        <v>3</v>
      </c>
      <c r="GD183">
        <v>0</v>
      </c>
      <c r="GF183">
        <v>-1872626533</v>
      </c>
      <c r="GG183">
        <v>2</v>
      </c>
      <c r="GH183">
        <v>0</v>
      </c>
      <c r="GI183">
        <v>-2</v>
      </c>
      <c r="GJ183">
        <v>0</v>
      </c>
      <c r="GK183">
        <f>ROUND(R183*(R12)/100,2)</f>
        <v>0</v>
      </c>
      <c r="GL183">
        <f t="shared" si="195"/>
        <v>0</v>
      </c>
      <c r="GM183">
        <f t="shared" si="196"/>
        <v>12750</v>
      </c>
      <c r="GN183">
        <f t="shared" si="197"/>
        <v>0</v>
      </c>
      <c r="GO183">
        <f t="shared" si="198"/>
        <v>0</v>
      </c>
      <c r="GP183">
        <f t="shared" si="199"/>
        <v>12750</v>
      </c>
      <c r="GR183">
        <v>0</v>
      </c>
      <c r="GS183">
        <v>0</v>
      </c>
      <c r="GT183">
        <v>0</v>
      </c>
      <c r="GU183" t="s">
        <v>3</v>
      </c>
      <c r="GV183">
        <f t="shared" si="200"/>
        <v>0</v>
      </c>
      <c r="GW183">
        <v>1</v>
      </c>
      <c r="GX183">
        <f t="shared" si="201"/>
        <v>0</v>
      </c>
      <c r="HA183">
        <v>0</v>
      </c>
      <c r="HB183">
        <v>0</v>
      </c>
      <c r="HC183">
        <f t="shared" si="202"/>
        <v>0</v>
      </c>
      <c r="IK183">
        <v>0</v>
      </c>
    </row>
    <row r="184" spans="1:245">
      <c r="A184">
        <v>18</v>
      </c>
      <c r="B184">
        <v>1</v>
      </c>
      <c r="C184">
        <v>95</v>
      </c>
      <c r="E184" t="s">
        <v>208</v>
      </c>
      <c r="F184" t="s">
        <v>183</v>
      </c>
      <c r="G184" t="s">
        <v>209</v>
      </c>
      <c r="H184" t="s">
        <v>51</v>
      </c>
      <c r="I184">
        <f>I180*J184</f>
        <v>3</v>
      </c>
      <c r="J184">
        <v>1.7647058823529411</v>
      </c>
      <c r="O184">
        <f t="shared" si="163"/>
        <v>10749.99</v>
      </c>
      <c r="P184">
        <f t="shared" si="164"/>
        <v>10749.99</v>
      </c>
      <c r="Q184">
        <f t="shared" si="165"/>
        <v>0</v>
      </c>
      <c r="R184">
        <f t="shared" si="166"/>
        <v>0</v>
      </c>
      <c r="S184">
        <f t="shared" si="167"/>
        <v>0</v>
      </c>
      <c r="T184">
        <f t="shared" si="168"/>
        <v>0</v>
      </c>
      <c r="U184">
        <f t="shared" si="169"/>
        <v>0</v>
      </c>
      <c r="V184">
        <f t="shared" si="170"/>
        <v>0</v>
      </c>
      <c r="W184">
        <f t="shared" si="171"/>
        <v>0</v>
      </c>
      <c r="X184">
        <f t="shared" si="172"/>
        <v>0</v>
      </c>
      <c r="Y184">
        <f t="shared" si="173"/>
        <v>0</v>
      </c>
      <c r="AA184">
        <v>42225948</v>
      </c>
      <c r="AB184">
        <f t="shared" si="174"/>
        <v>3583.33</v>
      </c>
      <c r="AC184">
        <f t="shared" si="175"/>
        <v>3583.33</v>
      </c>
      <c r="AD184">
        <f t="shared" si="176"/>
        <v>0</v>
      </c>
      <c r="AE184">
        <f t="shared" si="177"/>
        <v>0</v>
      </c>
      <c r="AF184">
        <f t="shared" si="178"/>
        <v>0</v>
      </c>
      <c r="AG184">
        <f t="shared" si="179"/>
        <v>0</v>
      </c>
      <c r="AH184">
        <f t="shared" si="180"/>
        <v>0</v>
      </c>
      <c r="AI184">
        <f t="shared" si="181"/>
        <v>0</v>
      </c>
      <c r="AJ184">
        <f t="shared" si="182"/>
        <v>0</v>
      </c>
      <c r="AK184">
        <v>3583.33</v>
      </c>
      <c r="AL184">
        <v>3583.33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70</v>
      </c>
      <c r="AU184">
        <v>10</v>
      </c>
      <c r="AV184">
        <v>1</v>
      </c>
      <c r="AW184">
        <v>1</v>
      </c>
      <c r="AZ184">
        <v>1</v>
      </c>
      <c r="BA184">
        <v>1</v>
      </c>
      <c r="BB184">
        <v>1</v>
      </c>
      <c r="BC184">
        <v>1</v>
      </c>
      <c r="BD184" t="s">
        <v>3</v>
      </c>
      <c r="BE184" t="s">
        <v>3</v>
      </c>
      <c r="BF184" t="s">
        <v>3</v>
      </c>
      <c r="BG184" t="s">
        <v>3</v>
      </c>
      <c r="BH184">
        <v>3</v>
      </c>
      <c r="BI184">
        <v>4</v>
      </c>
      <c r="BJ184" t="s">
        <v>3</v>
      </c>
      <c r="BM184">
        <v>0</v>
      </c>
      <c r="BN184">
        <v>0</v>
      </c>
      <c r="BO184" t="s">
        <v>3</v>
      </c>
      <c r="BP184">
        <v>0</v>
      </c>
      <c r="BQ184">
        <v>1</v>
      </c>
      <c r="BR184">
        <v>0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 t="s">
        <v>3</v>
      </c>
      <c r="BZ184">
        <v>70</v>
      </c>
      <c r="CA184">
        <v>10</v>
      </c>
      <c r="CE184">
        <v>0</v>
      </c>
      <c r="CF184">
        <v>0</v>
      </c>
      <c r="CG184">
        <v>0</v>
      </c>
      <c r="CM184">
        <v>0</v>
      </c>
      <c r="CN184" t="s">
        <v>3</v>
      </c>
      <c r="CO184">
        <v>0</v>
      </c>
      <c r="CP184">
        <f t="shared" si="183"/>
        <v>10749.99</v>
      </c>
      <c r="CQ184">
        <f t="shared" si="184"/>
        <v>3583.33</v>
      </c>
      <c r="CR184">
        <f t="shared" si="185"/>
        <v>0</v>
      </c>
      <c r="CS184">
        <f t="shared" si="186"/>
        <v>0</v>
      </c>
      <c r="CT184">
        <f t="shared" si="187"/>
        <v>0</v>
      </c>
      <c r="CU184">
        <f t="shared" si="188"/>
        <v>0</v>
      </c>
      <c r="CV184">
        <f t="shared" si="189"/>
        <v>0</v>
      </c>
      <c r="CW184">
        <f t="shared" si="190"/>
        <v>0</v>
      </c>
      <c r="CX184">
        <f t="shared" si="191"/>
        <v>0</v>
      </c>
      <c r="CY184">
        <f t="shared" si="192"/>
        <v>0</v>
      </c>
      <c r="CZ184">
        <f t="shared" si="193"/>
        <v>0</v>
      </c>
      <c r="DC184" t="s">
        <v>3</v>
      </c>
      <c r="DD184" t="s">
        <v>3</v>
      </c>
      <c r="DE184" t="s">
        <v>3</v>
      </c>
      <c r="DF184" t="s">
        <v>3</v>
      </c>
      <c r="DG184" t="s">
        <v>3</v>
      </c>
      <c r="DH184" t="s">
        <v>3</v>
      </c>
      <c r="DI184" t="s">
        <v>3</v>
      </c>
      <c r="DJ184" t="s">
        <v>3</v>
      </c>
      <c r="DK184" t="s">
        <v>3</v>
      </c>
      <c r="DL184" t="s">
        <v>3</v>
      </c>
      <c r="DM184" t="s">
        <v>3</v>
      </c>
      <c r="DN184">
        <v>0</v>
      </c>
      <c r="DO184">
        <v>0</v>
      </c>
      <c r="DP184">
        <v>1</v>
      </c>
      <c r="DQ184">
        <v>1</v>
      </c>
      <c r="DU184">
        <v>1010</v>
      </c>
      <c r="DV184" t="s">
        <v>51</v>
      </c>
      <c r="DW184" t="s">
        <v>51</v>
      </c>
      <c r="DX184">
        <v>1</v>
      </c>
      <c r="EE184">
        <v>40050625</v>
      </c>
      <c r="EF184">
        <v>1</v>
      </c>
      <c r="EG184" t="s">
        <v>20</v>
      </c>
      <c r="EH184">
        <v>0</v>
      </c>
      <c r="EI184" t="s">
        <v>3</v>
      </c>
      <c r="EJ184">
        <v>4</v>
      </c>
      <c r="EK184">
        <v>0</v>
      </c>
      <c r="EL184" t="s">
        <v>21</v>
      </c>
      <c r="EM184" t="s">
        <v>22</v>
      </c>
      <c r="EO184" t="s">
        <v>3</v>
      </c>
      <c r="EQ184">
        <v>0</v>
      </c>
      <c r="ER184">
        <v>3583.33</v>
      </c>
      <c r="ES184">
        <v>3583.33</v>
      </c>
      <c r="ET184">
        <v>0</v>
      </c>
      <c r="EU184">
        <v>0</v>
      </c>
      <c r="EV184">
        <v>0</v>
      </c>
      <c r="EW184">
        <v>0</v>
      </c>
      <c r="EX184">
        <v>0</v>
      </c>
      <c r="FQ184">
        <v>0</v>
      </c>
      <c r="FR184">
        <f t="shared" si="194"/>
        <v>0</v>
      </c>
      <c r="FS184">
        <v>0</v>
      </c>
      <c r="FX184">
        <v>70</v>
      </c>
      <c r="FY184">
        <v>10</v>
      </c>
      <c r="GA184" t="s">
        <v>3</v>
      </c>
      <c r="GD184">
        <v>0</v>
      </c>
      <c r="GF184">
        <v>1312657559</v>
      </c>
      <c r="GG184">
        <v>2</v>
      </c>
      <c r="GH184">
        <v>0</v>
      </c>
      <c r="GI184">
        <v>-2</v>
      </c>
      <c r="GJ184">
        <v>0</v>
      </c>
      <c r="GK184">
        <f>ROUND(R184*(R12)/100,2)</f>
        <v>0</v>
      </c>
      <c r="GL184">
        <f t="shared" si="195"/>
        <v>0</v>
      </c>
      <c r="GM184">
        <f t="shared" si="196"/>
        <v>10749.99</v>
      </c>
      <c r="GN184">
        <f t="shared" si="197"/>
        <v>0</v>
      </c>
      <c r="GO184">
        <f t="shared" si="198"/>
        <v>0</v>
      </c>
      <c r="GP184">
        <f t="shared" si="199"/>
        <v>10749.99</v>
      </c>
      <c r="GR184">
        <v>0</v>
      </c>
      <c r="GS184">
        <v>0</v>
      </c>
      <c r="GT184">
        <v>0</v>
      </c>
      <c r="GU184" t="s">
        <v>3</v>
      </c>
      <c r="GV184">
        <f t="shared" si="200"/>
        <v>0</v>
      </c>
      <c r="GW184">
        <v>1</v>
      </c>
      <c r="GX184">
        <f t="shared" si="201"/>
        <v>0</v>
      </c>
      <c r="HA184">
        <v>0</v>
      </c>
      <c r="HB184">
        <v>0</v>
      </c>
      <c r="HC184">
        <f t="shared" si="202"/>
        <v>0</v>
      </c>
      <c r="IK184">
        <v>0</v>
      </c>
    </row>
    <row r="185" spans="1:245">
      <c r="A185">
        <v>18</v>
      </c>
      <c r="B185">
        <v>1</v>
      </c>
      <c r="C185">
        <v>96</v>
      </c>
      <c r="E185" t="s">
        <v>210</v>
      </c>
      <c r="F185" t="s">
        <v>183</v>
      </c>
      <c r="G185" t="s">
        <v>211</v>
      </c>
      <c r="H185" t="s">
        <v>51</v>
      </c>
      <c r="I185">
        <f>I180*J185</f>
        <v>4</v>
      </c>
      <c r="J185">
        <v>2.3529411764705883</v>
      </c>
      <c r="O185">
        <f t="shared" si="163"/>
        <v>13000</v>
      </c>
      <c r="P185">
        <f t="shared" si="164"/>
        <v>13000</v>
      </c>
      <c r="Q185">
        <f t="shared" si="165"/>
        <v>0</v>
      </c>
      <c r="R185">
        <f t="shared" si="166"/>
        <v>0</v>
      </c>
      <c r="S185">
        <f t="shared" si="167"/>
        <v>0</v>
      </c>
      <c r="T185">
        <f t="shared" si="168"/>
        <v>0</v>
      </c>
      <c r="U185">
        <f t="shared" si="169"/>
        <v>0</v>
      </c>
      <c r="V185">
        <f t="shared" si="170"/>
        <v>0</v>
      </c>
      <c r="W185">
        <f t="shared" si="171"/>
        <v>0</v>
      </c>
      <c r="X185">
        <f t="shared" si="172"/>
        <v>0</v>
      </c>
      <c r="Y185">
        <f t="shared" si="173"/>
        <v>0</v>
      </c>
      <c r="AA185">
        <v>42225948</v>
      </c>
      <c r="AB185">
        <f t="shared" si="174"/>
        <v>3250</v>
      </c>
      <c r="AC185">
        <f t="shared" si="175"/>
        <v>3250</v>
      </c>
      <c r="AD185">
        <f t="shared" si="176"/>
        <v>0</v>
      </c>
      <c r="AE185">
        <f t="shared" si="177"/>
        <v>0</v>
      </c>
      <c r="AF185">
        <f t="shared" si="178"/>
        <v>0</v>
      </c>
      <c r="AG185">
        <f t="shared" si="179"/>
        <v>0</v>
      </c>
      <c r="AH185">
        <f t="shared" si="180"/>
        <v>0</v>
      </c>
      <c r="AI185">
        <f t="shared" si="181"/>
        <v>0</v>
      </c>
      <c r="AJ185">
        <f t="shared" si="182"/>
        <v>0</v>
      </c>
      <c r="AK185">
        <v>3250</v>
      </c>
      <c r="AL185">
        <v>3250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70</v>
      </c>
      <c r="AU185">
        <v>10</v>
      </c>
      <c r="AV185">
        <v>1</v>
      </c>
      <c r="AW185">
        <v>1</v>
      </c>
      <c r="AZ185">
        <v>1</v>
      </c>
      <c r="BA185">
        <v>1</v>
      </c>
      <c r="BB185">
        <v>1</v>
      </c>
      <c r="BC185">
        <v>1</v>
      </c>
      <c r="BD185" t="s">
        <v>3</v>
      </c>
      <c r="BE185" t="s">
        <v>3</v>
      </c>
      <c r="BF185" t="s">
        <v>3</v>
      </c>
      <c r="BG185" t="s">
        <v>3</v>
      </c>
      <c r="BH185">
        <v>3</v>
      </c>
      <c r="BI185">
        <v>4</v>
      </c>
      <c r="BJ185" t="s">
        <v>3</v>
      </c>
      <c r="BM185">
        <v>0</v>
      </c>
      <c r="BN185">
        <v>0</v>
      </c>
      <c r="BO185" t="s">
        <v>3</v>
      </c>
      <c r="BP185">
        <v>0</v>
      </c>
      <c r="BQ185">
        <v>1</v>
      </c>
      <c r="BR185">
        <v>0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 t="s">
        <v>3</v>
      </c>
      <c r="BZ185">
        <v>70</v>
      </c>
      <c r="CA185">
        <v>10</v>
      </c>
      <c r="CE185">
        <v>0</v>
      </c>
      <c r="CF185">
        <v>0</v>
      </c>
      <c r="CG185">
        <v>0</v>
      </c>
      <c r="CM185">
        <v>0</v>
      </c>
      <c r="CN185" t="s">
        <v>3</v>
      </c>
      <c r="CO185">
        <v>0</v>
      </c>
      <c r="CP185">
        <f t="shared" si="183"/>
        <v>13000</v>
      </c>
      <c r="CQ185">
        <f t="shared" si="184"/>
        <v>3250</v>
      </c>
      <c r="CR185">
        <f t="shared" si="185"/>
        <v>0</v>
      </c>
      <c r="CS185">
        <f t="shared" si="186"/>
        <v>0</v>
      </c>
      <c r="CT185">
        <f t="shared" si="187"/>
        <v>0</v>
      </c>
      <c r="CU185">
        <f t="shared" si="188"/>
        <v>0</v>
      </c>
      <c r="CV185">
        <f t="shared" si="189"/>
        <v>0</v>
      </c>
      <c r="CW185">
        <f t="shared" si="190"/>
        <v>0</v>
      </c>
      <c r="CX185">
        <f t="shared" si="191"/>
        <v>0</v>
      </c>
      <c r="CY185">
        <f t="shared" si="192"/>
        <v>0</v>
      </c>
      <c r="CZ185">
        <f t="shared" si="193"/>
        <v>0</v>
      </c>
      <c r="DC185" t="s">
        <v>3</v>
      </c>
      <c r="DD185" t="s">
        <v>3</v>
      </c>
      <c r="DE185" t="s">
        <v>3</v>
      </c>
      <c r="DF185" t="s">
        <v>3</v>
      </c>
      <c r="DG185" t="s">
        <v>3</v>
      </c>
      <c r="DH185" t="s">
        <v>3</v>
      </c>
      <c r="DI185" t="s">
        <v>3</v>
      </c>
      <c r="DJ185" t="s">
        <v>3</v>
      </c>
      <c r="DK185" t="s">
        <v>3</v>
      </c>
      <c r="DL185" t="s">
        <v>3</v>
      </c>
      <c r="DM185" t="s">
        <v>3</v>
      </c>
      <c r="DN185">
        <v>0</v>
      </c>
      <c r="DO185">
        <v>0</v>
      </c>
      <c r="DP185">
        <v>1</v>
      </c>
      <c r="DQ185">
        <v>1</v>
      </c>
      <c r="DU185">
        <v>1010</v>
      </c>
      <c r="DV185" t="s">
        <v>51</v>
      </c>
      <c r="DW185" t="s">
        <v>51</v>
      </c>
      <c r="DX185">
        <v>1</v>
      </c>
      <c r="EE185">
        <v>40050625</v>
      </c>
      <c r="EF185">
        <v>1</v>
      </c>
      <c r="EG185" t="s">
        <v>20</v>
      </c>
      <c r="EH185">
        <v>0</v>
      </c>
      <c r="EI185" t="s">
        <v>3</v>
      </c>
      <c r="EJ185">
        <v>4</v>
      </c>
      <c r="EK185">
        <v>0</v>
      </c>
      <c r="EL185" t="s">
        <v>21</v>
      </c>
      <c r="EM185" t="s">
        <v>22</v>
      </c>
      <c r="EO185" t="s">
        <v>3</v>
      </c>
      <c r="EQ185">
        <v>0</v>
      </c>
      <c r="ER185">
        <v>3250</v>
      </c>
      <c r="ES185">
        <v>3250</v>
      </c>
      <c r="ET185">
        <v>0</v>
      </c>
      <c r="EU185">
        <v>0</v>
      </c>
      <c r="EV185">
        <v>0</v>
      </c>
      <c r="EW185">
        <v>0</v>
      </c>
      <c r="EX185">
        <v>0</v>
      </c>
      <c r="FQ185">
        <v>0</v>
      </c>
      <c r="FR185">
        <f t="shared" si="194"/>
        <v>0</v>
      </c>
      <c r="FS185">
        <v>0</v>
      </c>
      <c r="FX185">
        <v>70</v>
      </c>
      <c r="FY185">
        <v>10</v>
      </c>
      <c r="GA185" t="s">
        <v>3</v>
      </c>
      <c r="GD185">
        <v>0</v>
      </c>
      <c r="GF185">
        <v>576430985</v>
      </c>
      <c r="GG185">
        <v>2</v>
      </c>
      <c r="GH185">
        <v>0</v>
      </c>
      <c r="GI185">
        <v>-2</v>
      </c>
      <c r="GJ185">
        <v>0</v>
      </c>
      <c r="GK185">
        <f>ROUND(R185*(R12)/100,2)</f>
        <v>0</v>
      </c>
      <c r="GL185">
        <f t="shared" si="195"/>
        <v>0</v>
      </c>
      <c r="GM185">
        <f t="shared" si="196"/>
        <v>13000</v>
      </c>
      <c r="GN185">
        <f t="shared" si="197"/>
        <v>0</v>
      </c>
      <c r="GO185">
        <f t="shared" si="198"/>
        <v>0</v>
      </c>
      <c r="GP185">
        <f t="shared" si="199"/>
        <v>13000</v>
      </c>
      <c r="GR185">
        <v>0</v>
      </c>
      <c r="GS185">
        <v>0</v>
      </c>
      <c r="GT185">
        <v>0</v>
      </c>
      <c r="GU185" t="s">
        <v>3</v>
      </c>
      <c r="GV185">
        <f t="shared" si="200"/>
        <v>0</v>
      </c>
      <c r="GW185">
        <v>1</v>
      </c>
      <c r="GX185">
        <f t="shared" si="201"/>
        <v>0</v>
      </c>
      <c r="HA185">
        <v>0</v>
      </c>
      <c r="HB185">
        <v>0</v>
      </c>
      <c r="HC185">
        <f t="shared" si="202"/>
        <v>0</v>
      </c>
      <c r="IK185">
        <v>0</v>
      </c>
    </row>
    <row r="187" spans="1:245">
      <c r="A187" s="2">
        <v>51</v>
      </c>
      <c r="B187" s="2">
        <f>B165</f>
        <v>1</v>
      </c>
      <c r="C187" s="2">
        <f>A165</f>
        <v>4</v>
      </c>
      <c r="D187" s="2">
        <f>ROW(A165)</f>
        <v>165</v>
      </c>
      <c r="E187" s="2"/>
      <c r="F187" s="2" t="str">
        <f>IF(F165&lt;&gt;"",F165,"")</f>
        <v>Новый раздел</v>
      </c>
      <c r="G187" s="2" t="str">
        <f>IF(G165&lt;&gt;"",G165,"")</f>
        <v>Посадка деревьев хвойных - 21шт.</v>
      </c>
      <c r="H187" s="2">
        <v>0</v>
      </c>
      <c r="I187" s="2"/>
      <c r="J187" s="2"/>
      <c r="K187" s="2"/>
      <c r="L187" s="2"/>
      <c r="M187" s="2"/>
      <c r="N187" s="2"/>
      <c r="O187" s="2">
        <f t="shared" ref="O187:T187" si="203">ROUND(AB187,2)</f>
        <v>127466.03</v>
      </c>
      <c r="P187" s="2">
        <f t="shared" si="203"/>
        <v>107038.34</v>
      </c>
      <c r="Q187" s="2">
        <f t="shared" si="203"/>
        <v>3451.75</v>
      </c>
      <c r="R187" s="2">
        <f t="shared" si="203"/>
        <v>888.71</v>
      </c>
      <c r="S187" s="2">
        <f t="shared" si="203"/>
        <v>16975.939999999999</v>
      </c>
      <c r="T187" s="2">
        <f t="shared" si="203"/>
        <v>0</v>
      </c>
      <c r="U187" s="2">
        <f>AH187</f>
        <v>83.030704</v>
      </c>
      <c r="V187" s="2">
        <f>AI187</f>
        <v>0</v>
      </c>
      <c r="W187" s="2">
        <f>ROUND(AJ187,2)</f>
        <v>0</v>
      </c>
      <c r="X187" s="2">
        <f>ROUND(AK187,2)</f>
        <v>11883.16</v>
      </c>
      <c r="Y187" s="2">
        <f>ROUND(AL187,2)</f>
        <v>1697.6</v>
      </c>
      <c r="Z187" s="2"/>
      <c r="AA187" s="2"/>
      <c r="AB187" s="2">
        <f>ROUND(SUMIF(AA169:AA185,"=42225948",O169:O185),2)</f>
        <v>127466.03</v>
      </c>
      <c r="AC187" s="2">
        <f>ROUND(SUMIF(AA169:AA185,"=42225948",P169:P185),2)</f>
        <v>107038.34</v>
      </c>
      <c r="AD187" s="2">
        <f>ROUND(SUMIF(AA169:AA185,"=42225948",Q169:Q185),2)</f>
        <v>3451.75</v>
      </c>
      <c r="AE187" s="2">
        <f>ROUND(SUMIF(AA169:AA185,"=42225948",R169:R185),2)</f>
        <v>888.71</v>
      </c>
      <c r="AF187" s="2">
        <f>ROUND(SUMIF(AA169:AA185,"=42225948",S169:S185),2)</f>
        <v>16975.939999999999</v>
      </c>
      <c r="AG187" s="2">
        <f>ROUND(SUMIF(AA169:AA185,"=42225948",T169:T185),2)</f>
        <v>0</v>
      </c>
      <c r="AH187" s="2">
        <f>SUMIF(AA169:AA185,"=42225948",U169:U185)</f>
        <v>83.030704</v>
      </c>
      <c r="AI187" s="2">
        <f>SUMIF(AA169:AA185,"=42225948",V169:V185)</f>
        <v>0</v>
      </c>
      <c r="AJ187" s="2">
        <f>ROUND(SUMIF(AA169:AA185,"=42225948",W169:W185),2)</f>
        <v>0</v>
      </c>
      <c r="AK187" s="2">
        <f>ROUND(SUMIF(AA169:AA185,"=42225948",X169:X185),2)</f>
        <v>11883.16</v>
      </c>
      <c r="AL187" s="2">
        <f>ROUND(SUMIF(AA169:AA185,"=42225948",Y169:Y185),2)</f>
        <v>1697.6</v>
      </c>
      <c r="AM187" s="2"/>
      <c r="AN187" s="2"/>
      <c r="AO187" s="2">
        <f t="shared" ref="AO187:BC187" si="204">ROUND(BX187,2)</f>
        <v>0</v>
      </c>
      <c r="AP187" s="2">
        <f t="shared" si="204"/>
        <v>0</v>
      </c>
      <c r="AQ187" s="2">
        <f t="shared" si="204"/>
        <v>0</v>
      </c>
      <c r="AR187" s="2">
        <f t="shared" si="204"/>
        <v>142006.6</v>
      </c>
      <c r="AS187" s="2">
        <f t="shared" si="204"/>
        <v>0</v>
      </c>
      <c r="AT187" s="2">
        <f t="shared" si="204"/>
        <v>0</v>
      </c>
      <c r="AU187" s="2">
        <f t="shared" si="204"/>
        <v>142006.6</v>
      </c>
      <c r="AV187" s="2">
        <f t="shared" si="204"/>
        <v>107038.34</v>
      </c>
      <c r="AW187" s="2">
        <f t="shared" si="204"/>
        <v>107038.34</v>
      </c>
      <c r="AX187" s="2">
        <f t="shared" si="204"/>
        <v>0</v>
      </c>
      <c r="AY187" s="2">
        <f t="shared" si="204"/>
        <v>107038.34</v>
      </c>
      <c r="AZ187" s="2">
        <f t="shared" si="204"/>
        <v>0</v>
      </c>
      <c r="BA187" s="2">
        <f t="shared" si="204"/>
        <v>0</v>
      </c>
      <c r="BB187" s="2">
        <f t="shared" si="204"/>
        <v>0</v>
      </c>
      <c r="BC187" s="2">
        <f t="shared" si="204"/>
        <v>0</v>
      </c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>
        <f>ROUND(SUMIF(AA169:AA185,"=42225948",FQ169:FQ185),2)</f>
        <v>0</v>
      </c>
      <c r="BY187" s="2">
        <f>ROUND(SUMIF(AA169:AA185,"=42225948",FR169:FR185),2)</f>
        <v>0</v>
      </c>
      <c r="BZ187" s="2">
        <f>ROUND(SUMIF(AA169:AA185,"=42225948",GL169:GL185),2)</f>
        <v>0</v>
      </c>
      <c r="CA187" s="2">
        <f>ROUND(SUMIF(AA169:AA185,"=42225948",GM169:GM185),2)</f>
        <v>142006.6</v>
      </c>
      <c r="CB187" s="2">
        <f>ROUND(SUMIF(AA169:AA185,"=42225948",GN169:GN185),2)</f>
        <v>0</v>
      </c>
      <c r="CC187" s="2">
        <f>ROUND(SUMIF(AA169:AA185,"=42225948",GO169:GO185),2)</f>
        <v>0</v>
      </c>
      <c r="CD187" s="2">
        <f>ROUND(SUMIF(AA169:AA185,"=42225948",GP169:GP185),2)</f>
        <v>142006.6</v>
      </c>
      <c r="CE187" s="2">
        <f>AC187-BX187</f>
        <v>107038.34</v>
      </c>
      <c r="CF187" s="2">
        <f>AC187-BY187</f>
        <v>107038.34</v>
      </c>
      <c r="CG187" s="2">
        <f>BX187-BZ187</f>
        <v>0</v>
      </c>
      <c r="CH187" s="2">
        <f>AC187-BX187-BY187+BZ187</f>
        <v>107038.34</v>
      </c>
      <c r="CI187" s="2">
        <f>BY187-BZ187</f>
        <v>0</v>
      </c>
      <c r="CJ187" s="2">
        <f>ROUND(SUMIF(AA169:AA185,"=42225948",GX169:GX185),2)</f>
        <v>0</v>
      </c>
      <c r="CK187" s="2">
        <f>ROUND(SUMIF(AA169:AA185,"=42225948",GY169:GY185),2)</f>
        <v>0</v>
      </c>
      <c r="CL187" s="2">
        <f>ROUND(SUMIF(AA169:AA185,"=42225948",GZ169:GZ185),2)</f>
        <v>0</v>
      </c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>
        <v>0</v>
      </c>
    </row>
    <row r="189" spans="1:245">
      <c r="A189" s="4">
        <v>50</v>
      </c>
      <c r="B189" s="4">
        <v>0</v>
      </c>
      <c r="C189" s="4">
        <v>0</v>
      </c>
      <c r="D189" s="4">
        <v>1</v>
      </c>
      <c r="E189" s="4">
        <v>201</v>
      </c>
      <c r="F189" s="4">
        <f>ROUND(Source!O187,O189)</f>
        <v>127466.03</v>
      </c>
      <c r="G189" s="4" t="s">
        <v>65</v>
      </c>
      <c r="H189" s="4" t="s">
        <v>66</v>
      </c>
      <c r="I189" s="4"/>
      <c r="J189" s="4"/>
      <c r="K189" s="4">
        <v>201</v>
      </c>
      <c r="L189" s="4">
        <v>1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0" spans="1:245">
      <c r="A190" s="4">
        <v>50</v>
      </c>
      <c r="B190" s="4">
        <v>0</v>
      </c>
      <c r="C190" s="4">
        <v>0</v>
      </c>
      <c r="D190" s="4">
        <v>1</v>
      </c>
      <c r="E190" s="4">
        <v>202</v>
      </c>
      <c r="F190" s="4">
        <f>ROUND(Source!P187,O190)</f>
        <v>107038.34</v>
      </c>
      <c r="G190" s="4" t="s">
        <v>67</v>
      </c>
      <c r="H190" s="4" t="s">
        <v>68</v>
      </c>
      <c r="I190" s="4"/>
      <c r="J190" s="4"/>
      <c r="K190" s="4">
        <v>202</v>
      </c>
      <c r="L190" s="4">
        <v>2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45">
      <c r="A191" s="4">
        <v>50</v>
      </c>
      <c r="B191" s="4">
        <v>0</v>
      </c>
      <c r="C191" s="4">
        <v>0</v>
      </c>
      <c r="D191" s="4">
        <v>1</v>
      </c>
      <c r="E191" s="4">
        <v>222</v>
      </c>
      <c r="F191" s="4">
        <f>ROUND(Source!AO187,O191)</f>
        <v>0</v>
      </c>
      <c r="G191" s="4" t="s">
        <v>69</v>
      </c>
      <c r="H191" s="4" t="s">
        <v>70</v>
      </c>
      <c r="I191" s="4"/>
      <c r="J191" s="4"/>
      <c r="K191" s="4">
        <v>222</v>
      </c>
      <c r="L191" s="4">
        <v>3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/>
    </row>
    <row r="192" spans="1:245">
      <c r="A192" s="4">
        <v>50</v>
      </c>
      <c r="B192" s="4">
        <v>0</v>
      </c>
      <c r="C192" s="4">
        <v>0</v>
      </c>
      <c r="D192" s="4">
        <v>1</v>
      </c>
      <c r="E192" s="4">
        <v>225</v>
      </c>
      <c r="F192" s="4">
        <f>ROUND(Source!AV187,O192)</f>
        <v>107038.34</v>
      </c>
      <c r="G192" s="4" t="s">
        <v>71</v>
      </c>
      <c r="H192" s="4" t="s">
        <v>72</v>
      </c>
      <c r="I192" s="4"/>
      <c r="J192" s="4"/>
      <c r="K192" s="4">
        <v>225</v>
      </c>
      <c r="L192" s="4">
        <v>4</v>
      </c>
      <c r="M192" s="4">
        <v>3</v>
      </c>
      <c r="N192" s="4" t="s">
        <v>3</v>
      </c>
      <c r="O192" s="4">
        <v>2</v>
      </c>
      <c r="P192" s="4"/>
      <c r="Q192" s="4"/>
      <c r="R192" s="4"/>
      <c r="S192" s="4"/>
      <c r="T192" s="4"/>
      <c r="U192" s="4"/>
      <c r="V192" s="4"/>
      <c r="W192" s="4"/>
    </row>
    <row r="193" spans="1:23">
      <c r="A193" s="4">
        <v>50</v>
      </c>
      <c r="B193" s="4">
        <v>0</v>
      </c>
      <c r="C193" s="4">
        <v>0</v>
      </c>
      <c r="D193" s="4">
        <v>1</v>
      </c>
      <c r="E193" s="4">
        <v>226</v>
      </c>
      <c r="F193" s="4">
        <f>ROUND(Source!AW187,O193)</f>
        <v>107038.34</v>
      </c>
      <c r="G193" s="4" t="s">
        <v>73</v>
      </c>
      <c r="H193" s="4" t="s">
        <v>74</v>
      </c>
      <c r="I193" s="4"/>
      <c r="J193" s="4"/>
      <c r="K193" s="4">
        <v>226</v>
      </c>
      <c r="L193" s="4">
        <v>5</v>
      </c>
      <c r="M193" s="4">
        <v>3</v>
      </c>
      <c r="N193" s="4" t="s">
        <v>3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4" spans="1:23">
      <c r="A194" s="4">
        <v>50</v>
      </c>
      <c r="B194" s="4">
        <v>0</v>
      </c>
      <c r="C194" s="4">
        <v>0</v>
      </c>
      <c r="D194" s="4">
        <v>1</v>
      </c>
      <c r="E194" s="4">
        <v>227</v>
      </c>
      <c r="F194" s="4">
        <f>ROUND(Source!AX187,O194)</f>
        <v>0</v>
      </c>
      <c r="G194" s="4" t="s">
        <v>75</v>
      </c>
      <c r="H194" s="4" t="s">
        <v>76</v>
      </c>
      <c r="I194" s="4"/>
      <c r="J194" s="4"/>
      <c r="K194" s="4">
        <v>227</v>
      </c>
      <c r="L194" s="4">
        <v>6</v>
      </c>
      <c r="M194" s="4">
        <v>3</v>
      </c>
      <c r="N194" s="4" t="s">
        <v>3</v>
      </c>
      <c r="O194" s="4">
        <v>2</v>
      </c>
      <c r="P194" s="4"/>
      <c r="Q194" s="4"/>
      <c r="R194" s="4"/>
      <c r="S194" s="4"/>
      <c r="T194" s="4"/>
      <c r="U194" s="4"/>
      <c r="V194" s="4"/>
      <c r="W194" s="4"/>
    </row>
    <row r="195" spans="1:23">
      <c r="A195" s="4">
        <v>50</v>
      </c>
      <c r="B195" s="4">
        <v>0</v>
      </c>
      <c r="C195" s="4">
        <v>0</v>
      </c>
      <c r="D195" s="4">
        <v>1</v>
      </c>
      <c r="E195" s="4">
        <v>228</v>
      </c>
      <c r="F195" s="4">
        <f>ROUND(Source!AY187,O195)</f>
        <v>107038.34</v>
      </c>
      <c r="G195" s="4" t="s">
        <v>77</v>
      </c>
      <c r="H195" s="4" t="s">
        <v>78</v>
      </c>
      <c r="I195" s="4"/>
      <c r="J195" s="4"/>
      <c r="K195" s="4">
        <v>228</v>
      </c>
      <c r="L195" s="4">
        <v>7</v>
      </c>
      <c r="M195" s="4">
        <v>3</v>
      </c>
      <c r="N195" s="4" t="s">
        <v>3</v>
      </c>
      <c r="O195" s="4">
        <v>2</v>
      </c>
      <c r="P195" s="4"/>
      <c r="Q195" s="4"/>
      <c r="R195" s="4"/>
      <c r="S195" s="4"/>
      <c r="T195" s="4"/>
      <c r="U195" s="4"/>
      <c r="V195" s="4"/>
      <c r="W195" s="4"/>
    </row>
    <row r="196" spans="1:23">
      <c r="A196" s="4">
        <v>50</v>
      </c>
      <c r="B196" s="4">
        <v>0</v>
      </c>
      <c r="C196" s="4">
        <v>0</v>
      </c>
      <c r="D196" s="4">
        <v>1</v>
      </c>
      <c r="E196" s="4">
        <v>216</v>
      </c>
      <c r="F196" s="4">
        <f>ROUND(Source!AP187,O196)</f>
        <v>0</v>
      </c>
      <c r="G196" s="4" t="s">
        <v>79</v>
      </c>
      <c r="H196" s="4" t="s">
        <v>80</v>
      </c>
      <c r="I196" s="4"/>
      <c r="J196" s="4"/>
      <c r="K196" s="4">
        <v>216</v>
      </c>
      <c r="L196" s="4">
        <v>8</v>
      </c>
      <c r="M196" s="4">
        <v>3</v>
      </c>
      <c r="N196" s="4" t="s">
        <v>3</v>
      </c>
      <c r="O196" s="4">
        <v>2</v>
      </c>
      <c r="P196" s="4"/>
      <c r="Q196" s="4"/>
      <c r="R196" s="4"/>
      <c r="S196" s="4"/>
      <c r="T196" s="4"/>
      <c r="U196" s="4"/>
      <c r="V196" s="4"/>
      <c r="W196" s="4"/>
    </row>
    <row r="197" spans="1:23">
      <c r="A197" s="4">
        <v>50</v>
      </c>
      <c r="B197" s="4">
        <v>0</v>
      </c>
      <c r="C197" s="4">
        <v>0</v>
      </c>
      <c r="D197" s="4">
        <v>1</v>
      </c>
      <c r="E197" s="4">
        <v>223</v>
      </c>
      <c r="F197" s="4">
        <f>ROUND(Source!AQ187,O197)</f>
        <v>0</v>
      </c>
      <c r="G197" s="4" t="s">
        <v>81</v>
      </c>
      <c r="H197" s="4" t="s">
        <v>82</v>
      </c>
      <c r="I197" s="4"/>
      <c r="J197" s="4"/>
      <c r="K197" s="4">
        <v>223</v>
      </c>
      <c r="L197" s="4">
        <v>9</v>
      </c>
      <c r="M197" s="4">
        <v>3</v>
      </c>
      <c r="N197" s="4" t="s">
        <v>3</v>
      </c>
      <c r="O197" s="4">
        <v>2</v>
      </c>
      <c r="P197" s="4"/>
      <c r="Q197" s="4"/>
      <c r="R197" s="4"/>
      <c r="S197" s="4"/>
      <c r="T197" s="4"/>
      <c r="U197" s="4"/>
      <c r="V197" s="4"/>
      <c r="W197" s="4"/>
    </row>
    <row r="198" spans="1:23">
      <c r="A198" s="4">
        <v>50</v>
      </c>
      <c r="B198" s="4">
        <v>0</v>
      </c>
      <c r="C198" s="4">
        <v>0</v>
      </c>
      <c r="D198" s="4">
        <v>1</v>
      </c>
      <c r="E198" s="4">
        <v>229</v>
      </c>
      <c r="F198" s="4">
        <f>ROUND(Source!AZ187,O198)</f>
        <v>0</v>
      </c>
      <c r="G198" s="4" t="s">
        <v>83</v>
      </c>
      <c r="H198" s="4" t="s">
        <v>84</v>
      </c>
      <c r="I198" s="4"/>
      <c r="J198" s="4"/>
      <c r="K198" s="4">
        <v>229</v>
      </c>
      <c r="L198" s="4">
        <v>10</v>
      </c>
      <c r="M198" s="4">
        <v>3</v>
      </c>
      <c r="N198" s="4" t="s">
        <v>3</v>
      </c>
      <c r="O198" s="4">
        <v>2</v>
      </c>
      <c r="P198" s="4"/>
      <c r="Q198" s="4"/>
      <c r="R198" s="4"/>
      <c r="S198" s="4"/>
      <c r="T198" s="4"/>
      <c r="U198" s="4"/>
      <c r="V198" s="4"/>
      <c r="W198" s="4"/>
    </row>
    <row r="199" spans="1:23">
      <c r="A199" s="4">
        <v>50</v>
      </c>
      <c r="B199" s="4">
        <v>0</v>
      </c>
      <c r="C199" s="4">
        <v>0</v>
      </c>
      <c r="D199" s="4">
        <v>1</v>
      </c>
      <c r="E199" s="4">
        <v>203</v>
      </c>
      <c r="F199" s="4">
        <f>ROUND(Source!Q187,O199)</f>
        <v>3451.75</v>
      </c>
      <c r="G199" s="4" t="s">
        <v>85</v>
      </c>
      <c r="H199" s="4" t="s">
        <v>86</v>
      </c>
      <c r="I199" s="4"/>
      <c r="J199" s="4"/>
      <c r="K199" s="4">
        <v>203</v>
      </c>
      <c r="L199" s="4">
        <v>11</v>
      </c>
      <c r="M199" s="4">
        <v>3</v>
      </c>
      <c r="N199" s="4" t="s">
        <v>3</v>
      </c>
      <c r="O199" s="4">
        <v>2</v>
      </c>
      <c r="P199" s="4"/>
      <c r="Q199" s="4"/>
      <c r="R199" s="4"/>
      <c r="S199" s="4"/>
      <c r="T199" s="4"/>
      <c r="U199" s="4"/>
      <c r="V199" s="4"/>
      <c r="W199" s="4"/>
    </row>
    <row r="200" spans="1:23">
      <c r="A200" s="4">
        <v>50</v>
      </c>
      <c r="B200" s="4">
        <v>0</v>
      </c>
      <c r="C200" s="4">
        <v>0</v>
      </c>
      <c r="D200" s="4">
        <v>1</v>
      </c>
      <c r="E200" s="4">
        <v>231</v>
      </c>
      <c r="F200" s="4">
        <f>ROUND(Source!BB187,O200)</f>
        <v>0</v>
      </c>
      <c r="G200" s="4" t="s">
        <v>87</v>
      </c>
      <c r="H200" s="4" t="s">
        <v>88</v>
      </c>
      <c r="I200" s="4"/>
      <c r="J200" s="4"/>
      <c r="K200" s="4">
        <v>231</v>
      </c>
      <c r="L200" s="4">
        <v>12</v>
      </c>
      <c r="M200" s="4">
        <v>3</v>
      </c>
      <c r="N200" s="4" t="s">
        <v>3</v>
      </c>
      <c r="O200" s="4">
        <v>2</v>
      </c>
      <c r="P200" s="4"/>
      <c r="Q200" s="4"/>
      <c r="R200" s="4"/>
      <c r="S200" s="4"/>
      <c r="T200" s="4"/>
      <c r="U200" s="4"/>
      <c r="V200" s="4"/>
      <c r="W200" s="4"/>
    </row>
    <row r="201" spans="1:23">
      <c r="A201" s="4">
        <v>50</v>
      </c>
      <c r="B201" s="4">
        <v>0</v>
      </c>
      <c r="C201" s="4">
        <v>0</v>
      </c>
      <c r="D201" s="4">
        <v>1</v>
      </c>
      <c r="E201" s="4">
        <v>204</v>
      </c>
      <c r="F201" s="4">
        <f>ROUND(Source!R187,O201)</f>
        <v>888.71</v>
      </c>
      <c r="G201" s="4" t="s">
        <v>89</v>
      </c>
      <c r="H201" s="4" t="s">
        <v>90</v>
      </c>
      <c r="I201" s="4"/>
      <c r="J201" s="4"/>
      <c r="K201" s="4">
        <v>204</v>
      </c>
      <c r="L201" s="4">
        <v>13</v>
      </c>
      <c r="M201" s="4">
        <v>3</v>
      </c>
      <c r="N201" s="4" t="s">
        <v>3</v>
      </c>
      <c r="O201" s="4">
        <v>2</v>
      </c>
      <c r="P201" s="4"/>
      <c r="Q201" s="4"/>
      <c r="R201" s="4"/>
      <c r="S201" s="4"/>
      <c r="T201" s="4"/>
      <c r="U201" s="4"/>
      <c r="V201" s="4"/>
      <c r="W201" s="4"/>
    </row>
    <row r="202" spans="1:23">
      <c r="A202" s="4">
        <v>50</v>
      </c>
      <c r="B202" s="4">
        <v>0</v>
      </c>
      <c r="C202" s="4">
        <v>0</v>
      </c>
      <c r="D202" s="4">
        <v>1</v>
      </c>
      <c r="E202" s="4">
        <v>205</v>
      </c>
      <c r="F202" s="4">
        <f>ROUND(Source!S187,O202)</f>
        <v>16975.939999999999</v>
      </c>
      <c r="G202" s="4" t="s">
        <v>91</v>
      </c>
      <c r="H202" s="4" t="s">
        <v>92</v>
      </c>
      <c r="I202" s="4"/>
      <c r="J202" s="4"/>
      <c r="K202" s="4">
        <v>205</v>
      </c>
      <c r="L202" s="4">
        <v>14</v>
      </c>
      <c r="M202" s="4">
        <v>3</v>
      </c>
      <c r="N202" s="4" t="s">
        <v>3</v>
      </c>
      <c r="O202" s="4">
        <v>2</v>
      </c>
      <c r="P202" s="4"/>
      <c r="Q202" s="4"/>
      <c r="R202" s="4"/>
      <c r="S202" s="4"/>
      <c r="T202" s="4"/>
      <c r="U202" s="4"/>
      <c r="V202" s="4"/>
      <c r="W202" s="4"/>
    </row>
    <row r="203" spans="1:23">
      <c r="A203" s="4">
        <v>50</v>
      </c>
      <c r="B203" s="4">
        <v>0</v>
      </c>
      <c r="C203" s="4">
        <v>0</v>
      </c>
      <c r="D203" s="4">
        <v>1</v>
      </c>
      <c r="E203" s="4">
        <v>232</v>
      </c>
      <c r="F203" s="4">
        <f>ROUND(Source!BC187,O203)</f>
        <v>0</v>
      </c>
      <c r="G203" s="4" t="s">
        <v>93</v>
      </c>
      <c r="H203" s="4" t="s">
        <v>94</v>
      </c>
      <c r="I203" s="4"/>
      <c r="J203" s="4"/>
      <c r="K203" s="4">
        <v>232</v>
      </c>
      <c r="L203" s="4">
        <v>15</v>
      </c>
      <c r="M203" s="4">
        <v>3</v>
      </c>
      <c r="N203" s="4" t="s">
        <v>3</v>
      </c>
      <c r="O203" s="4">
        <v>2</v>
      </c>
      <c r="P203" s="4"/>
      <c r="Q203" s="4"/>
      <c r="R203" s="4"/>
      <c r="S203" s="4"/>
      <c r="T203" s="4"/>
      <c r="U203" s="4"/>
      <c r="V203" s="4"/>
      <c r="W203" s="4"/>
    </row>
    <row r="204" spans="1:23">
      <c r="A204" s="4">
        <v>50</v>
      </c>
      <c r="B204" s="4">
        <v>0</v>
      </c>
      <c r="C204" s="4">
        <v>0</v>
      </c>
      <c r="D204" s="4">
        <v>1</v>
      </c>
      <c r="E204" s="4">
        <v>214</v>
      </c>
      <c r="F204" s="4">
        <f>ROUND(Source!AS187,O204)</f>
        <v>0</v>
      </c>
      <c r="G204" s="4" t="s">
        <v>95</v>
      </c>
      <c r="H204" s="4" t="s">
        <v>96</v>
      </c>
      <c r="I204" s="4"/>
      <c r="J204" s="4"/>
      <c r="K204" s="4">
        <v>214</v>
      </c>
      <c r="L204" s="4">
        <v>16</v>
      </c>
      <c r="M204" s="4">
        <v>3</v>
      </c>
      <c r="N204" s="4" t="s">
        <v>3</v>
      </c>
      <c r="O204" s="4">
        <v>2</v>
      </c>
      <c r="P204" s="4"/>
      <c r="Q204" s="4"/>
      <c r="R204" s="4"/>
      <c r="S204" s="4"/>
      <c r="T204" s="4"/>
      <c r="U204" s="4"/>
      <c r="V204" s="4"/>
      <c r="W204" s="4"/>
    </row>
    <row r="205" spans="1:23">
      <c r="A205" s="4">
        <v>50</v>
      </c>
      <c r="B205" s="4">
        <v>0</v>
      </c>
      <c r="C205" s="4">
        <v>0</v>
      </c>
      <c r="D205" s="4">
        <v>1</v>
      </c>
      <c r="E205" s="4">
        <v>215</v>
      </c>
      <c r="F205" s="4">
        <f>ROUND(Source!AT187,O205)</f>
        <v>0</v>
      </c>
      <c r="G205" s="4" t="s">
        <v>97</v>
      </c>
      <c r="H205" s="4" t="s">
        <v>98</v>
      </c>
      <c r="I205" s="4"/>
      <c r="J205" s="4"/>
      <c r="K205" s="4">
        <v>215</v>
      </c>
      <c r="L205" s="4">
        <v>17</v>
      </c>
      <c r="M205" s="4">
        <v>3</v>
      </c>
      <c r="N205" s="4" t="s">
        <v>3</v>
      </c>
      <c r="O205" s="4">
        <v>2</v>
      </c>
      <c r="P205" s="4"/>
      <c r="Q205" s="4"/>
      <c r="R205" s="4"/>
      <c r="S205" s="4"/>
      <c r="T205" s="4"/>
      <c r="U205" s="4"/>
      <c r="V205" s="4"/>
      <c r="W205" s="4"/>
    </row>
    <row r="206" spans="1:23">
      <c r="A206" s="4">
        <v>50</v>
      </c>
      <c r="B206" s="4">
        <v>0</v>
      </c>
      <c r="C206" s="4">
        <v>0</v>
      </c>
      <c r="D206" s="4">
        <v>1</v>
      </c>
      <c r="E206" s="4">
        <v>217</v>
      </c>
      <c r="F206" s="4">
        <f>ROUND(Source!AU187,O206)</f>
        <v>142006.6</v>
      </c>
      <c r="G206" s="4" t="s">
        <v>99</v>
      </c>
      <c r="H206" s="4" t="s">
        <v>100</v>
      </c>
      <c r="I206" s="4"/>
      <c r="J206" s="4"/>
      <c r="K206" s="4">
        <v>217</v>
      </c>
      <c r="L206" s="4">
        <v>18</v>
      </c>
      <c r="M206" s="4">
        <v>3</v>
      </c>
      <c r="N206" s="4" t="s">
        <v>3</v>
      </c>
      <c r="O206" s="4">
        <v>2</v>
      </c>
      <c r="P206" s="4"/>
      <c r="Q206" s="4"/>
      <c r="R206" s="4"/>
      <c r="S206" s="4"/>
      <c r="T206" s="4"/>
      <c r="U206" s="4"/>
      <c r="V206" s="4"/>
      <c r="W206" s="4"/>
    </row>
    <row r="207" spans="1:23">
      <c r="A207" s="4">
        <v>50</v>
      </c>
      <c r="B207" s="4">
        <v>0</v>
      </c>
      <c r="C207" s="4">
        <v>0</v>
      </c>
      <c r="D207" s="4">
        <v>1</v>
      </c>
      <c r="E207" s="4">
        <v>230</v>
      </c>
      <c r="F207" s="4">
        <f>ROUND(Source!BA187,O207)</f>
        <v>0</v>
      </c>
      <c r="G207" s="4" t="s">
        <v>101</v>
      </c>
      <c r="H207" s="4" t="s">
        <v>102</v>
      </c>
      <c r="I207" s="4"/>
      <c r="J207" s="4"/>
      <c r="K207" s="4">
        <v>230</v>
      </c>
      <c r="L207" s="4">
        <v>19</v>
      </c>
      <c r="M207" s="4">
        <v>3</v>
      </c>
      <c r="N207" s="4" t="s">
        <v>3</v>
      </c>
      <c r="O207" s="4">
        <v>2</v>
      </c>
      <c r="P207" s="4"/>
      <c r="Q207" s="4"/>
      <c r="R207" s="4"/>
      <c r="S207" s="4"/>
      <c r="T207" s="4"/>
      <c r="U207" s="4"/>
      <c r="V207" s="4"/>
      <c r="W207" s="4"/>
    </row>
    <row r="208" spans="1:23">
      <c r="A208" s="4">
        <v>50</v>
      </c>
      <c r="B208" s="4">
        <v>0</v>
      </c>
      <c r="C208" s="4">
        <v>0</v>
      </c>
      <c r="D208" s="4">
        <v>1</v>
      </c>
      <c r="E208" s="4">
        <v>206</v>
      </c>
      <c r="F208" s="4">
        <f>ROUND(Source!T187,O208)</f>
        <v>0</v>
      </c>
      <c r="G208" s="4" t="s">
        <v>103</v>
      </c>
      <c r="H208" s="4" t="s">
        <v>104</v>
      </c>
      <c r="I208" s="4"/>
      <c r="J208" s="4"/>
      <c r="K208" s="4">
        <v>206</v>
      </c>
      <c r="L208" s="4">
        <v>20</v>
      </c>
      <c r="M208" s="4">
        <v>3</v>
      </c>
      <c r="N208" s="4" t="s">
        <v>3</v>
      </c>
      <c r="O208" s="4">
        <v>2</v>
      </c>
      <c r="P208" s="4"/>
      <c r="Q208" s="4"/>
      <c r="R208" s="4"/>
      <c r="S208" s="4"/>
      <c r="T208" s="4"/>
      <c r="U208" s="4"/>
      <c r="V208" s="4"/>
      <c r="W208" s="4"/>
    </row>
    <row r="209" spans="1:245">
      <c r="A209" s="4">
        <v>50</v>
      </c>
      <c r="B209" s="4">
        <v>0</v>
      </c>
      <c r="C209" s="4">
        <v>0</v>
      </c>
      <c r="D209" s="4">
        <v>1</v>
      </c>
      <c r="E209" s="4">
        <v>207</v>
      </c>
      <c r="F209" s="4">
        <f>Source!U187</f>
        <v>83.030704</v>
      </c>
      <c r="G209" s="4" t="s">
        <v>105</v>
      </c>
      <c r="H209" s="4" t="s">
        <v>106</v>
      </c>
      <c r="I209" s="4"/>
      <c r="J209" s="4"/>
      <c r="K209" s="4">
        <v>207</v>
      </c>
      <c r="L209" s="4">
        <v>21</v>
      </c>
      <c r="M209" s="4">
        <v>3</v>
      </c>
      <c r="N209" s="4" t="s">
        <v>3</v>
      </c>
      <c r="O209" s="4">
        <v>-1</v>
      </c>
      <c r="P209" s="4"/>
      <c r="Q209" s="4"/>
      <c r="R209" s="4"/>
      <c r="S209" s="4"/>
      <c r="T209" s="4"/>
      <c r="U209" s="4"/>
      <c r="V209" s="4"/>
      <c r="W209" s="4"/>
    </row>
    <row r="210" spans="1:245">
      <c r="A210" s="4">
        <v>50</v>
      </c>
      <c r="B210" s="4">
        <v>0</v>
      </c>
      <c r="C210" s="4">
        <v>0</v>
      </c>
      <c r="D210" s="4">
        <v>1</v>
      </c>
      <c r="E210" s="4">
        <v>208</v>
      </c>
      <c r="F210" s="4">
        <f>Source!V187</f>
        <v>0</v>
      </c>
      <c r="G210" s="4" t="s">
        <v>107</v>
      </c>
      <c r="H210" s="4" t="s">
        <v>108</v>
      </c>
      <c r="I210" s="4"/>
      <c r="J210" s="4"/>
      <c r="K210" s="4">
        <v>208</v>
      </c>
      <c r="L210" s="4">
        <v>22</v>
      </c>
      <c r="M210" s="4">
        <v>3</v>
      </c>
      <c r="N210" s="4" t="s">
        <v>3</v>
      </c>
      <c r="O210" s="4">
        <v>-1</v>
      </c>
      <c r="P210" s="4"/>
      <c r="Q210" s="4"/>
      <c r="R210" s="4"/>
      <c r="S210" s="4"/>
      <c r="T210" s="4"/>
      <c r="U210" s="4"/>
      <c r="V210" s="4"/>
      <c r="W210" s="4"/>
    </row>
    <row r="211" spans="1:245">
      <c r="A211" s="4">
        <v>50</v>
      </c>
      <c r="B211" s="4">
        <v>0</v>
      </c>
      <c r="C211" s="4">
        <v>0</v>
      </c>
      <c r="D211" s="4">
        <v>1</v>
      </c>
      <c r="E211" s="4">
        <v>209</v>
      </c>
      <c r="F211" s="4">
        <f>ROUND(Source!W187,O211)</f>
        <v>0</v>
      </c>
      <c r="G211" s="4" t="s">
        <v>109</v>
      </c>
      <c r="H211" s="4" t="s">
        <v>110</v>
      </c>
      <c r="I211" s="4"/>
      <c r="J211" s="4"/>
      <c r="K211" s="4">
        <v>209</v>
      </c>
      <c r="L211" s="4">
        <v>23</v>
      </c>
      <c r="M211" s="4">
        <v>3</v>
      </c>
      <c r="N211" s="4" t="s">
        <v>3</v>
      </c>
      <c r="O211" s="4">
        <v>2</v>
      </c>
      <c r="P211" s="4"/>
      <c r="Q211" s="4"/>
      <c r="R211" s="4"/>
      <c r="S211" s="4"/>
      <c r="T211" s="4"/>
      <c r="U211" s="4"/>
      <c r="V211" s="4"/>
      <c r="W211" s="4"/>
    </row>
    <row r="212" spans="1:245">
      <c r="A212" s="4">
        <v>50</v>
      </c>
      <c r="B212" s="4">
        <v>0</v>
      </c>
      <c r="C212" s="4">
        <v>0</v>
      </c>
      <c r="D212" s="4">
        <v>1</v>
      </c>
      <c r="E212" s="4">
        <v>210</v>
      </c>
      <c r="F212" s="4">
        <f>ROUND(Source!X187,O212)</f>
        <v>11883.16</v>
      </c>
      <c r="G212" s="4" t="s">
        <v>111</v>
      </c>
      <c r="H212" s="4" t="s">
        <v>112</v>
      </c>
      <c r="I212" s="4"/>
      <c r="J212" s="4"/>
      <c r="K212" s="4">
        <v>210</v>
      </c>
      <c r="L212" s="4">
        <v>24</v>
      </c>
      <c r="M212" s="4">
        <v>3</v>
      </c>
      <c r="N212" s="4" t="s">
        <v>3</v>
      </c>
      <c r="O212" s="4">
        <v>2</v>
      </c>
      <c r="P212" s="4"/>
      <c r="Q212" s="4"/>
      <c r="R212" s="4"/>
      <c r="S212" s="4"/>
      <c r="T212" s="4"/>
      <c r="U212" s="4"/>
      <c r="V212" s="4"/>
      <c r="W212" s="4"/>
    </row>
    <row r="213" spans="1:245">
      <c r="A213" s="4">
        <v>50</v>
      </c>
      <c r="B213" s="4">
        <v>0</v>
      </c>
      <c r="C213" s="4">
        <v>0</v>
      </c>
      <c r="D213" s="4">
        <v>1</v>
      </c>
      <c r="E213" s="4">
        <v>211</v>
      </c>
      <c r="F213" s="4">
        <f>ROUND(Source!Y187,O213)</f>
        <v>1697.6</v>
      </c>
      <c r="G213" s="4" t="s">
        <v>113</v>
      </c>
      <c r="H213" s="4" t="s">
        <v>114</v>
      </c>
      <c r="I213" s="4"/>
      <c r="J213" s="4"/>
      <c r="K213" s="4">
        <v>211</v>
      </c>
      <c r="L213" s="4">
        <v>25</v>
      </c>
      <c r="M213" s="4">
        <v>3</v>
      </c>
      <c r="N213" s="4" t="s">
        <v>3</v>
      </c>
      <c r="O213" s="4">
        <v>2</v>
      </c>
      <c r="P213" s="4"/>
      <c r="Q213" s="4"/>
      <c r="R213" s="4"/>
      <c r="S213" s="4"/>
      <c r="T213" s="4"/>
      <c r="U213" s="4"/>
      <c r="V213" s="4"/>
      <c r="W213" s="4"/>
    </row>
    <row r="214" spans="1:245">
      <c r="A214" s="4">
        <v>50</v>
      </c>
      <c r="B214" s="4">
        <v>0</v>
      </c>
      <c r="C214" s="4">
        <v>0</v>
      </c>
      <c r="D214" s="4">
        <v>1</v>
      </c>
      <c r="E214" s="4">
        <v>224</v>
      </c>
      <c r="F214" s="4">
        <f>ROUND(Source!AR187,O214)</f>
        <v>142006.6</v>
      </c>
      <c r="G214" s="4" t="s">
        <v>115</v>
      </c>
      <c r="H214" s="4" t="s">
        <v>116</v>
      </c>
      <c r="I214" s="4"/>
      <c r="J214" s="4"/>
      <c r="K214" s="4">
        <v>224</v>
      </c>
      <c r="L214" s="4">
        <v>26</v>
      </c>
      <c r="M214" s="4">
        <v>3</v>
      </c>
      <c r="N214" s="4" t="s">
        <v>3</v>
      </c>
      <c r="O214" s="4">
        <v>2</v>
      </c>
      <c r="P214" s="4"/>
      <c r="Q214" s="4"/>
      <c r="R214" s="4"/>
      <c r="S214" s="4"/>
      <c r="T214" s="4"/>
      <c r="U214" s="4"/>
      <c r="V214" s="4"/>
      <c r="W214" s="4"/>
    </row>
    <row r="215" spans="1:245">
      <c r="A215" s="4">
        <v>50</v>
      </c>
      <c r="B215" s="4">
        <v>1</v>
      </c>
      <c r="C215" s="4">
        <v>0</v>
      </c>
      <c r="D215" s="4">
        <v>2</v>
      </c>
      <c r="E215" s="4">
        <v>0</v>
      </c>
      <c r="F215" s="4">
        <f>ROUND(F214,O215)</f>
        <v>142006.6</v>
      </c>
      <c r="G215" s="4" t="s">
        <v>4</v>
      </c>
      <c r="H215" s="4" t="s">
        <v>117</v>
      </c>
      <c r="I215" s="4"/>
      <c r="J215" s="4"/>
      <c r="K215" s="4">
        <v>212</v>
      </c>
      <c r="L215" s="4">
        <v>27</v>
      </c>
      <c r="M215" s="4">
        <v>0</v>
      </c>
      <c r="N215" s="4" t="s">
        <v>3</v>
      </c>
      <c r="O215" s="4">
        <v>2</v>
      </c>
      <c r="P215" s="4"/>
      <c r="Q215" s="4"/>
      <c r="R215" s="4"/>
      <c r="S215" s="4"/>
      <c r="T215" s="4"/>
      <c r="U215" s="4"/>
      <c r="V215" s="4"/>
      <c r="W215" s="4"/>
    </row>
    <row r="216" spans="1:245">
      <c r="A216" s="4">
        <v>50</v>
      </c>
      <c r="B216" s="4">
        <v>1</v>
      </c>
      <c r="C216" s="4">
        <v>0</v>
      </c>
      <c r="D216" s="4">
        <v>2</v>
      </c>
      <c r="E216" s="4">
        <v>0</v>
      </c>
      <c r="F216" s="4">
        <f>ROUND(F215*0.2,O216)</f>
        <v>28401.32</v>
      </c>
      <c r="G216" s="4" t="s">
        <v>23</v>
      </c>
      <c r="H216" s="4" t="s">
        <v>118</v>
      </c>
      <c r="I216" s="4"/>
      <c r="J216" s="4"/>
      <c r="K216" s="4">
        <v>212</v>
      </c>
      <c r="L216" s="4">
        <v>28</v>
      </c>
      <c r="M216" s="4">
        <v>0</v>
      </c>
      <c r="N216" s="4" t="s">
        <v>3</v>
      </c>
      <c r="O216" s="4">
        <v>2</v>
      </c>
      <c r="P216" s="4"/>
      <c r="Q216" s="4"/>
      <c r="R216" s="4"/>
      <c r="S216" s="4"/>
      <c r="T216" s="4"/>
      <c r="U216" s="4"/>
      <c r="V216" s="4"/>
      <c r="W216" s="4"/>
    </row>
    <row r="217" spans="1:245">
      <c r="A217" s="4">
        <v>50</v>
      </c>
      <c r="B217" s="4">
        <v>1</v>
      </c>
      <c r="C217" s="4">
        <v>0</v>
      </c>
      <c r="D217" s="4">
        <v>2</v>
      </c>
      <c r="E217" s="4">
        <v>0</v>
      </c>
      <c r="F217" s="4">
        <f>ROUND(F215+F216,O217)</f>
        <v>170407.92</v>
      </c>
      <c r="G217" s="4" t="s">
        <v>27</v>
      </c>
      <c r="H217" s="4" t="s">
        <v>119</v>
      </c>
      <c r="I217" s="4"/>
      <c r="J217" s="4"/>
      <c r="K217" s="4">
        <v>212</v>
      </c>
      <c r="L217" s="4">
        <v>29</v>
      </c>
      <c r="M217" s="4">
        <v>0</v>
      </c>
      <c r="N217" s="4" t="s">
        <v>3</v>
      </c>
      <c r="O217" s="4">
        <v>2</v>
      </c>
      <c r="P217" s="4"/>
      <c r="Q217" s="4"/>
      <c r="R217" s="4"/>
      <c r="S217" s="4"/>
      <c r="T217" s="4"/>
      <c r="U217" s="4"/>
      <c r="V217" s="4"/>
      <c r="W217" s="4"/>
    </row>
    <row r="219" spans="1:245">
      <c r="A219" s="1">
        <v>4</v>
      </c>
      <c r="B219" s="1">
        <v>1</v>
      </c>
      <c r="C219" s="1"/>
      <c r="D219" s="1">
        <f>ROW(A227)</f>
        <v>227</v>
      </c>
      <c r="E219" s="1"/>
      <c r="F219" s="1" t="s">
        <v>14</v>
      </c>
      <c r="G219" s="1" t="s">
        <v>212</v>
      </c>
      <c r="H219" s="1" t="s">
        <v>3</v>
      </c>
      <c r="I219" s="1">
        <v>0</v>
      </c>
      <c r="J219" s="1"/>
      <c r="K219" s="1">
        <v>0</v>
      </c>
      <c r="L219" s="1"/>
      <c r="M219" s="1"/>
      <c r="N219" s="1"/>
      <c r="O219" s="1"/>
      <c r="P219" s="1"/>
      <c r="Q219" s="1"/>
      <c r="R219" s="1"/>
      <c r="S219" s="1"/>
      <c r="T219" s="1"/>
      <c r="U219" s="1" t="s">
        <v>3</v>
      </c>
      <c r="V219" s="1">
        <v>0</v>
      </c>
      <c r="W219" s="1"/>
      <c r="X219" s="1"/>
      <c r="Y219" s="1"/>
      <c r="Z219" s="1"/>
      <c r="AA219" s="1"/>
      <c r="AB219" s="1" t="s">
        <v>3</v>
      </c>
      <c r="AC219" s="1" t="s">
        <v>3</v>
      </c>
      <c r="AD219" s="1" t="s">
        <v>3</v>
      </c>
      <c r="AE219" s="1" t="s">
        <v>3</v>
      </c>
      <c r="AF219" s="1" t="s">
        <v>3</v>
      </c>
      <c r="AG219" s="1" t="s">
        <v>3</v>
      </c>
      <c r="AH219" s="1"/>
      <c r="AI219" s="1"/>
      <c r="AJ219" s="1"/>
      <c r="AK219" s="1"/>
      <c r="AL219" s="1"/>
      <c r="AM219" s="1"/>
      <c r="AN219" s="1"/>
      <c r="AO219" s="1"/>
      <c r="AP219" s="1" t="s">
        <v>3</v>
      </c>
      <c r="AQ219" s="1" t="s">
        <v>3</v>
      </c>
      <c r="AR219" s="1" t="s">
        <v>3</v>
      </c>
      <c r="AS219" s="1"/>
      <c r="AT219" s="1"/>
      <c r="AU219" s="1"/>
      <c r="AV219" s="1"/>
      <c r="AW219" s="1"/>
      <c r="AX219" s="1"/>
      <c r="AY219" s="1"/>
      <c r="AZ219" s="1" t="s">
        <v>3</v>
      </c>
      <c r="BA219" s="1"/>
      <c r="BB219" s="1" t="s">
        <v>3</v>
      </c>
      <c r="BC219" s="1" t="s">
        <v>3</v>
      </c>
      <c r="BD219" s="1" t="s">
        <v>3</v>
      </c>
      <c r="BE219" s="1" t="s">
        <v>3</v>
      </c>
      <c r="BF219" s="1" t="s">
        <v>3</v>
      </c>
      <c r="BG219" s="1" t="s">
        <v>3</v>
      </c>
      <c r="BH219" s="1" t="s">
        <v>3</v>
      </c>
      <c r="BI219" s="1" t="s">
        <v>3</v>
      </c>
      <c r="BJ219" s="1" t="s">
        <v>3</v>
      </c>
      <c r="BK219" s="1" t="s">
        <v>3</v>
      </c>
      <c r="BL219" s="1" t="s">
        <v>3</v>
      </c>
      <c r="BM219" s="1" t="s">
        <v>3</v>
      </c>
      <c r="BN219" s="1" t="s">
        <v>3</v>
      </c>
      <c r="BO219" s="1" t="s">
        <v>3</v>
      </c>
      <c r="BP219" s="1" t="s">
        <v>3</v>
      </c>
      <c r="BQ219" s="1"/>
      <c r="BR219" s="1"/>
      <c r="BS219" s="1"/>
      <c r="BT219" s="1"/>
      <c r="BU219" s="1"/>
      <c r="BV219" s="1"/>
      <c r="BW219" s="1"/>
      <c r="BX219" s="1">
        <v>0</v>
      </c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>
        <v>0</v>
      </c>
    </row>
    <row r="221" spans="1:245">
      <c r="A221" s="2">
        <v>52</v>
      </c>
      <c r="B221" s="2">
        <f t="shared" ref="B221:G221" si="205">B227</f>
        <v>1</v>
      </c>
      <c r="C221" s="2">
        <f t="shared" si="205"/>
        <v>4</v>
      </c>
      <c r="D221" s="2">
        <f t="shared" si="205"/>
        <v>219</v>
      </c>
      <c r="E221" s="2">
        <f t="shared" si="205"/>
        <v>0</v>
      </c>
      <c r="F221" s="2" t="str">
        <f t="shared" si="205"/>
        <v>Новый раздел</v>
      </c>
      <c r="G221" s="2" t="str">
        <f t="shared" si="205"/>
        <v>Декоративное украшение территори озеленения</v>
      </c>
      <c r="H221" s="2"/>
      <c r="I221" s="2"/>
      <c r="J221" s="2"/>
      <c r="K221" s="2"/>
      <c r="L221" s="2"/>
      <c r="M221" s="2"/>
      <c r="N221" s="2"/>
      <c r="O221" s="2">
        <f t="shared" ref="O221:AT221" si="206">O227</f>
        <v>57783.48</v>
      </c>
      <c r="P221" s="2">
        <f t="shared" si="206"/>
        <v>44530.76</v>
      </c>
      <c r="Q221" s="2">
        <f t="shared" si="206"/>
        <v>381.41</v>
      </c>
      <c r="R221" s="2">
        <f t="shared" si="206"/>
        <v>234.17</v>
      </c>
      <c r="S221" s="2">
        <f t="shared" si="206"/>
        <v>12871.31</v>
      </c>
      <c r="T221" s="2">
        <f t="shared" si="206"/>
        <v>0</v>
      </c>
      <c r="U221" s="2">
        <f t="shared" si="206"/>
        <v>63.763500000000001</v>
      </c>
      <c r="V221" s="2">
        <f t="shared" si="206"/>
        <v>0</v>
      </c>
      <c r="W221" s="2">
        <f t="shared" si="206"/>
        <v>0</v>
      </c>
      <c r="X221" s="2">
        <f t="shared" si="206"/>
        <v>9009.92</v>
      </c>
      <c r="Y221" s="2">
        <f t="shared" si="206"/>
        <v>1287.1300000000001</v>
      </c>
      <c r="Z221" s="2">
        <f t="shared" si="206"/>
        <v>0</v>
      </c>
      <c r="AA221" s="2">
        <f t="shared" si="206"/>
        <v>0</v>
      </c>
      <c r="AB221" s="2">
        <f t="shared" si="206"/>
        <v>57783.48</v>
      </c>
      <c r="AC221" s="2">
        <f t="shared" si="206"/>
        <v>44530.76</v>
      </c>
      <c r="AD221" s="2">
        <f t="shared" si="206"/>
        <v>381.41</v>
      </c>
      <c r="AE221" s="2">
        <f t="shared" si="206"/>
        <v>234.17</v>
      </c>
      <c r="AF221" s="2">
        <f t="shared" si="206"/>
        <v>12871.31</v>
      </c>
      <c r="AG221" s="2">
        <f t="shared" si="206"/>
        <v>0</v>
      </c>
      <c r="AH221" s="2">
        <f t="shared" si="206"/>
        <v>63.763500000000001</v>
      </c>
      <c r="AI221" s="2">
        <f t="shared" si="206"/>
        <v>0</v>
      </c>
      <c r="AJ221" s="2">
        <f t="shared" si="206"/>
        <v>0</v>
      </c>
      <c r="AK221" s="2">
        <f t="shared" si="206"/>
        <v>9009.92</v>
      </c>
      <c r="AL221" s="2">
        <f t="shared" si="206"/>
        <v>1287.1300000000001</v>
      </c>
      <c r="AM221" s="2">
        <f t="shared" si="206"/>
        <v>0</v>
      </c>
      <c r="AN221" s="2">
        <f t="shared" si="206"/>
        <v>0</v>
      </c>
      <c r="AO221" s="2">
        <f t="shared" si="206"/>
        <v>0</v>
      </c>
      <c r="AP221" s="2">
        <f t="shared" si="206"/>
        <v>0</v>
      </c>
      <c r="AQ221" s="2">
        <f t="shared" si="206"/>
        <v>0</v>
      </c>
      <c r="AR221" s="2">
        <f t="shared" si="206"/>
        <v>68333.429999999993</v>
      </c>
      <c r="AS221" s="2">
        <f t="shared" si="206"/>
        <v>0</v>
      </c>
      <c r="AT221" s="2">
        <f t="shared" si="206"/>
        <v>0</v>
      </c>
      <c r="AU221" s="2">
        <f t="shared" ref="AU221:BZ221" si="207">AU227</f>
        <v>68333.429999999993</v>
      </c>
      <c r="AV221" s="2">
        <f t="shared" si="207"/>
        <v>44530.76</v>
      </c>
      <c r="AW221" s="2">
        <f t="shared" si="207"/>
        <v>44530.76</v>
      </c>
      <c r="AX221" s="2">
        <f t="shared" si="207"/>
        <v>0</v>
      </c>
      <c r="AY221" s="2">
        <f t="shared" si="207"/>
        <v>44530.76</v>
      </c>
      <c r="AZ221" s="2">
        <f t="shared" si="207"/>
        <v>0</v>
      </c>
      <c r="BA221" s="2">
        <f t="shared" si="207"/>
        <v>0</v>
      </c>
      <c r="BB221" s="2">
        <f t="shared" si="207"/>
        <v>0</v>
      </c>
      <c r="BC221" s="2">
        <f t="shared" si="207"/>
        <v>0</v>
      </c>
      <c r="BD221" s="2">
        <f t="shared" si="207"/>
        <v>0</v>
      </c>
      <c r="BE221" s="2">
        <f t="shared" si="207"/>
        <v>0</v>
      </c>
      <c r="BF221" s="2">
        <f t="shared" si="207"/>
        <v>0</v>
      </c>
      <c r="BG221" s="2">
        <f t="shared" si="207"/>
        <v>0</v>
      </c>
      <c r="BH221" s="2">
        <f t="shared" si="207"/>
        <v>0</v>
      </c>
      <c r="BI221" s="2">
        <f t="shared" si="207"/>
        <v>0</v>
      </c>
      <c r="BJ221" s="2">
        <f t="shared" si="207"/>
        <v>0</v>
      </c>
      <c r="BK221" s="2">
        <f t="shared" si="207"/>
        <v>0</v>
      </c>
      <c r="BL221" s="2">
        <f t="shared" si="207"/>
        <v>0</v>
      </c>
      <c r="BM221" s="2">
        <f t="shared" si="207"/>
        <v>0</v>
      </c>
      <c r="BN221" s="2">
        <f t="shared" si="207"/>
        <v>0</v>
      </c>
      <c r="BO221" s="2">
        <f t="shared" si="207"/>
        <v>0</v>
      </c>
      <c r="BP221" s="2">
        <f t="shared" si="207"/>
        <v>0</v>
      </c>
      <c r="BQ221" s="2">
        <f t="shared" si="207"/>
        <v>0</v>
      </c>
      <c r="BR221" s="2">
        <f t="shared" si="207"/>
        <v>0</v>
      </c>
      <c r="BS221" s="2">
        <f t="shared" si="207"/>
        <v>0</v>
      </c>
      <c r="BT221" s="2">
        <f t="shared" si="207"/>
        <v>0</v>
      </c>
      <c r="BU221" s="2">
        <f t="shared" si="207"/>
        <v>0</v>
      </c>
      <c r="BV221" s="2">
        <f t="shared" si="207"/>
        <v>0</v>
      </c>
      <c r="BW221" s="2">
        <f t="shared" si="207"/>
        <v>0</v>
      </c>
      <c r="BX221" s="2">
        <f t="shared" si="207"/>
        <v>0</v>
      </c>
      <c r="BY221" s="2">
        <f t="shared" si="207"/>
        <v>0</v>
      </c>
      <c r="BZ221" s="2">
        <f t="shared" si="207"/>
        <v>0</v>
      </c>
      <c r="CA221" s="2">
        <f t="shared" ref="CA221:DF221" si="208">CA227</f>
        <v>68333.429999999993</v>
      </c>
      <c r="CB221" s="2">
        <f t="shared" si="208"/>
        <v>0</v>
      </c>
      <c r="CC221" s="2">
        <f t="shared" si="208"/>
        <v>0</v>
      </c>
      <c r="CD221" s="2">
        <f t="shared" si="208"/>
        <v>68333.429999999993</v>
      </c>
      <c r="CE221" s="2">
        <f t="shared" si="208"/>
        <v>44530.76</v>
      </c>
      <c r="CF221" s="2">
        <f t="shared" si="208"/>
        <v>44530.76</v>
      </c>
      <c r="CG221" s="2">
        <f t="shared" si="208"/>
        <v>0</v>
      </c>
      <c r="CH221" s="2">
        <f t="shared" si="208"/>
        <v>44530.76</v>
      </c>
      <c r="CI221" s="2">
        <f t="shared" si="208"/>
        <v>0</v>
      </c>
      <c r="CJ221" s="2">
        <f t="shared" si="208"/>
        <v>0</v>
      </c>
      <c r="CK221" s="2">
        <f t="shared" si="208"/>
        <v>0</v>
      </c>
      <c r="CL221" s="2">
        <f t="shared" si="208"/>
        <v>0</v>
      </c>
      <c r="CM221" s="2">
        <f t="shared" si="208"/>
        <v>0</v>
      </c>
      <c r="CN221" s="2">
        <f t="shared" si="208"/>
        <v>0</v>
      </c>
      <c r="CO221" s="2">
        <f t="shared" si="208"/>
        <v>0</v>
      </c>
      <c r="CP221" s="2">
        <f t="shared" si="208"/>
        <v>0</v>
      </c>
      <c r="CQ221" s="2">
        <f t="shared" si="208"/>
        <v>0</v>
      </c>
      <c r="CR221" s="2">
        <f t="shared" si="208"/>
        <v>0</v>
      </c>
      <c r="CS221" s="2">
        <f t="shared" si="208"/>
        <v>0</v>
      </c>
      <c r="CT221" s="2">
        <f t="shared" si="208"/>
        <v>0</v>
      </c>
      <c r="CU221" s="2">
        <f t="shared" si="208"/>
        <v>0</v>
      </c>
      <c r="CV221" s="2">
        <f t="shared" si="208"/>
        <v>0</v>
      </c>
      <c r="CW221" s="2">
        <f t="shared" si="208"/>
        <v>0</v>
      </c>
      <c r="CX221" s="2">
        <f t="shared" si="208"/>
        <v>0</v>
      </c>
      <c r="CY221" s="2">
        <f t="shared" si="208"/>
        <v>0</v>
      </c>
      <c r="CZ221" s="2">
        <f t="shared" si="208"/>
        <v>0</v>
      </c>
      <c r="DA221" s="2">
        <f t="shared" si="208"/>
        <v>0</v>
      </c>
      <c r="DB221" s="2">
        <f t="shared" si="208"/>
        <v>0</v>
      </c>
      <c r="DC221" s="2">
        <f t="shared" si="208"/>
        <v>0</v>
      </c>
      <c r="DD221" s="2">
        <f t="shared" si="208"/>
        <v>0</v>
      </c>
      <c r="DE221" s="2">
        <f t="shared" si="208"/>
        <v>0</v>
      </c>
      <c r="DF221" s="2">
        <f t="shared" si="208"/>
        <v>0</v>
      </c>
      <c r="DG221" s="3">
        <f t="shared" ref="DG221:EL221" si="209">DG227</f>
        <v>0</v>
      </c>
      <c r="DH221" s="3">
        <f t="shared" si="209"/>
        <v>0</v>
      </c>
      <c r="DI221" s="3">
        <f t="shared" si="209"/>
        <v>0</v>
      </c>
      <c r="DJ221" s="3">
        <f t="shared" si="209"/>
        <v>0</v>
      </c>
      <c r="DK221" s="3">
        <f t="shared" si="209"/>
        <v>0</v>
      </c>
      <c r="DL221" s="3">
        <f t="shared" si="209"/>
        <v>0</v>
      </c>
      <c r="DM221" s="3">
        <f t="shared" si="209"/>
        <v>0</v>
      </c>
      <c r="DN221" s="3">
        <f t="shared" si="209"/>
        <v>0</v>
      </c>
      <c r="DO221" s="3">
        <f t="shared" si="209"/>
        <v>0</v>
      </c>
      <c r="DP221" s="3">
        <f t="shared" si="209"/>
        <v>0</v>
      </c>
      <c r="DQ221" s="3">
        <f t="shared" si="209"/>
        <v>0</v>
      </c>
      <c r="DR221" s="3">
        <f t="shared" si="209"/>
        <v>0</v>
      </c>
      <c r="DS221" s="3">
        <f t="shared" si="209"/>
        <v>0</v>
      </c>
      <c r="DT221" s="3">
        <f t="shared" si="209"/>
        <v>0</v>
      </c>
      <c r="DU221" s="3">
        <f t="shared" si="209"/>
        <v>0</v>
      </c>
      <c r="DV221" s="3">
        <f t="shared" si="209"/>
        <v>0</v>
      </c>
      <c r="DW221" s="3">
        <f t="shared" si="209"/>
        <v>0</v>
      </c>
      <c r="DX221" s="3">
        <f t="shared" si="209"/>
        <v>0</v>
      </c>
      <c r="DY221" s="3">
        <f t="shared" si="209"/>
        <v>0</v>
      </c>
      <c r="DZ221" s="3">
        <f t="shared" si="209"/>
        <v>0</v>
      </c>
      <c r="EA221" s="3">
        <f t="shared" si="209"/>
        <v>0</v>
      </c>
      <c r="EB221" s="3">
        <f t="shared" si="209"/>
        <v>0</v>
      </c>
      <c r="EC221" s="3">
        <f t="shared" si="209"/>
        <v>0</v>
      </c>
      <c r="ED221" s="3">
        <f t="shared" si="209"/>
        <v>0</v>
      </c>
      <c r="EE221" s="3">
        <f t="shared" si="209"/>
        <v>0</v>
      </c>
      <c r="EF221" s="3">
        <f t="shared" si="209"/>
        <v>0</v>
      </c>
      <c r="EG221" s="3">
        <f t="shared" si="209"/>
        <v>0</v>
      </c>
      <c r="EH221" s="3">
        <f t="shared" si="209"/>
        <v>0</v>
      </c>
      <c r="EI221" s="3">
        <f t="shared" si="209"/>
        <v>0</v>
      </c>
      <c r="EJ221" s="3">
        <f t="shared" si="209"/>
        <v>0</v>
      </c>
      <c r="EK221" s="3">
        <f t="shared" si="209"/>
        <v>0</v>
      </c>
      <c r="EL221" s="3">
        <f t="shared" si="209"/>
        <v>0</v>
      </c>
      <c r="EM221" s="3">
        <f t="shared" ref="EM221:FR221" si="210">EM227</f>
        <v>0</v>
      </c>
      <c r="EN221" s="3">
        <f t="shared" si="210"/>
        <v>0</v>
      </c>
      <c r="EO221" s="3">
        <f t="shared" si="210"/>
        <v>0</v>
      </c>
      <c r="EP221" s="3">
        <f t="shared" si="210"/>
        <v>0</v>
      </c>
      <c r="EQ221" s="3">
        <f t="shared" si="210"/>
        <v>0</v>
      </c>
      <c r="ER221" s="3">
        <f t="shared" si="210"/>
        <v>0</v>
      </c>
      <c r="ES221" s="3">
        <f t="shared" si="210"/>
        <v>0</v>
      </c>
      <c r="ET221" s="3">
        <f t="shared" si="210"/>
        <v>0</v>
      </c>
      <c r="EU221" s="3">
        <f t="shared" si="210"/>
        <v>0</v>
      </c>
      <c r="EV221" s="3">
        <f t="shared" si="210"/>
        <v>0</v>
      </c>
      <c r="EW221" s="3">
        <f t="shared" si="210"/>
        <v>0</v>
      </c>
      <c r="EX221" s="3">
        <f t="shared" si="210"/>
        <v>0</v>
      </c>
      <c r="EY221" s="3">
        <f t="shared" si="210"/>
        <v>0</v>
      </c>
      <c r="EZ221" s="3">
        <f t="shared" si="210"/>
        <v>0</v>
      </c>
      <c r="FA221" s="3">
        <f t="shared" si="210"/>
        <v>0</v>
      </c>
      <c r="FB221" s="3">
        <f t="shared" si="210"/>
        <v>0</v>
      </c>
      <c r="FC221" s="3">
        <f t="shared" si="210"/>
        <v>0</v>
      </c>
      <c r="FD221" s="3">
        <f t="shared" si="210"/>
        <v>0</v>
      </c>
      <c r="FE221" s="3">
        <f t="shared" si="210"/>
        <v>0</v>
      </c>
      <c r="FF221" s="3">
        <f t="shared" si="210"/>
        <v>0</v>
      </c>
      <c r="FG221" s="3">
        <f t="shared" si="210"/>
        <v>0</v>
      </c>
      <c r="FH221" s="3">
        <f t="shared" si="210"/>
        <v>0</v>
      </c>
      <c r="FI221" s="3">
        <f t="shared" si="210"/>
        <v>0</v>
      </c>
      <c r="FJ221" s="3">
        <f t="shared" si="210"/>
        <v>0</v>
      </c>
      <c r="FK221" s="3">
        <f t="shared" si="210"/>
        <v>0</v>
      </c>
      <c r="FL221" s="3">
        <f t="shared" si="210"/>
        <v>0</v>
      </c>
      <c r="FM221" s="3">
        <f t="shared" si="210"/>
        <v>0</v>
      </c>
      <c r="FN221" s="3">
        <f t="shared" si="210"/>
        <v>0</v>
      </c>
      <c r="FO221" s="3">
        <f t="shared" si="210"/>
        <v>0</v>
      </c>
      <c r="FP221" s="3">
        <f t="shared" si="210"/>
        <v>0</v>
      </c>
      <c r="FQ221" s="3">
        <f t="shared" si="210"/>
        <v>0</v>
      </c>
      <c r="FR221" s="3">
        <f t="shared" si="210"/>
        <v>0</v>
      </c>
      <c r="FS221" s="3">
        <f t="shared" ref="FS221:GX221" si="211">FS227</f>
        <v>0</v>
      </c>
      <c r="FT221" s="3">
        <f t="shared" si="211"/>
        <v>0</v>
      </c>
      <c r="FU221" s="3">
        <f t="shared" si="211"/>
        <v>0</v>
      </c>
      <c r="FV221" s="3">
        <f t="shared" si="211"/>
        <v>0</v>
      </c>
      <c r="FW221" s="3">
        <f t="shared" si="211"/>
        <v>0</v>
      </c>
      <c r="FX221" s="3">
        <f t="shared" si="211"/>
        <v>0</v>
      </c>
      <c r="FY221" s="3">
        <f t="shared" si="211"/>
        <v>0</v>
      </c>
      <c r="FZ221" s="3">
        <f t="shared" si="211"/>
        <v>0</v>
      </c>
      <c r="GA221" s="3">
        <f t="shared" si="211"/>
        <v>0</v>
      </c>
      <c r="GB221" s="3">
        <f t="shared" si="211"/>
        <v>0</v>
      </c>
      <c r="GC221" s="3">
        <f t="shared" si="211"/>
        <v>0</v>
      </c>
      <c r="GD221" s="3">
        <f t="shared" si="211"/>
        <v>0</v>
      </c>
      <c r="GE221" s="3">
        <f t="shared" si="211"/>
        <v>0</v>
      </c>
      <c r="GF221" s="3">
        <f t="shared" si="211"/>
        <v>0</v>
      </c>
      <c r="GG221" s="3">
        <f t="shared" si="211"/>
        <v>0</v>
      </c>
      <c r="GH221" s="3">
        <f t="shared" si="211"/>
        <v>0</v>
      </c>
      <c r="GI221" s="3">
        <f t="shared" si="211"/>
        <v>0</v>
      </c>
      <c r="GJ221" s="3">
        <f t="shared" si="211"/>
        <v>0</v>
      </c>
      <c r="GK221" s="3">
        <f t="shared" si="211"/>
        <v>0</v>
      </c>
      <c r="GL221" s="3">
        <f t="shared" si="211"/>
        <v>0</v>
      </c>
      <c r="GM221" s="3">
        <f t="shared" si="211"/>
        <v>0</v>
      </c>
      <c r="GN221" s="3">
        <f t="shared" si="211"/>
        <v>0</v>
      </c>
      <c r="GO221" s="3">
        <f t="shared" si="211"/>
        <v>0</v>
      </c>
      <c r="GP221" s="3">
        <f t="shared" si="211"/>
        <v>0</v>
      </c>
      <c r="GQ221" s="3">
        <f t="shared" si="211"/>
        <v>0</v>
      </c>
      <c r="GR221" s="3">
        <f t="shared" si="211"/>
        <v>0</v>
      </c>
      <c r="GS221" s="3">
        <f t="shared" si="211"/>
        <v>0</v>
      </c>
      <c r="GT221" s="3">
        <f t="shared" si="211"/>
        <v>0</v>
      </c>
      <c r="GU221" s="3">
        <f t="shared" si="211"/>
        <v>0</v>
      </c>
      <c r="GV221" s="3">
        <f t="shared" si="211"/>
        <v>0</v>
      </c>
      <c r="GW221" s="3">
        <f t="shared" si="211"/>
        <v>0</v>
      </c>
      <c r="GX221" s="3">
        <f t="shared" si="211"/>
        <v>0</v>
      </c>
    </row>
    <row r="223" spans="1:245">
      <c r="A223">
        <v>17</v>
      </c>
      <c r="B223">
        <v>1</v>
      </c>
      <c r="C223">
        <f>ROW(SmtRes!A98)</f>
        <v>98</v>
      </c>
      <c r="D223">
        <f>ROW(EtalonRes!A85)</f>
        <v>85</v>
      </c>
      <c r="E223" t="s">
        <v>213</v>
      </c>
      <c r="F223" t="s">
        <v>214</v>
      </c>
      <c r="G223" t="s">
        <v>215</v>
      </c>
      <c r="H223" t="s">
        <v>18</v>
      </c>
      <c r="I223">
        <f>ROUND(35/100,9)</f>
        <v>0.35</v>
      </c>
      <c r="J223">
        <v>0</v>
      </c>
      <c r="O223">
        <f>ROUND(CP223,2)</f>
        <v>1973.66</v>
      </c>
      <c r="P223">
        <f>ROUND(CQ223*I223,2)</f>
        <v>1834.98</v>
      </c>
      <c r="Q223">
        <f>ROUND(CR223*I223,2)</f>
        <v>0</v>
      </c>
      <c r="R223">
        <f>ROUND(CS223*I223,2)</f>
        <v>0</v>
      </c>
      <c r="S223">
        <f>ROUND(CT223*I223,2)</f>
        <v>138.68</v>
      </c>
      <c r="T223">
        <f>ROUND(CU223*I223,2)</f>
        <v>0</v>
      </c>
      <c r="U223">
        <f>CV223*I223</f>
        <v>0.68599999999999994</v>
      </c>
      <c r="V223">
        <f>CW223*I223</f>
        <v>0</v>
      </c>
      <c r="W223">
        <f>ROUND(CX223*I223,2)</f>
        <v>0</v>
      </c>
      <c r="X223">
        <f t="shared" ref="X223:Y225" si="212">ROUND(CY223,2)</f>
        <v>97.08</v>
      </c>
      <c r="Y223">
        <f t="shared" si="212"/>
        <v>13.87</v>
      </c>
      <c r="AA223">
        <v>42225948</v>
      </c>
      <c r="AB223">
        <f>ROUND((AC223+AD223+AF223),6)</f>
        <v>5639.03</v>
      </c>
      <c r="AC223">
        <f>ROUND((ES223),6)</f>
        <v>5242.8</v>
      </c>
      <c r="AD223">
        <f>ROUND((((ET223)-(EU223))+AE223),6)</f>
        <v>0</v>
      </c>
      <c r="AE223">
        <f>ROUND((EU223),6)</f>
        <v>0</v>
      </c>
      <c r="AF223">
        <f>ROUND((EV223),6)</f>
        <v>396.23</v>
      </c>
      <c r="AG223">
        <f>ROUND((AP223),6)</f>
        <v>0</v>
      </c>
      <c r="AH223">
        <f>(EW223)</f>
        <v>1.96</v>
      </c>
      <c r="AI223">
        <f>(EX223)</f>
        <v>0</v>
      </c>
      <c r="AJ223">
        <f>(AS223)</f>
        <v>0</v>
      </c>
      <c r="AK223">
        <v>5639.03</v>
      </c>
      <c r="AL223">
        <v>5242.8</v>
      </c>
      <c r="AM223">
        <v>0</v>
      </c>
      <c r="AN223">
        <v>0</v>
      </c>
      <c r="AO223">
        <v>396.23</v>
      </c>
      <c r="AP223">
        <v>0</v>
      </c>
      <c r="AQ223">
        <v>1.96</v>
      </c>
      <c r="AR223">
        <v>0</v>
      </c>
      <c r="AS223">
        <v>0</v>
      </c>
      <c r="AT223">
        <v>70</v>
      </c>
      <c r="AU223">
        <v>10</v>
      </c>
      <c r="AV223">
        <v>1</v>
      </c>
      <c r="AW223">
        <v>1</v>
      </c>
      <c r="AZ223">
        <v>1</v>
      </c>
      <c r="BA223">
        <v>1</v>
      </c>
      <c r="BB223">
        <v>1</v>
      </c>
      <c r="BC223">
        <v>1</v>
      </c>
      <c r="BD223" t="s">
        <v>3</v>
      </c>
      <c r="BE223" t="s">
        <v>3</v>
      </c>
      <c r="BF223" t="s">
        <v>3</v>
      </c>
      <c r="BG223" t="s">
        <v>3</v>
      </c>
      <c r="BH223">
        <v>0</v>
      </c>
      <c r="BI223">
        <v>4</v>
      </c>
      <c r="BJ223" t="s">
        <v>216</v>
      </c>
      <c r="BM223">
        <v>0</v>
      </c>
      <c r="BN223">
        <v>0</v>
      </c>
      <c r="BO223" t="s">
        <v>3</v>
      </c>
      <c r="BP223">
        <v>0</v>
      </c>
      <c r="BQ223">
        <v>1</v>
      </c>
      <c r="BR223">
        <v>0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 t="s">
        <v>3</v>
      </c>
      <c r="BZ223">
        <v>70</v>
      </c>
      <c r="CA223">
        <v>10</v>
      </c>
      <c r="CE223">
        <v>0</v>
      </c>
      <c r="CF223">
        <v>0</v>
      </c>
      <c r="CG223">
        <v>0</v>
      </c>
      <c r="CM223">
        <v>0</v>
      </c>
      <c r="CN223" t="s">
        <v>3</v>
      </c>
      <c r="CO223">
        <v>0</v>
      </c>
      <c r="CP223">
        <f>(P223+Q223+S223)</f>
        <v>1973.66</v>
      </c>
      <c r="CQ223">
        <f>(AC223*BC223*AW223)</f>
        <v>5242.8</v>
      </c>
      <c r="CR223">
        <f>((((ET223)*BB223-(EU223)*BS223)+AE223*BS223)*AV223)</f>
        <v>0</v>
      </c>
      <c r="CS223">
        <f>(AE223*BS223*AV223)</f>
        <v>0</v>
      </c>
      <c r="CT223">
        <f>(AF223*BA223*AV223)</f>
        <v>396.23</v>
      </c>
      <c r="CU223">
        <f>AG223</f>
        <v>0</v>
      </c>
      <c r="CV223">
        <f>(AH223*AV223)</f>
        <v>1.96</v>
      </c>
      <c r="CW223">
        <f t="shared" ref="CW223:CX225" si="213">AI223</f>
        <v>0</v>
      </c>
      <c r="CX223">
        <f t="shared" si="213"/>
        <v>0</v>
      </c>
      <c r="CY223">
        <f>((S223*BZ223)/100)</f>
        <v>97.076000000000008</v>
      </c>
      <c r="CZ223">
        <f>((S223*CA223)/100)</f>
        <v>13.868000000000002</v>
      </c>
      <c r="DC223" t="s">
        <v>3</v>
      </c>
      <c r="DD223" t="s">
        <v>3</v>
      </c>
      <c r="DE223" t="s">
        <v>3</v>
      </c>
      <c r="DF223" t="s">
        <v>3</v>
      </c>
      <c r="DG223" t="s">
        <v>3</v>
      </c>
      <c r="DH223" t="s">
        <v>3</v>
      </c>
      <c r="DI223" t="s">
        <v>3</v>
      </c>
      <c r="DJ223" t="s">
        <v>3</v>
      </c>
      <c r="DK223" t="s">
        <v>3</v>
      </c>
      <c r="DL223" t="s">
        <v>3</v>
      </c>
      <c r="DM223" t="s">
        <v>3</v>
      </c>
      <c r="DN223">
        <v>0</v>
      </c>
      <c r="DO223">
        <v>0</v>
      </c>
      <c r="DP223">
        <v>1</v>
      </c>
      <c r="DQ223">
        <v>1</v>
      </c>
      <c r="DU223">
        <v>1005</v>
      </c>
      <c r="DV223" t="s">
        <v>18</v>
      </c>
      <c r="DW223" t="s">
        <v>18</v>
      </c>
      <c r="DX223">
        <v>100</v>
      </c>
      <c r="EE223">
        <v>40050625</v>
      </c>
      <c r="EF223">
        <v>1</v>
      </c>
      <c r="EG223" t="s">
        <v>20</v>
      </c>
      <c r="EH223">
        <v>0</v>
      </c>
      <c r="EI223" t="s">
        <v>3</v>
      </c>
      <c r="EJ223">
        <v>4</v>
      </c>
      <c r="EK223">
        <v>0</v>
      </c>
      <c r="EL223" t="s">
        <v>21</v>
      </c>
      <c r="EM223" t="s">
        <v>22</v>
      </c>
      <c r="EO223" t="s">
        <v>3</v>
      </c>
      <c r="EQ223">
        <v>0</v>
      </c>
      <c r="ER223">
        <v>5639.03</v>
      </c>
      <c r="ES223">
        <v>5242.8</v>
      </c>
      <c r="ET223">
        <v>0</v>
      </c>
      <c r="EU223">
        <v>0</v>
      </c>
      <c r="EV223">
        <v>396.23</v>
      </c>
      <c r="EW223">
        <v>1.96</v>
      </c>
      <c r="EX223">
        <v>0</v>
      </c>
      <c r="EY223">
        <v>0</v>
      </c>
      <c r="FQ223">
        <v>0</v>
      </c>
      <c r="FR223">
        <f>ROUND(IF(AND(BH223=3,BI223=3),P223,0),2)</f>
        <v>0</v>
      </c>
      <c r="FS223">
        <v>0</v>
      </c>
      <c r="FX223">
        <v>70</v>
      </c>
      <c r="FY223">
        <v>10</v>
      </c>
      <c r="GA223" t="s">
        <v>3</v>
      </c>
      <c r="GD223">
        <v>0</v>
      </c>
      <c r="GF223">
        <v>-1041078693</v>
      </c>
      <c r="GG223">
        <v>2</v>
      </c>
      <c r="GH223">
        <v>1</v>
      </c>
      <c r="GI223">
        <v>-2</v>
      </c>
      <c r="GJ223">
        <v>0</v>
      </c>
      <c r="GK223">
        <f>ROUND(R223*(R12)/100,2)</f>
        <v>0</v>
      </c>
      <c r="GL223">
        <f>ROUND(IF(AND(BH223=3,BI223=3,FS223&lt;&gt;0),P223,0),2)</f>
        <v>0</v>
      </c>
      <c r="GM223">
        <f>ROUND(O223+X223+Y223+GK223,2)+GX223</f>
        <v>2084.61</v>
      </c>
      <c r="GN223">
        <f>IF(OR(BI223=0,BI223=1),ROUND(O223+X223+Y223+GK223,2),0)</f>
        <v>0</v>
      </c>
      <c r="GO223">
        <f>IF(BI223=2,ROUND(O223+X223+Y223+GK223,2),0)</f>
        <v>0</v>
      </c>
      <c r="GP223">
        <f>IF(BI223=4,ROUND(O223+X223+Y223+GK223,2)+GX223,0)</f>
        <v>2084.61</v>
      </c>
      <c r="GR223">
        <v>0</v>
      </c>
      <c r="GS223">
        <v>0</v>
      </c>
      <c r="GT223">
        <v>0</v>
      </c>
      <c r="GU223" t="s">
        <v>3</v>
      </c>
      <c r="GV223">
        <f>ROUND((GT223),6)</f>
        <v>0</v>
      </c>
      <c r="GW223">
        <v>1</v>
      </c>
      <c r="GX223">
        <f>ROUND(HC223*I223,2)</f>
        <v>0</v>
      </c>
      <c r="HA223">
        <v>0</v>
      </c>
      <c r="HB223">
        <v>0</v>
      </c>
      <c r="HC223">
        <f>GV223*GW223</f>
        <v>0</v>
      </c>
      <c r="IK223">
        <v>0</v>
      </c>
    </row>
    <row r="224" spans="1:245">
      <c r="A224">
        <v>17</v>
      </c>
      <c r="B224">
        <v>1</v>
      </c>
      <c r="C224">
        <f>ROW(SmtRes!A100)</f>
        <v>100</v>
      </c>
      <c r="D224">
        <f>ROW(EtalonRes!A87)</f>
        <v>87</v>
      </c>
      <c r="E224" t="s">
        <v>217</v>
      </c>
      <c r="F224" t="s">
        <v>218</v>
      </c>
      <c r="G224" t="s">
        <v>219</v>
      </c>
      <c r="H224" t="s">
        <v>18</v>
      </c>
      <c r="I224">
        <f>ROUND(35/100,9)</f>
        <v>0.35</v>
      </c>
      <c r="J224">
        <v>0</v>
      </c>
      <c r="O224">
        <f>ROUND(CP224,2)</f>
        <v>2913.78</v>
      </c>
      <c r="P224">
        <f>ROUND(CQ224*I224,2)</f>
        <v>2752.47</v>
      </c>
      <c r="Q224">
        <f>ROUND(CR224*I224,2)</f>
        <v>0</v>
      </c>
      <c r="R224">
        <f>ROUND(CS224*I224,2)</f>
        <v>0</v>
      </c>
      <c r="S224">
        <f>ROUND(CT224*I224,2)</f>
        <v>161.31</v>
      </c>
      <c r="T224">
        <f>ROUND(CU224*I224,2)</f>
        <v>0</v>
      </c>
      <c r="U224">
        <f>CV224*I224</f>
        <v>0.89249999999999985</v>
      </c>
      <c r="V224">
        <f>CW224*I224</f>
        <v>0</v>
      </c>
      <c r="W224">
        <f>ROUND(CX224*I224,2)</f>
        <v>0</v>
      </c>
      <c r="X224">
        <f t="shared" si="212"/>
        <v>112.92</v>
      </c>
      <c r="Y224">
        <f t="shared" si="212"/>
        <v>16.13</v>
      </c>
      <c r="AA224">
        <v>42225948</v>
      </c>
      <c r="AB224">
        <f>ROUND((AC224+AD224+AF224),6)</f>
        <v>8325.09</v>
      </c>
      <c r="AC224">
        <f>ROUND(((ES224*3)),6)</f>
        <v>7864.2</v>
      </c>
      <c r="AD224">
        <f>ROUND(((((ET224*3))-((EU224*3)))+AE224),6)</f>
        <v>0</v>
      </c>
      <c r="AE224">
        <f>ROUND(((EU224*3)),6)</f>
        <v>0</v>
      </c>
      <c r="AF224">
        <f>ROUND(((EV224*3)),6)</f>
        <v>460.89</v>
      </c>
      <c r="AG224">
        <f>ROUND((AP224),6)</f>
        <v>0</v>
      </c>
      <c r="AH224">
        <f>((EW224*3))</f>
        <v>2.5499999999999998</v>
      </c>
      <c r="AI224">
        <f>((EX224*3))</f>
        <v>0</v>
      </c>
      <c r="AJ224">
        <f>(AS224)</f>
        <v>0</v>
      </c>
      <c r="AK224">
        <v>2775.03</v>
      </c>
      <c r="AL224">
        <v>2621.4</v>
      </c>
      <c r="AM224">
        <v>0</v>
      </c>
      <c r="AN224">
        <v>0</v>
      </c>
      <c r="AO224">
        <v>153.63</v>
      </c>
      <c r="AP224">
        <v>0</v>
      </c>
      <c r="AQ224">
        <v>0.85</v>
      </c>
      <c r="AR224">
        <v>0</v>
      </c>
      <c r="AS224">
        <v>0</v>
      </c>
      <c r="AT224">
        <v>70</v>
      </c>
      <c r="AU224">
        <v>10</v>
      </c>
      <c r="AV224">
        <v>1</v>
      </c>
      <c r="AW224">
        <v>1</v>
      </c>
      <c r="AZ224">
        <v>1</v>
      </c>
      <c r="BA224">
        <v>1</v>
      </c>
      <c r="BB224">
        <v>1</v>
      </c>
      <c r="BC224">
        <v>1</v>
      </c>
      <c r="BD224" t="s">
        <v>3</v>
      </c>
      <c r="BE224" t="s">
        <v>3</v>
      </c>
      <c r="BF224" t="s">
        <v>3</v>
      </c>
      <c r="BG224" t="s">
        <v>3</v>
      </c>
      <c r="BH224">
        <v>0</v>
      </c>
      <c r="BI224">
        <v>4</v>
      </c>
      <c r="BJ224" t="s">
        <v>220</v>
      </c>
      <c r="BM224">
        <v>0</v>
      </c>
      <c r="BN224">
        <v>0</v>
      </c>
      <c r="BO224" t="s">
        <v>3</v>
      </c>
      <c r="BP224">
        <v>0</v>
      </c>
      <c r="BQ224">
        <v>1</v>
      </c>
      <c r="BR224">
        <v>0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 t="s">
        <v>3</v>
      </c>
      <c r="BZ224">
        <v>70</v>
      </c>
      <c r="CA224">
        <v>10</v>
      </c>
      <c r="CE224">
        <v>0</v>
      </c>
      <c r="CF224">
        <v>0</v>
      </c>
      <c r="CG224">
        <v>0</v>
      </c>
      <c r="CM224">
        <v>0</v>
      </c>
      <c r="CN224" t="s">
        <v>3</v>
      </c>
      <c r="CO224">
        <v>0</v>
      </c>
      <c r="CP224">
        <f>(P224+Q224+S224)</f>
        <v>2913.7799999999997</v>
      </c>
      <c r="CQ224">
        <f>(AC224*BC224*AW224)</f>
        <v>7864.2</v>
      </c>
      <c r="CR224">
        <f>(((((ET224*3))*BB224-((EU224*3))*BS224)+AE224*BS224)*AV224)</f>
        <v>0</v>
      </c>
      <c r="CS224">
        <f>(AE224*BS224*AV224)</f>
        <v>0</v>
      </c>
      <c r="CT224">
        <f>(AF224*BA224*AV224)</f>
        <v>460.89</v>
      </c>
      <c r="CU224">
        <f>AG224</f>
        <v>0</v>
      </c>
      <c r="CV224">
        <f>(AH224*AV224)</f>
        <v>2.5499999999999998</v>
      </c>
      <c r="CW224">
        <f t="shared" si="213"/>
        <v>0</v>
      </c>
      <c r="CX224">
        <f t="shared" si="213"/>
        <v>0</v>
      </c>
      <c r="CY224">
        <f>((S224*BZ224)/100)</f>
        <v>112.917</v>
      </c>
      <c r="CZ224">
        <f>((S224*CA224)/100)</f>
        <v>16.131</v>
      </c>
      <c r="DC224" t="s">
        <v>3</v>
      </c>
      <c r="DD224" t="s">
        <v>221</v>
      </c>
      <c r="DE224" t="s">
        <v>221</v>
      </c>
      <c r="DF224" t="s">
        <v>221</v>
      </c>
      <c r="DG224" t="s">
        <v>221</v>
      </c>
      <c r="DH224" t="s">
        <v>3</v>
      </c>
      <c r="DI224" t="s">
        <v>221</v>
      </c>
      <c r="DJ224" t="s">
        <v>221</v>
      </c>
      <c r="DK224" t="s">
        <v>3</v>
      </c>
      <c r="DL224" t="s">
        <v>3</v>
      </c>
      <c r="DM224" t="s">
        <v>3</v>
      </c>
      <c r="DN224">
        <v>0</v>
      </c>
      <c r="DO224">
        <v>0</v>
      </c>
      <c r="DP224">
        <v>1</v>
      </c>
      <c r="DQ224">
        <v>1</v>
      </c>
      <c r="DU224">
        <v>1005</v>
      </c>
      <c r="DV224" t="s">
        <v>18</v>
      </c>
      <c r="DW224" t="s">
        <v>18</v>
      </c>
      <c r="DX224">
        <v>100</v>
      </c>
      <c r="EE224">
        <v>40050625</v>
      </c>
      <c r="EF224">
        <v>1</v>
      </c>
      <c r="EG224" t="s">
        <v>20</v>
      </c>
      <c r="EH224">
        <v>0</v>
      </c>
      <c r="EI224" t="s">
        <v>3</v>
      </c>
      <c r="EJ224">
        <v>4</v>
      </c>
      <c r="EK224">
        <v>0</v>
      </c>
      <c r="EL224" t="s">
        <v>21</v>
      </c>
      <c r="EM224" t="s">
        <v>22</v>
      </c>
      <c r="EO224" t="s">
        <v>3</v>
      </c>
      <c r="EQ224">
        <v>0</v>
      </c>
      <c r="ER224">
        <v>2775.03</v>
      </c>
      <c r="ES224">
        <v>2621.4</v>
      </c>
      <c r="ET224">
        <v>0</v>
      </c>
      <c r="EU224">
        <v>0</v>
      </c>
      <c r="EV224">
        <v>153.63</v>
      </c>
      <c r="EW224">
        <v>0.85</v>
      </c>
      <c r="EX224">
        <v>0</v>
      </c>
      <c r="EY224">
        <v>0</v>
      </c>
      <c r="FQ224">
        <v>0</v>
      </c>
      <c r="FR224">
        <f>ROUND(IF(AND(BH224=3,BI224=3),P224,0),2)</f>
        <v>0</v>
      </c>
      <c r="FS224">
        <v>0</v>
      </c>
      <c r="FX224">
        <v>70</v>
      </c>
      <c r="FY224">
        <v>10</v>
      </c>
      <c r="GA224" t="s">
        <v>3</v>
      </c>
      <c r="GD224">
        <v>0</v>
      </c>
      <c r="GF224">
        <v>1933159789</v>
      </c>
      <c r="GG224">
        <v>2</v>
      </c>
      <c r="GH224">
        <v>1</v>
      </c>
      <c r="GI224">
        <v>-2</v>
      </c>
      <c r="GJ224">
        <v>0</v>
      </c>
      <c r="GK224">
        <f>ROUND(R224*(R12)/100,2)</f>
        <v>0</v>
      </c>
      <c r="GL224">
        <f>ROUND(IF(AND(BH224=3,BI224=3,FS224&lt;&gt;0),P224,0),2)</f>
        <v>0</v>
      </c>
      <c r="GM224">
        <f>ROUND(O224+X224+Y224+GK224,2)+GX224</f>
        <v>3042.83</v>
      </c>
      <c r="GN224">
        <f>IF(OR(BI224=0,BI224=1),ROUND(O224+X224+Y224+GK224,2),0)</f>
        <v>0</v>
      </c>
      <c r="GO224">
        <f>IF(BI224=2,ROUND(O224+X224+Y224+GK224,2),0)</f>
        <v>0</v>
      </c>
      <c r="GP224">
        <f>IF(BI224=4,ROUND(O224+X224+Y224+GK224,2)+GX224,0)</f>
        <v>3042.83</v>
      </c>
      <c r="GR224">
        <v>0</v>
      </c>
      <c r="GS224">
        <v>0</v>
      </c>
      <c r="GT224">
        <v>0</v>
      </c>
      <c r="GU224" t="s">
        <v>3</v>
      </c>
      <c r="GV224">
        <f>ROUND((GT224),6)</f>
        <v>0</v>
      </c>
      <c r="GW224">
        <v>1</v>
      </c>
      <c r="GX224">
        <f>ROUND(HC224*I224,2)</f>
        <v>0</v>
      </c>
      <c r="HA224">
        <v>0</v>
      </c>
      <c r="HB224">
        <v>0</v>
      </c>
      <c r="HC224">
        <f>GV224*GW224</f>
        <v>0</v>
      </c>
      <c r="IK224">
        <v>0</v>
      </c>
    </row>
    <row r="225" spans="1:245">
      <c r="A225">
        <v>17</v>
      </c>
      <c r="B225">
        <v>1</v>
      </c>
      <c r="C225">
        <f>ROW(SmtRes!A111)</f>
        <v>111</v>
      </c>
      <c r="D225">
        <f>ROW(EtalonRes!A98)</f>
        <v>98</v>
      </c>
      <c r="E225" t="s">
        <v>222</v>
      </c>
      <c r="F225" t="s">
        <v>223</v>
      </c>
      <c r="G225" t="s">
        <v>224</v>
      </c>
      <c r="H225" t="s">
        <v>225</v>
      </c>
      <c r="I225">
        <f>ROUND(50/100,9)</f>
        <v>0.5</v>
      </c>
      <c r="J225">
        <v>0</v>
      </c>
      <c r="O225">
        <f>ROUND(CP225,2)</f>
        <v>52896.04</v>
      </c>
      <c r="P225">
        <f>ROUND(CQ225*I225,2)</f>
        <v>39943.31</v>
      </c>
      <c r="Q225">
        <f>ROUND(CR225*I225,2)</f>
        <v>381.41</v>
      </c>
      <c r="R225">
        <f>ROUND(CS225*I225,2)</f>
        <v>234.17</v>
      </c>
      <c r="S225">
        <f>ROUND(CT225*I225,2)</f>
        <v>12571.32</v>
      </c>
      <c r="T225">
        <f>ROUND(CU225*I225,2)</f>
        <v>0</v>
      </c>
      <c r="U225">
        <f>CV225*I225</f>
        <v>62.185000000000002</v>
      </c>
      <c r="V225">
        <f>CW225*I225</f>
        <v>0</v>
      </c>
      <c r="W225">
        <f>ROUND(CX225*I225,2)</f>
        <v>0</v>
      </c>
      <c r="X225">
        <f t="shared" si="212"/>
        <v>8799.92</v>
      </c>
      <c r="Y225">
        <f t="shared" si="212"/>
        <v>1257.1300000000001</v>
      </c>
      <c r="AA225">
        <v>42225948</v>
      </c>
      <c r="AB225">
        <f>ROUND((AC225+AD225+AF225),6)</f>
        <v>105792.07</v>
      </c>
      <c r="AC225">
        <f>ROUND((ES225),6)</f>
        <v>79886.62</v>
      </c>
      <c r="AD225">
        <f>ROUND((((ET225)-(EU225))+AE225),6)</f>
        <v>762.81</v>
      </c>
      <c r="AE225">
        <f>ROUND((EU225),6)</f>
        <v>468.34</v>
      </c>
      <c r="AF225">
        <f>ROUND((EV225),6)</f>
        <v>25142.639999999999</v>
      </c>
      <c r="AG225">
        <f>ROUND((AP225),6)</f>
        <v>0</v>
      </c>
      <c r="AH225">
        <f>(EW225)</f>
        <v>124.37</v>
      </c>
      <c r="AI225">
        <f>(EX225)</f>
        <v>0</v>
      </c>
      <c r="AJ225">
        <f>(AS225)</f>
        <v>0</v>
      </c>
      <c r="AK225">
        <v>105792.07</v>
      </c>
      <c r="AL225">
        <v>79886.62</v>
      </c>
      <c r="AM225">
        <v>762.81</v>
      </c>
      <c r="AN225">
        <v>468.34</v>
      </c>
      <c r="AO225">
        <v>25142.639999999999</v>
      </c>
      <c r="AP225">
        <v>0</v>
      </c>
      <c r="AQ225">
        <v>124.37</v>
      </c>
      <c r="AR225">
        <v>0</v>
      </c>
      <c r="AS225">
        <v>0</v>
      </c>
      <c r="AT225">
        <v>70</v>
      </c>
      <c r="AU225">
        <v>10</v>
      </c>
      <c r="AV225">
        <v>1</v>
      </c>
      <c r="AW225">
        <v>1</v>
      </c>
      <c r="AZ225">
        <v>1</v>
      </c>
      <c r="BA225">
        <v>1</v>
      </c>
      <c r="BB225">
        <v>1</v>
      </c>
      <c r="BC225">
        <v>1</v>
      </c>
      <c r="BD225" t="s">
        <v>3</v>
      </c>
      <c r="BE225" t="s">
        <v>3</v>
      </c>
      <c r="BF225" t="s">
        <v>3</v>
      </c>
      <c r="BG225" t="s">
        <v>3</v>
      </c>
      <c r="BH225">
        <v>0</v>
      </c>
      <c r="BI225">
        <v>4</v>
      </c>
      <c r="BJ225" t="s">
        <v>226</v>
      </c>
      <c r="BM225">
        <v>0</v>
      </c>
      <c r="BN225">
        <v>0</v>
      </c>
      <c r="BO225" t="s">
        <v>3</v>
      </c>
      <c r="BP225">
        <v>0</v>
      </c>
      <c r="BQ225">
        <v>1</v>
      </c>
      <c r="BR225">
        <v>0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 t="s">
        <v>3</v>
      </c>
      <c r="BZ225">
        <v>70</v>
      </c>
      <c r="CA225">
        <v>10</v>
      </c>
      <c r="CE225">
        <v>0</v>
      </c>
      <c r="CF225">
        <v>0</v>
      </c>
      <c r="CG225">
        <v>0</v>
      </c>
      <c r="CM225">
        <v>0</v>
      </c>
      <c r="CN225" t="s">
        <v>3</v>
      </c>
      <c r="CO225">
        <v>0</v>
      </c>
      <c r="CP225">
        <f>(P225+Q225+S225)</f>
        <v>52896.04</v>
      </c>
      <c r="CQ225">
        <f>(AC225*BC225*AW225)</f>
        <v>79886.62</v>
      </c>
      <c r="CR225">
        <f>((((ET225)*BB225-(EU225)*BS225)+AE225*BS225)*AV225)</f>
        <v>762.81</v>
      </c>
      <c r="CS225">
        <f>(AE225*BS225*AV225)</f>
        <v>468.34</v>
      </c>
      <c r="CT225">
        <f>(AF225*BA225*AV225)</f>
        <v>25142.639999999999</v>
      </c>
      <c r="CU225">
        <f>AG225</f>
        <v>0</v>
      </c>
      <c r="CV225">
        <f>(AH225*AV225)</f>
        <v>124.37</v>
      </c>
      <c r="CW225">
        <f t="shared" si="213"/>
        <v>0</v>
      </c>
      <c r="CX225">
        <f t="shared" si="213"/>
        <v>0</v>
      </c>
      <c r="CY225">
        <f>((S225*BZ225)/100)</f>
        <v>8799.9240000000009</v>
      </c>
      <c r="CZ225">
        <f>((S225*CA225)/100)</f>
        <v>1257.1320000000001</v>
      </c>
      <c r="DC225" t="s">
        <v>3</v>
      </c>
      <c r="DD225" t="s">
        <v>3</v>
      </c>
      <c r="DE225" t="s">
        <v>3</v>
      </c>
      <c r="DF225" t="s">
        <v>3</v>
      </c>
      <c r="DG225" t="s">
        <v>3</v>
      </c>
      <c r="DH225" t="s">
        <v>3</v>
      </c>
      <c r="DI225" t="s">
        <v>3</v>
      </c>
      <c r="DJ225" t="s">
        <v>3</v>
      </c>
      <c r="DK225" t="s">
        <v>3</v>
      </c>
      <c r="DL225" t="s">
        <v>3</v>
      </c>
      <c r="DM225" t="s">
        <v>3</v>
      </c>
      <c r="DN225">
        <v>0</v>
      </c>
      <c r="DO225">
        <v>0</v>
      </c>
      <c r="DP225">
        <v>1</v>
      </c>
      <c r="DQ225">
        <v>1</v>
      </c>
      <c r="DU225">
        <v>1003</v>
      </c>
      <c r="DV225" t="s">
        <v>225</v>
      </c>
      <c r="DW225" t="s">
        <v>225</v>
      </c>
      <c r="DX225">
        <v>100</v>
      </c>
      <c r="EE225">
        <v>40050625</v>
      </c>
      <c r="EF225">
        <v>1</v>
      </c>
      <c r="EG225" t="s">
        <v>20</v>
      </c>
      <c r="EH225">
        <v>0</v>
      </c>
      <c r="EI225" t="s">
        <v>3</v>
      </c>
      <c r="EJ225">
        <v>4</v>
      </c>
      <c r="EK225">
        <v>0</v>
      </c>
      <c r="EL225" t="s">
        <v>21</v>
      </c>
      <c r="EM225" t="s">
        <v>22</v>
      </c>
      <c r="EO225" t="s">
        <v>3</v>
      </c>
      <c r="EQ225">
        <v>0</v>
      </c>
      <c r="ER225">
        <v>105792.07</v>
      </c>
      <c r="ES225">
        <v>79886.62</v>
      </c>
      <c r="ET225">
        <v>762.81</v>
      </c>
      <c r="EU225">
        <v>468.34</v>
      </c>
      <c r="EV225">
        <v>25142.639999999999</v>
      </c>
      <c r="EW225">
        <v>124.37</v>
      </c>
      <c r="EX225">
        <v>0</v>
      </c>
      <c r="EY225">
        <v>0</v>
      </c>
      <c r="FQ225">
        <v>0</v>
      </c>
      <c r="FR225">
        <f>ROUND(IF(AND(BH225=3,BI225=3),P225,0),2)</f>
        <v>0</v>
      </c>
      <c r="FS225">
        <v>0</v>
      </c>
      <c r="FX225">
        <v>70</v>
      </c>
      <c r="FY225">
        <v>10</v>
      </c>
      <c r="GA225" t="s">
        <v>3</v>
      </c>
      <c r="GD225">
        <v>0</v>
      </c>
      <c r="GF225">
        <v>975154479</v>
      </c>
      <c r="GG225">
        <v>2</v>
      </c>
      <c r="GH225">
        <v>1</v>
      </c>
      <c r="GI225">
        <v>-2</v>
      </c>
      <c r="GJ225">
        <v>0</v>
      </c>
      <c r="GK225">
        <f>ROUND(R225*(R12)/100,2)</f>
        <v>252.9</v>
      </c>
      <c r="GL225">
        <f>ROUND(IF(AND(BH225=3,BI225=3,FS225&lt;&gt;0),P225,0),2)</f>
        <v>0</v>
      </c>
      <c r="GM225">
        <f>ROUND(O225+X225+Y225+GK225,2)+GX225</f>
        <v>63205.99</v>
      </c>
      <c r="GN225">
        <f>IF(OR(BI225=0,BI225=1),ROUND(O225+X225+Y225+GK225,2),0)</f>
        <v>0</v>
      </c>
      <c r="GO225">
        <f>IF(BI225=2,ROUND(O225+X225+Y225+GK225,2),0)</f>
        <v>0</v>
      </c>
      <c r="GP225">
        <f>IF(BI225=4,ROUND(O225+X225+Y225+GK225,2)+GX225,0)</f>
        <v>63205.99</v>
      </c>
      <c r="GR225">
        <v>0</v>
      </c>
      <c r="GS225">
        <v>0</v>
      </c>
      <c r="GT225">
        <v>0</v>
      </c>
      <c r="GU225" t="s">
        <v>3</v>
      </c>
      <c r="GV225">
        <f>ROUND((GT225),6)</f>
        <v>0</v>
      </c>
      <c r="GW225">
        <v>1</v>
      </c>
      <c r="GX225">
        <f>ROUND(HC225*I225,2)</f>
        <v>0</v>
      </c>
      <c r="HA225">
        <v>0</v>
      </c>
      <c r="HB225">
        <v>0</v>
      </c>
      <c r="HC225">
        <f>GV225*GW225</f>
        <v>0</v>
      </c>
      <c r="IK225">
        <v>0</v>
      </c>
    </row>
    <row r="227" spans="1:245">
      <c r="A227" s="2">
        <v>51</v>
      </c>
      <c r="B227" s="2">
        <f>B219</f>
        <v>1</v>
      </c>
      <c r="C227" s="2">
        <f>A219</f>
        <v>4</v>
      </c>
      <c r="D227" s="2">
        <f>ROW(A219)</f>
        <v>219</v>
      </c>
      <c r="E227" s="2"/>
      <c r="F227" s="2" t="str">
        <f>IF(F219&lt;&gt;"",F219,"")</f>
        <v>Новый раздел</v>
      </c>
      <c r="G227" s="2" t="str">
        <f>IF(G219&lt;&gt;"",G219,"")</f>
        <v>Декоративное украшение территори озеленения</v>
      </c>
      <c r="H227" s="2">
        <v>0</v>
      </c>
      <c r="I227" s="2"/>
      <c r="J227" s="2"/>
      <c r="K227" s="2"/>
      <c r="L227" s="2"/>
      <c r="M227" s="2"/>
      <c r="N227" s="2"/>
      <c r="O227" s="2">
        <f t="shared" ref="O227:T227" si="214">ROUND(AB227,2)</f>
        <v>57783.48</v>
      </c>
      <c r="P227" s="2">
        <f t="shared" si="214"/>
        <v>44530.76</v>
      </c>
      <c r="Q227" s="2">
        <f t="shared" si="214"/>
        <v>381.41</v>
      </c>
      <c r="R227" s="2">
        <f t="shared" si="214"/>
        <v>234.17</v>
      </c>
      <c r="S227" s="2">
        <f t="shared" si="214"/>
        <v>12871.31</v>
      </c>
      <c r="T227" s="2">
        <f t="shared" si="214"/>
        <v>0</v>
      </c>
      <c r="U227" s="2">
        <f>AH227</f>
        <v>63.763500000000001</v>
      </c>
      <c r="V227" s="2">
        <f>AI227</f>
        <v>0</v>
      </c>
      <c r="W227" s="2">
        <f>ROUND(AJ227,2)</f>
        <v>0</v>
      </c>
      <c r="X227" s="2">
        <f>ROUND(AK227,2)</f>
        <v>9009.92</v>
      </c>
      <c r="Y227" s="2">
        <f>ROUND(AL227,2)</f>
        <v>1287.1300000000001</v>
      </c>
      <c r="Z227" s="2"/>
      <c r="AA227" s="2"/>
      <c r="AB227" s="2">
        <f>ROUND(SUMIF(AA223:AA225,"=42225948",O223:O225),2)</f>
        <v>57783.48</v>
      </c>
      <c r="AC227" s="2">
        <f>ROUND(SUMIF(AA223:AA225,"=42225948",P223:P225),2)</f>
        <v>44530.76</v>
      </c>
      <c r="AD227" s="2">
        <f>ROUND(SUMIF(AA223:AA225,"=42225948",Q223:Q225),2)</f>
        <v>381.41</v>
      </c>
      <c r="AE227" s="2">
        <f>ROUND(SUMIF(AA223:AA225,"=42225948",R223:R225),2)</f>
        <v>234.17</v>
      </c>
      <c r="AF227" s="2">
        <f>ROUND(SUMIF(AA223:AA225,"=42225948",S223:S225),2)</f>
        <v>12871.31</v>
      </c>
      <c r="AG227" s="2">
        <f>ROUND(SUMIF(AA223:AA225,"=42225948",T223:T225),2)</f>
        <v>0</v>
      </c>
      <c r="AH227" s="2">
        <f>SUMIF(AA223:AA225,"=42225948",U223:U225)</f>
        <v>63.763500000000001</v>
      </c>
      <c r="AI227" s="2">
        <f>SUMIF(AA223:AA225,"=42225948",V223:V225)</f>
        <v>0</v>
      </c>
      <c r="AJ227" s="2">
        <f>ROUND(SUMIF(AA223:AA225,"=42225948",W223:W225),2)</f>
        <v>0</v>
      </c>
      <c r="AK227" s="2">
        <f>ROUND(SUMIF(AA223:AA225,"=42225948",X223:X225),2)</f>
        <v>9009.92</v>
      </c>
      <c r="AL227" s="2">
        <f>ROUND(SUMIF(AA223:AA225,"=42225948",Y223:Y225),2)</f>
        <v>1287.1300000000001</v>
      </c>
      <c r="AM227" s="2"/>
      <c r="AN227" s="2"/>
      <c r="AO227" s="2">
        <f t="shared" ref="AO227:BC227" si="215">ROUND(BX227,2)</f>
        <v>0</v>
      </c>
      <c r="AP227" s="2">
        <f t="shared" si="215"/>
        <v>0</v>
      </c>
      <c r="AQ227" s="2">
        <f t="shared" si="215"/>
        <v>0</v>
      </c>
      <c r="AR227" s="2">
        <f t="shared" si="215"/>
        <v>68333.429999999993</v>
      </c>
      <c r="AS227" s="2">
        <f t="shared" si="215"/>
        <v>0</v>
      </c>
      <c r="AT227" s="2">
        <f t="shared" si="215"/>
        <v>0</v>
      </c>
      <c r="AU227" s="2">
        <f t="shared" si="215"/>
        <v>68333.429999999993</v>
      </c>
      <c r="AV227" s="2">
        <f t="shared" si="215"/>
        <v>44530.76</v>
      </c>
      <c r="AW227" s="2">
        <f t="shared" si="215"/>
        <v>44530.76</v>
      </c>
      <c r="AX227" s="2">
        <f t="shared" si="215"/>
        <v>0</v>
      </c>
      <c r="AY227" s="2">
        <f t="shared" si="215"/>
        <v>44530.76</v>
      </c>
      <c r="AZ227" s="2">
        <f t="shared" si="215"/>
        <v>0</v>
      </c>
      <c r="BA227" s="2">
        <f t="shared" si="215"/>
        <v>0</v>
      </c>
      <c r="BB227" s="2">
        <f t="shared" si="215"/>
        <v>0</v>
      </c>
      <c r="BC227" s="2">
        <f t="shared" si="215"/>
        <v>0</v>
      </c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>
        <f>ROUND(SUMIF(AA223:AA225,"=42225948",FQ223:FQ225),2)</f>
        <v>0</v>
      </c>
      <c r="BY227" s="2">
        <f>ROUND(SUMIF(AA223:AA225,"=42225948",FR223:FR225),2)</f>
        <v>0</v>
      </c>
      <c r="BZ227" s="2">
        <f>ROUND(SUMIF(AA223:AA225,"=42225948",GL223:GL225),2)</f>
        <v>0</v>
      </c>
      <c r="CA227" s="2">
        <f>ROUND(SUMIF(AA223:AA225,"=42225948",GM223:GM225),2)</f>
        <v>68333.429999999993</v>
      </c>
      <c r="CB227" s="2">
        <f>ROUND(SUMIF(AA223:AA225,"=42225948",GN223:GN225),2)</f>
        <v>0</v>
      </c>
      <c r="CC227" s="2">
        <f>ROUND(SUMIF(AA223:AA225,"=42225948",GO223:GO225),2)</f>
        <v>0</v>
      </c>
      <c r="CD227" s="2">
        <f>ROUND(SUMIF(AA223:AA225,"=42225948",GP223:GP225),2)</f>
        <v>68333.429999999993</v>
      </c>
      <c r="CE227" s="2">
        <f>AC227-BX227</f>
        <v>44530.76</v>
      </c>
      <c r="CF227" s="2">
        <f>AC227-BY227</f>
        <v>44530.76</v>
      </c>
      <c r="CG227" s="2">
        <f>BX227-BZ227</f>
        <v>0</v>
      </c>
      <c r="CH227" s="2">
        <f>AC227-BX227-BY227+BZ227</f>
        <v>44530.76</v>
      </c>
      <c r="CI227" s="2">
        <f>BY227-BZ227</f>
        <v>0</v>
      </c>
      <c r="CJ227" s="2">
        <f>ROUND(SUMIF(AA223:AA225,"=42225948",GX223:GX225),2)</f>
        <v>0</v>
      </c>
      <c r="CK227" s="2">
        <f>ROUND(SUMIF(AA223:AA225,"=42225948",GY223:GY225),2)</f>
        <v>0</v>
      </c>
      <c r="CL227" s="2">
        <f>ROUND(SUMIF(AA223:AA225,"=42225948",GZ223:GZ225),2)</f>
        <v>0</v>
      </c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>
        <v>0</v>
      </c>
    </row>
    <row r="229" spans="1:245">
      <c r="A229" s="4">
        <v>50</v>
      </c>
      <c r="B229" s="4">
        <v>0</v>
      </c>
      <c r="C229" s="4">
        <v>0</v>
      </c>
      <c r="D229" s="4">
        <v>1</v>
      </c>
      <c r="E229" s="4">
        <v>201</v>
      </c>
      <c r="F229" s="4">
        <f>ROUND(Source!O227,O229)</f>
        <v>57783.48</v>
      </c>
      <c r="G229" s="4" t="s">
        <v>65</v>
      </c>
      <c r="H229" s="4" t="s">
        <v>66</v>
      </c>
      <c r="I229" s="4"/>
      <c r="J229" s="4"/>
      <c r="K229" s="4">
        <v>201</v>
      </c>
      <c r="L229" s="4">
        <v>1</v>
      </c>
      <c r="M229" s="4">
        <v>3</v>
      </c>
      <c r="N229" s="4" t="s">
        <v>3</v>
      </c>
      <c r="O229" s="4">
        <v>2</v>
      </c>
      <c r="P229" s="4"/>
      <c r="Q229" s="4"/>
      <c r="R229" s="4"/>
      <c r="S229" s="4"/>
      <c r="T229" s="4"/>
      <c r="U229" s="4"/>
      <c r="V229" s="4"/>
      <c r="W229" s="4"/>
    </row>
    <row r="230" spans="1:245">
      <c r="A230" s="4">
        <v>50</v>
      </c>
      <c r="B230" s="4">
        <v>0</v>
      </c>
      <c r="C230" s="4">
        <v>0</v>
      </c>
      <c r="D230" s="4">
        <v>1</v>
      </c>
      <c r="E230" s="4">
        <v>202</v>
      </c>
      <c r="F230" s="4">
        <f>ROUND(Source!P227,O230)</f>
        <v>44530.76</v>
      </c>
      <c r="G230" s="4" t="s">
        <v>67</v>
      </c>
      <c r="H230" s="4" t="s">
        <v>68</v>
      </c>
      <c r="I230" s="4"/>
      <c r="J230" s="4"/>
      <c r="K230" s="4">
        <v>202</v>
      </c>
      <c r="L230" s="4">
        <v>2</v>
      </c>
      <c r="M230" s="4">
        <v>3</v>
      </c>
      <c r="N230" s="4" t="s">
        <v>3</v>
      </c>
      <c r="O230" s="4">
        <v>2</v>
      </c>
      <c r="P230" s="4"/>
      <c r="Q230" s="4"/>
      <c r="R230" s="4"/>
      <c r="S230" s="4"/>
      <c r="T230" s="4"/>
      <c r="U230" s="4"/>
      <c r="V230" s="4"/>
      <c r="W230" s="4"/>
    </row>
    <row r="231" spans="1:245">
      <c r="A231" s="4">
        <v>50</v>
      </c>
      <c r="B231" s="4">
        <v>0</v>
      </c>
      <c r="C231" s="4">
        <v>0</v>
      </c>
      <c r="D231" s="4">
        <v>1</v>
      </c>
      <c r="E231" s="4">
        <v>222</v>
      </c>
      <c r="F231" s="4">
        <f>ROUND(Source!AO227,O231)</f>
        <v>0</v>
      </c>
      <c r="G231" s="4" t="s">
        <v>69</v>
      </c>
      <c r="H231" s="4" t="s">
        <v>70</v>
      </c>
      <c r="I231" s="4"/>
      <c r="J231" s="4"/>
      <c r="K231" s="4">
        <v>222</v>
      </c>
      <c r="L231" s="4">
        <v>3</v>
      </c>
      <c r="M231" s="4">
        <v>3</v>
      </c>
      <c r="N231" s="4" t="s">
        <v>3</v>
      </c>
      <c r="O231" s="4">
        <v>2</v>
      </c>
      <c r="P231" s="4"/>
      <c r="Q231" s="4"/>
      <c r="R231" s="4"/>
      <c r="S231" s="4"/>
      <c r="T231" s="4"/>
      <c r="U231" s="4"/>
      <c r="V231" s="4"/>
      <c r="W231" s="4"/>
    </row>
    <row r="232" spans="1:245">
      <c r="A232" s="4">
        <v>50</v>
      </c>
      <c r="B232" s="4">
        <v>0</v>
      </c>
      <c r="C232" s="4">
        <v>0</v>
      </c>
      <c r="D232" s="4">
        <v>1</v>
      </c>
      <c r="E232" s="4">
        <v>225</v>
      </c>
      <c r="F232" s="4">
        <f>ROUND(Source!AV227,O232)</f>
        <v>44530.76</v>
      </c>
      <c r="G232" s="4" t="s">
        <v>71</v>
      </c>
      <c r="H232" s="4" t="s">
        <v>72</v>
      </c>
      <c r="I232" s="4"/>
      <c r="J232" s="4"/>
      <c r="K232" s="4">
        <v>225</v>
      </c>
      <c r="L232" s="4">
        <v>4</v>
      </c>
      <c r="M232" s="4">
        <v>3</v>
      </c>
      <c r="N232" s="4" t="s">
        <v>3</v>
      </c>
      <c r="O232" s="4">
        <v>2</v>
      </c>
      <c r="P232" s="4"/>
      <c r="Q232" s="4"/>
      <c r="R232" s="4"/>
      <c r="S232" s="4"/>
      <c r="T232" s="4"/>
      <c r="U232" s="4"/>
      <c r="V232" s="4"/>
      <c r="W232" s="4"/>
    </row>
    <row r="233" spans="1:245">
      <c r="A233" s="4">
        <v>50</v>
      </c>
      <c r="B233" s="4">
        <v>0</v>
      </c>
      <c r="C233" s="4">
        <v>0</v>
      </c>
      <c r="D233" s="4">
        <v>1</v>
      </c>
      <c r="E233" s="4">
        <v>226</v>
      </c>
      <c r="F233" s="4">
        <f>ROUND(Source!AW227,O233)</f>
        <v>44530.76</v>
      </c>
      <c r="G233" s="4" t="s">
        <v>73</v>
      </c>
      <c r="H233" s="4" t="s">
        <v>74</v>
      </c>
      <c r="I233" s="4"/>
      <c r="J233" s="4"/>
      <c r="K233" s="4">
        <v>226</v>
      </c>
      <c r="L233" s="4">
        <v>5</v>
      </c>
      <c r="M233" s="4">
        <v>3</v>
      </c>
      <c r="N233" s="4" t="s">
        <v>3</v>
      </c>
      <c r="O233" s="4">
        <v>2</v>
      </c>
      <c r="P233" s="4"/>
      <c r="Q233" s="4"/>
      <c r="R233" s="4"/>
      <c r="S233" s="4"/>
      <c r="T233" s="4"/>
      <c r="U233" s="4"/>
      <c r="V233" s="4"/>
      <c r="W233" s="4"/>
    </row>
    <row r="234" spans="1:245">
      <c r="A234" s="4">
        <v>50</v>
      </c>
      <c r="B234" s="4">
        <v>0</v>
      </c>
      <c r="C234" s="4">
        <v>0</v>
      </c>
      <c r="D234" s="4">
        <v>1</v>
      </c>
      <c r="E234" s="4">
        <v>227</v>
      </c>
      <c r="F234" s="4">
        <f>ROUND(Source!AX227,O234)</f>
        <v>0</v>
      </c>
      <c r="G234" s="4" t="s">
        <v>75</v>
      </c>
      <c r="H234" s="4" t="s">
        <v>76</v>
      </c>
      <c r="I234" s="4"/>
      <c r="J234" s="4"/>
      <c r="K234" s="4">
        <v>227</v>
      </c>
      <c r="L234" s="4">
        <v>6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45">
      <c r="A235" s="4">
        <v>50</v>
      </c>
      <c r="B235" s="4">
        <v>0</v>
      </c>
      <c r="C235" s="4">
        <v>0</v>
      </c>
      <c r="D235" s="4">
        <v>1</v>
      </c>
      <c r="E235" s="4">
        <v>228</v>
      </c>
      <c r="F235" s="4">
        <f>ROUND(Source!AY227,O235)</f>
        <v>44530.76</v>
      </c>
      <c r="G235" s="4" t="s">
        <v>77</v>
      </c>
      <c r="H235" s="4" t="s">
        <v>78</v>
      </c>
      <c r="I235" s="4"/>
      <c r="J235" s="4"/>
      <c r="K235" s="4">
        <v>228</v>
      </c>
      <c r="L235" s="4">
        <v>7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45">
      <c r="A236" s="4">
        <v>50</v>
      </c>
      <c r="B236" s="4">
        <v>0</v>
      </c>
      <c r="C236" s="4">
        <v>0</v>
      </c>
      <c r="D236" s="4">
        <v>1</v>
      </c>
      <c r="E236" s="4">
        <v>216</v>
      </c>
      <c r="F236" s="4">
        <f>ROUND(Source!AP227,O236)</f>
        <v>0</v>
      </c>
      <c r="G236" s="4" t="s">
        <v>79</v>
      </c>
      <c r="H236" s="4" t="s">
        <v>80</v>
      </c>
      <c r="I236" s="4"/>
      <c r="J236" s="4"/>
      <c r="K236" s="4">
        <v>216</v>
      </c>
      <c r="L236" s="4">
        <v>8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45">
      <c r="A237" s="4">
        <v>50</v>
      </c>
      <c r="B237" s="4">
        <v>0</v>
      </c>
      <c r="C237" s="4">
        <v>0</v>
      </c>
      <c r="D237" s="4">
        <v>1</v>
      </c>
      <c r="E237" s="4">
        <v>223</v>
      </c>
      <c r="F237" s="4">
        <f>ROUND(Source!AQ227,O237)</f>
        <v>0</v>
      </c>
      <c r="G237" s="4" t="s">
        <v>81</v>
      </c>
      <c r="H237" s="4" t="s">
        <v>82</v>
      </c>
      <c r="I237" s="4"/>
      <c r="J237" s="4"/>
      <c r="K237" s="4">
        <v>223</v>
      </c>
      <c r="L237" s="4">
        <v>9</v>
      </c>
      <c r="M237" s="4">
        <v>3</v>
      </c>
      <c r="N237" s="4" t="s">
        <v>3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</row>
    <row r="238" spans="1:245">
      <c r="A238" s="4">
        <v>50</v>
      </c>
      <c r="B238" s="4">
        <v>0</v>
      </c>
      <c r="C238" s="4">
        <v>0</v>
      </c>
      <c r="D238" s="4">
        <v>1</v>
      </c>
      <c r="E238" s="4">
        <v>229</v>
      </c>
      <c r="F238" s="4">
        <f>ROUND(Source!AZ227,O238)</f>
        <v>0</v>
      </c>
      <c r="G238" s="4" t="s">
        <v>83</v>
      </c>
      <c r="H238" s="4" t="s">
        <v>84</v>
      </c>
      <c r="I238" s="4"/>
      <c r="J238" s="4"/>
      <c r="K238" s="4">
        <v>229</v>
      </c>
      <c r="L238" s="4">
        <v>10</v>
      </c>
      <c r="M238" s="4">
        <v>3</v>
      </c>
      <c r="N238" s="4" t="s">
        <v>3</v>
      </c>
      <c r="O238" s="4">
        <v>2</v>
      </c>
      <c r="P238" s="4"/>
      <c r="Q238" s="4"/>
      <c r="R238" s="4"/>
      <c r="S238" s="4"/>
      <c r="T238" s="4"/>
      <c r="U238" s="4"/>
      <c r="V238" s="4"/>
      <c r="W238" s="4"/>
    </row>
    <row r="239" spans="1:245">
      <c r="A239" s="4">
        <v>50</v>
      </c>
      <c r="B239" s="4">
        <v>0</v>
      </c>
      <c r="C239" s="4">
        <v>0</v>
      </c>
      <c r="D239" s="4">
        <v>1</v>
      </c>
      <c r="E239" s="4">
        <v>203</v>
      </c>
      <c r="F239" s="4">
        <f>ROUND(Source!Q227,O239)</f>
        <v>381.41</v>
      </c>
      <c r="G239" s="4" t="s">
        <v>85</v>
      </c>
      <c r="H239" s="4" t="s">
        <v>86</v>
      </c>
      <c r="I239" s="4"/>
      <c r="J239" s="4"/>
      <c r="K239" s="4">
        <v>203</v>
      </c>
      <c r="L239" s="4">
        <v>11</v>
      </c>
      <c r="M239" s="4">
        <v>3</v>
      </c>
      <c r="N239" s="4" t="s">
        <v>3</v>
      </c>
      <c r="O239" s="4">
        <v>2</v>
      </c>
      <c r="P239" s="4"/>
      <c r="Q239" s="4"/>
      <c r="R239" s="4"/>
      <c r="S239" s="4"/>
      <c r="T239" s="4"/>
      <c r="U239" s="4"/>
      <c r="V239" s="4"/>
      <c r="W239" s="4"/>
    </row>
    <row r="240" spans="1:245">
      <c r="A240" s="4">
        <v>50</v>
      </c>
      <c r="B240" s="4">
        <v>0</v>
      </c>
      <c r="C240" s="4">
        <v>0</v>
      </c>
      <c r="D240" s="4">
        <v>1</v>
      </c>
      <c r="E240" s="4">
        <v>231</v>
      </c>
      <c r="F240" s="4">
        <f>ROUND(Source!BB227,O240)</f>
        <v>0</v>
      </c>
      <c r="G240" s="4" t="s">
        <v>87</v>
      </c>
      <c r="H240" s="4" t="s">
        <v>88</v>
      </c>
      <c r="I240" s="4"/>
      <c r="J240" s="4"/>
      <c r="K240" s="4">
        <v>231</v>
      </c>
      <c r="L240" s="4">
        <v>12</v>
      </c>
      <c r="M240" s="4">
        <v>3</v>
      </c>
      <c r="N240" s="4" t="s">
        <v>3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1" spans="1:23">
      <c r="A241" s="4">
        <v>50</v>
      </c>
      <c r="B241" s="4">
        <v>0</v>
      </c>
      <c r="C241" s="4">
        <v>0</v>
      </c>
      <c r="D241" s="4">
        <v>1</v>
      </c>
      <c r="E241" s="4">
        <v>204</v>
      </c>
      <c r="F241" s="4">
        <f>ROUND(Source!R227,O241)</f>
        <v>234.17</v>
      </c>
      <c r="G241" s="4" t="s">
        <v>89</v>
      </c>
      <c r="H241" s="4" t="s">
        <v>90</v>
      </c>
      <c r="I241" s="4"/>
      <c r="J241" s="4"/>
      <c r="K241" s="4">
        <v>204</v>
      </c>
      <c r="L241" s="4">
        <v>13</v>
      </c>
      <c r="M241" s="4">
        <v>3</v>
      </c>
      <c r="N241" s="4" t="s">
        <v>3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3">
      <c r="A242" s="4">
        <v>50</v>
      </c>
      <c r="B242" s="4">
        <v>0</v>
      </c>
      <c r="C242" s="4">
        <v>0</v>
      </c>
      <c r="D242" s="4">
        <v>1</v>
      </c>
      <c r="E242" s="4">
        <v>205</v>
      </c>
      <c r="F242" s="4">
        <f>ROUND(Source!S227,O242)</f>
        <v>12871.31</v>
      </c>
      <c r="G242" s="4" t="s">
        <v>91</v>
      </c>
      <c r="H242" s="4" t="s">
        <v>92</v>
      </c>
      <c r="I242" s="4"/>
      <c r="J242" s="4"/>
      <c r="K242" s="4">
        <v>205</v>
      </c>
      <c r="L242" s="4">
        <v>14</v>
      </c>
      <c r="M242" s="4">
        <v>3</v>
      </c>
      <c r="N242" s="4" t="s">
        <v>3</v>
      </c>
      <c r="O242" s="4">
        <v>2</v>
      </c>
      <c r="P242" s="4"/>
      <c r="Q242" s="4"/>
      <c r="R242" s="4"/>
      <c r="S242" s="4"/>
      <c r="T242" s="4"/>
      <c r="U242" s="4"/>
      <c r="V242" s="4"/>
      <c r="W242" s="4"/>
    </row>
    <row r="243" spans="1:23">
      <c r="A243" s="4">
        <v>50</v>
      </c>
      <c r="B243" s="4">
        <v>0</v>
      </c>
      <c r="C243" s="4">
        <v>0</v>
      </c>
      <c r="D243" s="4">
        <v>1</v>
      </c>
      <c r="E243" s="4">
        <v>232</v>
      </c>
      <c r="F243" s="4">
        <f>ROUND(Source!BC227,O243)</f>
        <v>0</v>
      </c>
      <c r="G243" s="4" t="s">
        <v>93</v>
      </c>
      <c r="H243" s="4" t="s">
        <v>94</v>
      </c>
      <c r="I243" s="4"/>
      <c r="J243" s="4"/>
      <c r="K243" s="4">
        <v>232</v>
      </c>
      <c r="L243" s="4">
        <v>15</v>
      </c>
      <c r="M243" s="4">
        <v>3</v>
      </c>
      <c r="N243" s="4" t="s">
        <v>3</v>
      </c>
      <c r="O243" s="4">
        <v>2</v>
      </c>
      <c r="P243" s="4"/>
      <c r="Q243" s="4"/>
      <c r="R243" s="4"/>
      <c r="S243" s="4"/>
      <c r="T243" s="4"/>
      <c r="U243" s="4"/>
      <c r="V243" s="4"/>
      <c r="W243" s="4"/>
    </row>
    <row r="244" spans="1:23">
      <c r="A244" s="4">
        <v>50</v>
      </c>
      <c r="B244" s="4">
        <v>0</v>
      </c>
      <c r="C244" s="4">
        <v>0</v>
      </c>
      <c r="D244" s="4">
        <v>1</v>
      </c>
      <c r="E244" s="4">
        <v>214</v>
      </c>
      <c r="F244" s="4">
        <f>ROUND(Source!AS227,O244)</f>
        <v>0</v>
      </c>
      <c r="G244" s="4" t="s">
        <v>95</v>
      </c>
      <c r="H244" s="4" t="s">
        <v>96</v>
      </c>
      <c r="I244" s="4"/>
      <c r="J244" s="4"/>
      <c r="K244" s="4">
        <v>214</v>
      </c>
      <c r="L244" s="4">
        <v>16</v>
      </c>
      <c r="M244" s="4">
        <v>3</v>
      </c>
      <c r="N244" s="4" t="s">
        <v>3</v>
      </c>
      <c r="O244" s="4">
        <v>2</v>
      </c>
      <c r="P244" s="4"/>
      <c r="Q244" s="4"/>
      <c r="R244" s="4"/>
      <c r="S244" s="4"/>
      <c r="T244" s="4"/>
      <c r="U244" s="4"/>
      <c r="V244" s="4"/>
      <c r="W244" s="4"/>
    </row>
    <row r="245" spans="1:23">
      <c r="A245" s="4">
        <v>50</v>
      </c>
      <c r="B245" s="4">
        <v>0</v>
      </c>
      <c r="C245" s="4">
        <v>0</v>
      </c>
      <c r="D245" s="4">
        <v>1</v>
      </c>
      <c r="E245" s="4">
        <v>215</v>
      </c>
      <c r="F245" s="4">
        <f>ROUND(Source!AT227,O245)</f>
        <v>0</v>
      </c>
      <c r="G245" s="4" t="s">
        <v>97</v>
      </c>
      <c r="H245" s="4" t="s">
        <v>98</v>
      </c>
      <c r="I245" s="4"/>
      <c r="J245" s="4"/>
      <c r="K245" s="4">
        <v>215</v>
      </c>
      <c r="L245" s="4">
        <v>17</v>
      </c>
      <c r="M245" s="4">
        <v>3</v>
      </c>
      <c r="N245" s="4" t="s">
        <v>3</v>
      </c>
      <c r="O245" s="4">
        <v>2</v>
      </c>
      <c r="P245" s="4"/>
      <c r="Q245" s="4"/>
      <c r="R245" s="4"/>
      <c r="S245" s="4"/>
      <c r="T245" s="4"/>
      <c r="U245" s="4"/>
      <c r="V245" s="4"/>
      <c r="W245" s="4"/>
    </row>
    <row r="246" spans="1:23">
      <c r="A246" s="4">
        <v>50</v>
      </c>
      <c r="B246" s="4">
        <v>0</v>
      </c>
      <c r="C246" s="4">
        <v>0</v>
      </c>
      <c r="D246" s="4">
        <v>1</v>
      </c>
      <c r="E246" s="4">
        <v>217</v>
      </c>
      <c r="F246" s="4">
        <f>ROUND(Source!AU227,O246)</f>
        <v>68333.429999999993</v>
      </c>
      <c r="G246" s="4" t="s">
        <v>99</v>
      </c>
      <c r="H246" s="4" t="s">
        <v>100</v>
      </c>
      <c r="I246" s="4"/>
      <c r="J246" s="4"/>
      <c r="K246" s="4">
        <v>217</v>
      </c>
      <c r="L246" s="4">
        <v>18</v>
      </c>
      <c r="M246" s="4">
        <v>3</v>
      </c>
      <c r="N246" s="4" t="s">
        <v>3</v>
      </c>
      <c r="O246" s="4">
        <v>2</v>
      </c>
      <c r="P246" s="4"/>
      <c r="Q246" s="4"/>
      <c r="R246" s="4"/>
      <c r="S246" s="4"/>
      <c r="T246" s="4"/>
      <c r="U246" s="4"/>
      <c r="V246" s="4"/>
      <c r="W246" s="4"/>
    </row>
    <row r="247" spans="1:23">
      <c r="A247" s="4">
        <v>50</v>
      </c>
      <c r="B247" s="4">
        <v>0</v>
      </c>
      <c r="C247" s="4">
        <v>0</v>
      </c>
      <c r="D247" s="4">
        <v>1</v>
      </c>
      <c r="E247" s="4">
        <v>230</v>
      </c>
      <c r="F247" s="4">
        <f>ROUND(Source!BA227,O247)</f>
        <v>0</v>
      </c>
      <c r="G247" s="4" t="s">
        <v>101</v>
      </c>
      <c r="H247" s="4" t="s">
        <v>102</v>
      </c>
      <c r="I247" s="4"/>
      <c r="J247" s="4"/>
      <c r="K247" s="4">
        <v>230</v>
      </c>
      <c r="L247" s="4">
        <v>19</v>
      </c>
      <c r="M247" s="4">
        <v>3</v>
      </c>
      <c r="N247" s="4" t="s">
        <v>3</v>
      </c>
      <c r="O247" s="4">
        <v>2</v>
      </c>
      <c r="P247" s="4"/>
      <c r="Q247" s="4"/>
      <c r="R247" s="4"/>
      <c r="S247" s="4"/>
      <c r="T247" s="4"/>
      <c r="U247" s="4"/>
      <c r="V247" s="4"/>
      <c r="W247" s="4"/>
    </row>
    <row r="248" spans="1:23">
      <c r="A248" s="4">
        <v>50</v>
      </c>
      <c r="B248" s="4">
        <v>0</v>
      </c>
      <c r="C248" s="4">
        <v>0</v>
      </c>
      <c r="D248" s="4">
        <v>1</v>
      </c>
      <c r="E248" s="4">
        <v>206</v>
      </c>
      <c r="F248" s="4">
        <f>ROUND(Source!T227,O248)</f>
        <v>0</v>
      </c>
      <c r="G248" s="4" t="s">
        <v>103</v>
      </c>
      <c r="H248" s="4" t="s">
        <v>104</v>
      </c>
      <c r="I248" s="4"/>
      <c r="J248" s="4"/>
      <c r="K248" s="4">
        <v>206</v>
      </c>
      <c r="L248" s="4">
        <v>20</v>
      </c>
      <c r="M248" s="4">
        <v>3</v>
      </c>
      <c r="N248" s="4" t="s">
        <v>3</v>
      </c>
      <c r="O248" s="4">
        <v>2</v>
      </c>
      <c r="P248" s="4"/>
      <c r="Q248" s="4"/>
      <c r="R248" s="4"/>
      <c r="S248" s="4"/>
      <c r="T248" s="4"/>
      <c r="U248" s="4"/>
      <c r="V248" s="4"/>
      <c r="W248" s="4"/>
    </row>
    <row r="249" spans="1:23">
      <c r="A249" s="4">
        <v>50</v>
      </c>
      <c r="B249" s="4">
        <v>0</v>
      </c>
      <c r="C249" s="4">
        <v>0</v>
      </c>
      <c r="D249" s="4">
        <v>1</v>
      </c>
      <c r="E249" s="4">
        <v>207</v>
      </c>
      <c r="F249" s="4">
        <f>Source!U227</f>
        <v>63.763500000000001</v>
      </c>
      <c r="G249" s="4" t="s">
        <v>105</v>
      </c>
      <c r="H249" s="4" t="s">
        <v>106</v>
      </c>
      <c r="I249" s="4"/>
      <c r="J249" s="4"/>
      <c r="K249" s="4">
        <v>207</v>
      </c>
      <c r="L249" s="4">
        <v>21</v>
      </c>
      <c r="M249" s="4">
        <v>3</v>
      </c>
      <c r="N249" s="4" t="s">
        <v>3</v>
      </c>
      <c r="O249" s="4">
        <v>-1</v>
      </c>
      <c r="P249" s="4"/>
      <c r="Q249" s="4"/>
      <c r="R249" s="4"/>
      <c r="S249" s="4"/>
      <c r="T249" s="4"/>
      <c r="U249" s="4"/>
      <c r="V249" s="4"/>
      <c r="W249" s="4"/>
    </row>
    <row r="250" spans="1:23">
      <c r="A250" s="4">
        <v>50</v>
      </c>
      <c r="B250" s="4">
        <v>0</v>
      </c>
      <c r="C250" s="4">
        <v>0</v>
      </c>
      <c r="D250" s="4">
        <v>1</v>
      </c>
      <c r="E250" s="4">
        <v>208</v>
      </c>
      <c r="F250" s="4">
        <f>Source!V227</f>
        <v>0</v>
      </c>
      <c r="G250" s="4" t="s">
        <v>107</v>
      </c>
      <c r="H250" s="4" t="s">
        <v>108</v>
      </c>
      <c r="I250" s="4"/>
      <c r="J250" s="4"/>
      <c r="K250" s="4">
        <v>208</v>
      </c>
      <c r="L250" s="4">
        <v>22</v>
      </c>
      <c r="M250" s="4">
        <v>3</v>
      </c>
      <c r="N250" s="4" t="s">
        <v>3</v>
      </c>
      <c r="O250" s="4">
        <v>-1</v>
      </c>
      <c r="P250" s="4"/>
      <c r="Q250" s="4"/>
      <c r="R250" s="4"/>
      <c r="S250" s="4"/>
      <c r="T250" s="4"/>
      <c r="U250" s="4"/>
      <c r="V250" s="4"/>
      <c r="W250" s="4"/>
    </row>
    <row r="251" spans="1:23">
      <c r="A251" s="4">
        <v>50</v>
      </c>
      <c r="B251" s="4">
        <v>0</v>
      </c>
      <c r="C251" s="4">
        <v>0</v>
      </c>
      <c r="D251" s="4">
        <v>1</v>
      </c>
      <c r="E251" s="4">
        <v>209</v>
      </c>
      <c r="F251" s="4">
        <f>ROUND(Source!W227,O251)</f>
        <v>0</v>
      </c>
      <c r="G251" s="4" t="s">
        <v>109</v>
      </c>
      <c r="H251" s="4" t="s">
        <v>110</v>
      </c>
      <c r="I251" s="4"/>
      <c r="J251" s="4"/>
      <c r="K251" s="4">
        <v>209</v>
      </c>
      <c r="L251" s="4">
        <v>23</v>
      </c>
      <c r="M251" s="4">
        <v>3</v>
      </c>
      <c r="N251" s="4" t="s">
        <v>3</v>
      </c>
      <c r="O251" s="4">
        <v>2</v>
      </c>
      <c r="P251" s="4"/>
      <c r="Q251" s="4"/>
      <c r="R251" s="4"/>
      <c r="S251" s="4"/>
      <c r="T251" s="4"/>
      <c r="U251" s="4"/>
      <c r="V251" s="4"/>
      <c r="W251" s="4"/>
    </row>
    <row r="252" spans="1:23">
      <c r="A252" s="4">
        <v>50</v>
      </c>
      <c r="B252" s="4">
        <v>0</v>
      </c>
      <c r="C252" s="4">
        <v>0</v>
      </c>
      <c r="D252" s="4">
        <v>1</v>
      </c>
      <c r="E252" s="4">
        <v>210</v>
      </c>
      <c r="F252" s="4">
        <f>ROUND(Source!X227,O252)</f>
        <v>9009.92</v>
      </c>
      <c r="G252" s="4" t="s">
        <v>111</v>
      </c>
      <c r="H252" s="4" t="s">
        <v>112</v>
      </c>
      <c r="I252" s="4"/>
      <c r="J252" s="4"/>
      <c r="K252" s="4">
        <v>210</v>
      </c>
      <c r="L252" s="4">
        <v>24</v>
      </c>
      <c r="M252" s="4">
        <v>3</v>
      </c>
      <c r="N252" s="4" t="s">
        <v>3</v>
      </c>
      <c r="O252" s="4">
        <v>2</v>
      </c>
      <c r="P252" s="4"/>
      <c r="Q252" s="4"/>
      <c r="R252" s="4"/>
      <c r="S252" s="4"/>
      <c r="T252" s="4"/>
      <c r="U252" s="4"/>
      <c r="V252" s="4"/>
      <c r="W252" s="4"/>
    </row>
    <row r="253" spans="1:23">
      <c r="A253" s="4">
        <v>50</v>
      </c>
      <c r="B253" s="4">
        <v>0</v>
      </c>
      <c r="C253" s="4">
        <v>0</v>
      </c>
      <c r="D253" s="4">
        <v>1</v>
      </c>
      <c r="E253" s="4">
        <v>211</v>
      </c>
      <c r="F253" s="4">
        <f>ROUND(Source!Y227,O253)</f>
        <v>1287.1300000000001</v>
      </c>
      <c r="G253" s="4" t="s">
        <v>113</v>
      </c>
      <c r="H253" s="4" t="s">
        <v>114</v>
      </c>
      <c r="I253" s="4"/>
      <c r="J253" s="4"/>
      <c r="K253" s="4">
        <v>211</v>
      </c>
      <c r="L253" s="4">
        <v>25</v>
      </c>
      <c r="M253" s="4">
        <v>3</v>
      </c>
      <c r="N253" s="4" t="s">
        <v>3</v>
      </c>
      <c r="O253" s="4">
        <v>2</v>
      </c>
      <c r="P253" s="4"/>
      <c r="Q253" s="4"/>
      <c r="R253" s="4"/>
      <c r="S253" s="4"/>
      <c r="T253" s="4"/>
      <c r="U253" s="4"/>
      <c r="V253" s="4"/>
      <c r="W253" s="4"/>
    </row>
    <row r="254" spans="1:23">
      <c r="A254" s="4">
        <v>50</v>
      </c>
      <c r="B254" s="4">
        <v>0</v>
      </c>
      <c r="C254" s="4">
        <v>0</v>
      </c>
      <c r="D254" s="4">
        <v>1</v>
      </c>
      <c r="E254" s="4">
        <v>224</v>
      </c>
      <c r="F254" s="4">
        <f>ROUND(Source!AR227,O254)</f>
        <v>68333.429999999993</v>
      </c>
      <c r="G254" s="4" t="s">
        <v>115</v>
      </c>
      <c r="H254" s="4" t="s">
        <v>116</v>
      </c>
      <c r="I254" s="4"/>
      <c r="J254" s="4"/>
      <c r="K254" s="4">
        <v>224</v>
      </c>
      <c r="L254" s="4">
        <v>26</v>
      </c>
      <c r="M254" s="4">
        <v>3</v>
      </c>
      <c r="N254" s="4" t="s">
        <v>3</v>
      </c>
      <c r="O254" s="4">
        <v>2</v>
      </c>
      <c r="P254" s="4"/>
      <c r="Q254" s="4"/>
      <c r="R254" s="4"/>
      <c r="S254" s="4"/>
      <c r="T254" s="4"/>
      <c r="U254" s="4"/>
      <c r="V254" s="4"/>
      <c r="W254" s="4"/>
    </row>
    <row r="255" spans="1:23">
      <c r="A255" s="4">
        <v>50</v>
      </c>
      <c r="B255" s="4">
        <v>1</v>
      </c>
      <c r="C255" s="4">
        <v>0</v>
      </c>
      <c r="D255" s="4">
        <v>2</v>
      </c>
      <c r="E255" s="4">
        <v>0</v>
      </c>
      <c r="F255" s="4">
        <f>ROUND(F254,O255)</f>
        <v>68333.429999999993</v>
      </c>
      <c r="G255" s="4" t="s">
        <v>4</v>
      </c>
      <c r="H255" s="4" t="s">
        <v>117</v>
      </c>
      <c r="I255" s="4"/>
      <c r="J255" s="4"/>
      <c r="K255" s="4">
        <v>212</v>
      </c>
      <c r="L255" s="4">
        <v>27</v>
      </c>
      <c r="M255" s="4">
        <v>0</v>
      </c>
      <c r="N255" s="4" t="s">
        <v>3</v>
      </c>
      <c r="O255" s="4">
        <v>2</v>
      </c>
      <c r="P255" s="4"/>
      <c r="Q255" s="4"/>
      <c r="R255" s="4"/>
      <c r="S255" s="4"/>
      <c r="T255" s="4"/>
      <c r="U255" s="4"/>
      <c r="V255" s="4"/>
      <c r="W255" s="4"/>
    </row>
    <row r="256" spans="1:23">
      <c r="A256" s="4">
        <v>50</v>
      </c>
      <c r="B256" s="4">
        <v>1</v>
      </c>
      <c r="C256" s="4">
        <v>0</v>
      </c>
      <c r="D256" s="4">
        <v>2</v>
      </c>
      <c r="E256" s="4">
        <v>0</v>
      </c>
      <c r="F256" s="4">
        <f>ROUND(F255*0.2,O256)</f>
        <v>13666.69</v>
      </c>
      <c r="G256" s="4" t="s">
        <v>23</v>
      </c>
      <c r="H256" s="4" t="s">
        <v>118</v>
      </c>
      <c r="I256" s="4"/>
      <c r="J256" s="4"/>
      <c r="K256" s="4">
        <v>212</v>
      </c>
      <c r="L256" s="4">
        <v>28</v>
      </c>
      <c r="M256" s="4">
        <v>0</v>
      </c>
      <c r="N256" s="4" t="s">
        <v>3</v>
      </c>
      <c r="O256" s="4">
        <v>2</v>
      </c>
      <c r="P256" s="4"/>
      <c r="Q256" s="4"/>
      <c r="R256" s="4"/>
      <c r="S256" s="4"/>
      <c r="T256" s="4"/>
      <c r="U256" s="4"/>
      <c r="V256" s="4"/>
      <c r="W256" s="4"/>
    </row>
    <row r="257" spans="1:245">
      <c r="A257" s="4">
        <v>50</v>
      </c>
      <c r="B257" s="4">
        <v>1</v>
      </c>
      <c r="C257" s="4">
        <v>0</v>
      </c>
      <c r="D257" s="4">
        <v>2</v>
      </c>
      <c r="E257" s="4">
        <v>0</v>
      </c>
      <c r="F257" s="4">
        <f>ROUND(F255+F256,O257)</f>
        <v>82000.12</v>
      </c>
      <c r="G257" s="4" t="s">
        <v>27</v>
      </c>
      <c r="H257" s="4" t="s">
        <v>119</v>
      </c>
      <c r="I257" s="4"/>
      <c r="J257" s="4"/>
      <c r="K257" s="4">
        <v>212</v>
      </c>
      <c r="L257" s="4">
        <v>29</v>
      </c>
      <c r="M257" s="4">
        <v>0</v>
      </c>
      <c r="N257" s="4" t="s">
        <v>3</v>
      </c>
      <c r="O257" s="4">
        <v>2</v>
      </c>
      <c r="P257" s="4"/>
      <c r="Q257" s="4"/>
      <c r="R257" s="4"/>
      <c r="S257" s="4"/>
      <c r="T257" s="4"/>
      <c r="U257" s="4"/>
      <c r="V257" s="4"/>
      <c r="W257" s="4"/>
    </row>
    <row r="259" spans="1:245">
      <c r="A259" s="1">
        <v>4</v>
      </c>
      <c r="B259" s="1">
        <v>1</v>
      </c>
      <c r="C259" s="1"/>
      <c r="D259" s="1">
        <f>ROW(A268)</f>
        <v>268</v>
      </c>
      <c r="E259" s="1"/>
      <c r="F259" s="1" t="s">
        <v>14</v>
      </c>
      <c r="G259" s="1" t="s">
        <v>227</v>
      </c>
      <c r="H259" s="1" t="s">
        <v>3</v>
      </c>
      <c r="I259" s="1">
        <v>0</v>
      </c>
      <c r="J259" s="1"/>
      <c r="K259" s="1">
        <v>0</v>
      </c>
      <c r="L259" s="1"/>
      <c r="M259" s="1"/>
      <c r="N259" s="1"/>
      <c r="O259" s="1"/>
      <c r="P259" s="1"/>
      <c r="Q259" s="1"/>
      <c r="R259" s="1"/>
      <c r="S259" s="1"/>
      <c r="T259" s="1"/>
      <c r="U259" s="1" t="s">
        <v>3</v>
      </c>
      <c r="V259" s="1">
        <v>0</v>
      </c>
      <c r="W259" s="1"/>
      <c r="X259" s="1"/>
      <c r="Y259" s="1"/>
      <c r="Z259" s="1"/>
      <c r="AA259" s="1"/>
      <c r="AB259" s="1" t="s">
        <v>3</v>
      </c>
      <c r="AC259" s="1" t="s">
        <v>3</v>
      </c>
      <c r="AD259" s="1" t="s">
        <v>3</v>
      </c>
      <c r="AE259" s="1" t="s">
        <v>3</v>
      </c>
      <c r="AF259" s="1" t="s">
        <v>3</v>
      </c>
      <c r="AG259" s="1" t="s">
        <v>3</v>
      </c>
      <c r="AH259" s="1"/>
      <c r="AI259" s="1"/>
      <c r="AJ259" s="1"/>
      <c r="AK259" s="1"/>
      <c r="AL259" s="1"/>
      <c r="AM259" s="1"/>
      <c r="AN259" s="1"/>
      <c r="AO259" s="1"/>
      <c r="AP259" s="1" t="s">
        <v>3</v>
      </c>
      <c r="AQ259" s="1" t="s">
        <v>3</v>
      </c>
      <c r="AR259" s="1" t="s">
        <v>3</v>
      </c>
      <c r="AS259" s="1"/>
      <c r="AT259" s="1"/>
      <c r="AU259" s="1"/>
      <c r="AV259" s="1"/>
      <c r="AW259" s="1"/>
      <c r="AX259" s="1"/>
      <c r="AY259" s="1"/>
      <c r="AZ259" s="1" t="s">
        <v>3</v>
      </c>
      <c r="BA259" s="1"/>
      <c r="BB259" s="1" t="s">
        <v>3</v>
      </c>
      <c r="BC259" s="1" t="s">
        <v>3</v>
      </c>
      <c r="BD259" s="1" t="s">
        <v>3</v>
      </c>
      <c r="BE259" s="1" t="s">
        <v>3</v>
      </c>
      <c r="BF259" s="1" t="s">
        <v>3</v>
      </c>
      <c r="BG259" s="1" t="s">
        <v>3</v>
      </c>
      <c r="BH259" s="1" t="s">
        <v>3</v>
      </c>
      <c r="BI259" s="1" t="s">
        <v>3</v>
      </c>
      <c r="BJ259" s="1" t="s">
        <v>3</v>
      </c>
      <c r="BK259" s="1" t="s">
        <v>3</v>
      </c>
      <c r="BL259" s="1" t="s">
        <v>3</v>
      </c>
      <c r="BM259" s="1" t="s">
        <v>3</v>
      </c>
      <c r="BN259" s="1" t="s">
        <v>3</v>
      </c>
      <c r="BO259" s="1" t="s">
        <v>3</v>
      </c>
      <c r="BP259" s="1" t="s">
        <v>3</v>
      </c>
      <c r="BQ259" s="1"/>
      <c r="BR259" s="1"/>
      <c r="BS259" s="1"/>
      <c r="BT259" s="1"/>
      <c r="BU259" s="1"/>
      <c r="BV259" s="1"/>
      <c r="BW259" s="1"/>
      <c r="BX259" s="1">
        <v>0</v>
      </c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>
        <v>0</v>
      </c>
    </row>
    <row r="261" spans="1:245">
      <c r="A261" s="2">
        <v>52</v>
      </c>
      <c r="B261" s="2">
        <f t="shared" ref="B261:G261" si="216">B268</f>
        <v>1</v>
      </c>
      <c r="C261" s="2">
        <f t="shared" si="216"/>
        <v>4</v>
      </c>
      <c r="D261" s="2">
        <f t="shared" si="216"/>
        <v>259</v>
      </c>
      <c r="E261" s="2">
        <f t="shared" si="216"/>
        <v>0</v>
      </c>
      <c r="F261" s="2" t="str">
        <f t="shared" si="216"/>
        <v>Новый раздел</v>
      </c>
      <c r="G261" s="2" t="str">
        <f t="shared" si="216"/>
        <v>Ремонт газона (посевной) - 550м2 ( вокруг цветника с кустами и деревьями)</v>
      </c>
      <c r="H261" s="2"/>
      <c r="I261" s="2"/>
      <c r="J261" s="2"/>
      <c r="K261" s="2"/>
      <c r="L261" s="2"/>
      <c r="M261" s="2"/>
      <c r="N261" s="2"/>
      <c r="O261" s="2">
        <f t="shared" ref="O261:AT261" si="217">O268</f>
        <v>85833.53</v>
      </c>
      <c r="P261" s="2">
        <f t="shared" si="217"/>
        <v>50058.57</v>
      </c>
      <c r="Q261" s="2">
        <f t="shared" si="217"/>
        <v>250.64</v>
      </c>
      <c r="R261" s="2">
        <f t="shared" si="217"/>
        <v>91.7</v>
      </c>
      <c r="S261" s="2">
        <f t="shared" si="217"/>
        <v>35524.32</v>
      </c>
      <c r="T261" s="2">
        <f t="shared" si="217"/>
        <v>0</v>
      </c>
      <c r="U261" s="2">
        <f t="shared" si="217"/>
        <v>188.92500000000001</v>
      </c>
      <c r="V261" s="2">
        <f t="shared" si="217"/>
        <v>0</v>
      </c>
      <c r="W261" s="2">
        <f t="shared" si="217"/>
        <v>0</v>
      </c>
      <c r="X261" s="2">
        <f t="shared" si="217"/>
        <v>24867.03</v>
      </c>
      <c r="Y261" s="2">
        <f t="shared" si="217"/>
        <v>3552.43</v>
      </c>
      <c r="Z261" s="2">
        <f t="shared" si="217"/>
        <v>0</v>
      </c>
      <c r="AA261" s="2">
        <f t="shared" si="217"/>
        <v>0</v>
      </c>
      <c r="AB261" s="2">
        <f t="shared" si="217"/>
        <v>85833.53</v>
      </c>
      <c r="AC261" s="2">
        <f t="shared" si="217"/>
        <v>50058.57</v>
      </c>
      <c r="AD261" s="2">
        <f t="shared" si="217"/>
        <v>250.64</v>
      </c>
      <c r="AE261" s="2">
        <f t="shared" si="217"/>
        <v>91.7</v>
      </c>
      <c r="AF261" s="2">
        <f t="shared" si="217"/>
        <v>35524.32</v>
      </c>
      <c r="AG261" s="2">
        <f t="shared" si="217"/>
        <v>0</v>
      </c>
      <c r="AH261" s="2">
        <f t="shared" si="217"/>
        <v>188.92500000000001</v>
      </c>
      <c r="AI261" s="2">
        <f t="shared" si="217"/>
        <v>0</v>
      </c>
      <c r="AJ261" s="2">
        <f t="shared" si="217"/>
        <v>0</v>
      </c>
      <c r="AK261" s="2">
        <f t="shared" si="217"/>
        <v>24867.03</v>
      </c>
      <c r="AL261" s="2">
        <f t="shared" si="217"/>
        <v>3552.43</v>
      </c>
      <c r="AM261" s="2">
        <f t="shared" si="217"/>
        <v>0</v>
      </c>
      <c r="AN261" s="2">
        <f t="shared" si="217"/>
        <v>0</v>
      </c>
      <c r="AO261" s="2">
        <f t="shared" si="217"/>
        <v>0</v>
      </c>
      <c r="AP261" s="2">
        <f t="shared" si="217"/>
        <v>0</v>
      </c>
      <c r="AQ261" s="2">
        <f t="shared" si="217"/>
        <v>0</v>
      </c>
      <c r="AR261" s="2">
        <f t="shared" si="217"/>
        <v>114352.03</v>
      </c>
      <c r="AS261" s="2">
        <f t="shared" si="217"/>
        <v>0</v>
      </c>
      <c r="AT261" s="2">
        <f t="shared" si="217"/>
        <v>0</v>
      </c>
      <c r="AU261" s="2">
        <f t="shared" ref="AU261:BZ261" si="218">AU268</f>
        <v>114352.03</v>
      </c>
      <c r="AV261" s="2">
        <f t="shared" si="218"/>
        <v>50058.57</v>
      </c>
      <c r="AW261" s="2">
        <f t="shared" si="218"/>
        <v>50058.57</v>
      </c>
      <c r="AX261" s="2">
        <f t="shared" si="218"/>
        <v>0</v>
      </c>
      <c r="AY261" s="2">
        <f t="shared" si="218"/>
        <v>50058.57</v>
      </c>
      <c r="AZ261" s="2">
        <f t="shared" si="218"/>
        <v>0</v>
      </c>
      <c r="BA261" s="2">
        <f t="shared" si="218"/>
        <v>0</v>
      </c>
      <c r="BB261" s="2">
        <f t="shared" si="218"/>
        <v>0</v>
      </c>
      <c r="BC261" s="2">
        <f t="shared" si="218"/>
        <v>0</v>
      </c>
      <c r="BD261" s="2">
        <f t="shared" si="218"/>
        <v>0</v>
      </c>
      <c r="BE261" s="2">
        <f t="shared" si="218"/>
        <v>0</v>
      </c>
      <c r="BF261" s="2">
        <f t="shared" si="218"/>
        <v>0</v>
      </c>
      <c r="BG261" s="2">
        <f t="shared" si="218"/>
        <v>0</v>
      </c>
      <c r="BH261" s="2">
        <f t="shared" si="218"/>
        <v>0</v>
      </c>
      <c r="BI261" s="2">
        <f t="shared" si="218"/>
        <v>0</v>
      </c>
      <c r="BJ261" s="2">
        <f t="shared" si="218"/>
        <v>0</v>
      </c>
      <c r="BK261" s="2">
        <f t="shared" si="218"/>
        <v>0</v>
      </c>
      <c r="BL261" s="2">
        <f t="shared" si="218"/>
        <v>0</v>
      </c>
      <c r="BM261" s="2">
        <f t="shared" si="218"/>
        <v>0</v>
      </c>
      <c r="BN261" s="2">
        <f t="shared" si="218"/>
        <v>0</v>
      </c>
      <c r="BO261" s="2">
        <f t="shared" si="218"/>
        <v>0</v>
      </c>
      <c r="BP261" s="2">
        <f t="shared" si="218"/>
        <v>0</v>
      </c>
      <c r="BQ261" s="2">
        <f t="shared" si="218"/>
        <v>0</v>
      </c>
      <c r="BR261" s="2">
        <f t="shared" si="218"/>
        <v>0</v>
      </c>
      <c r="BS261" s="2">
        <f t="shared" si="218"/>
        <v>0</v>
      </c>
      <c r="BT261" s="2">
        <f t="shared" si="218"/>
        <v>0</v>
      </c>
      <c r="BU261" s="2">
        <f t="shared" si="218"/>
        <v>0</v>
      </c>
      <c r="BV261" s="2">
        <f t="shared" si="218"/>
        <v>0</v>
      </c>
      <c r="BW261" s="2">
        <f t="shared" si="218"/>
        <v>0</v>
      </c>
      <c r="BX261" s="2">
        <f t="shared" si="218"/>
        <v>0</v>
      </c>
      <c r="BY261" s="2">
        <f t="shared" si="218"/>
        <v>0</v>
      </c>
      <c r="BZ261" s="2">
        <f t="shared" si="218"/>
        <v>0</v>
      </c>
      <c r="CA261" s="2">
        <f t="shared" ref="CA261:DF261" si="219">CA268</f>
        <v>114352.03</v>
      </c>
      <c r="CB261" s="2">
        <f t="shared" si="219"/>
        <v>0</v>
      </c>
      <c r="CC261" s="2">
        <f t="shared" si="219"/>
        <v>0</v>
      </c>
      <c r="CD261" s="2">
        <f t="shared" si="219"/>
        <v>114352.03</v>
      </c>
      <c r="CE261" s="2">
        <f t="shared" si="219"/>
        <v>50058.57</v>
      </c>
      <c r="CF261" s="2">
        <f t="shared" si="219"/>
        <v>50058.57</v>
      </c>
      <c r="CG261" s="2">
        <f t="shared" si="219"/>
        <v>0</v>
      </c>
      <c r="CH261" s="2">
        <f t="shared" si="219"/>
        <v>50058.57</v>
      </c>
      <c r="CI261" s="2">
        <f t="shared" si="219"/>
        <v>0</v>
      </c>
      <c r="CJ261" s="2">
        <f t="shared" si="219"/>
        <v>0</v>
      </c>
      <c r="CK261" s="2">
        <f t="shared" si="219"/>
        <v>0</v>
      </c>
      <c r="CL261" s="2">
        <f t="shared" si="219"/>
        <v>0</v>
      </c>
      <c r="CM261" s="2">
        <f t="shared" si="219"/>
        <v>0</v>
      </c>
      <c r="CN261" s="2">
        <f t="shared" si="219"/>
        <v>0</v>
      </c>
      <c r="CO261" s="2">
        <f t="shared" si="219"/>
        <v>0</v>
      </c>
      <c r="CP261" s="2">
        <f t="shared" si="219"/>
        <v>0</v>
      </c>
      <c r="CQ261" s="2">
        <f t="shared" si="219"/>
        <v>0</v>
      </c>
      <c r="CR261" s="2">
        <f t="shared" si="219"/>
        <v>0</v>
      </c>
      <c r="CS261" s="2">
        <f t="shared" si="219"/>
        <v>0</v>
      </c>
      <c r="CT261" s="2">
        <f t="shared" si="219"/>
        <v>0</v>
      </c>
      <c r="CU261" s="2">
        <f t="shared" si="219"/>
        <v>0</v>
      </c>
      <c r="CV261" s="2">
        <f t="shared" si="219"/>
        <v>0</v>
      </c>
      <c r="CW261" s="2">
        <f t="shared" si="219"/>
        <v>0</v>
      </c>
      <c r="CX261" s="2">
        <f t="shared" si="219"/>
        <v>0</v>
      </c>
      <c r="CY261" s="2">
        <f t="shared" si="219"/>
        <v>0</v>
      </c>
      <c r="CZ261" s="2">
        <f t="shared" si="219"/>
        <v>0</v>
      </c>
      <c r="DA261" s="2">
        <f t="shared" si="219"/>
        <v>0</v>
      </c>
      <c r="DB261" s="2">
        <f t="shared" si="219"/>
        <v>0</v>
      </c>
      <c r="DC261" s="2">
        <f t="shared" si="219"/>
        <v>0</v>
      </c>
      <c r="DD261" s="2">
        <f t="shared" si="219"/>
        <v>0</v>
      </c>
      <c r="DE261" s="2">
        <f t="shared" si="219"/>
        <v>0</v>
      </c>
      <c r="DF261" s="2">
        <f t="shared" si="219"/>
        <v>0</v>
      </c>
      <c r="DG261" s="3">
        <f t="shared" ref="DG261:EL261" si="220">DG268</f>
        <v>0</v>
      </c>
      <c r="DH261" s="3">
        <f t="shared" si="220"/>
        <v>0</v>
      </c>
      <c r="DI261" s="3">
        <f t="shared" si="220"/>
        <v>0</v>
      </c>
      <c r="DJ261" s="3">
        <f t="shared" si="220"/>
        <v>0</v>
      </c>
      <c r="DK261" s="3">
        <f t="shared" si="220"/>
        <v>0</v>
      </c>
      <c r="DL261" s="3">
        <f t="shared" si="220"/>
        <v>0</v>
      </c>
      <c r="DM261" s="3">
        <f t="shared" si="220"/>
        <v>0</v>
      </c>
      <c r="DN261" s="3">
        <f t="shared" si="220"/>
        <v>0</v>
      </c>
      <c r="DO261" s="3">
        <f t="shared" si="220"/>
        <v>0</v>
      </c>
      <c r="DP261" s="3">
        <f t="shared" si="220"/>
        <v>0</v>
      </c>
      <c r="DQ261" s="3">
        <f t="shared" si="220"/>
        <v>0</v>
      </c>
      <c r="DR261" s="3">
        <f t="shared" si="220"/>
        <v>0</v>
      </c>
      <c r="DS261" s="3">
        <f t="shared" si="220"/>
        <v>0</v>
      </c>
      <c r="DT261" s="3">
        <f t="shared" si="220"/>
        <v>0</v>
      </c>
      <c r="DU261" s="3">
        <f t="shared" si="220"/>
        <v>0</v>
      </c>
      <c r="DV261" s="3">
        <f t="shared" si="220"/>
        <v>0</v>
      </c>
      <c r="DW261" s="3">
        <f t="shared" si="220"/>
        <v>0</v>
      </c>
      <c r="DX261" s="3">
        <f t="shared" si="220"/>
        <v>0</v>
      </c>
      <c r="DY261" s="3">
        <f t="shared" si="220"/>
        <v>0</v>
      </c>
      <c r="DZ261" s="3">
        <f t="shared" si="220"/>
        <v>0</v>
      </c>
      <c r="EA261" s="3">
        <f t="shared" si="220"/>
        <v>0</v>
      </c>
      <c r="EB261" s="3">
        <f t="shared" si="220"/>
        <v>0</v>
      </c>
      <c r="EC261" s="3">
        <f t="shared" si="220"/>
        <v>0</v>
      </c>
      <c r="ED261" s="3">
        <f t="shared" si="220"/>
        <v>0</v>
      </c>
      <c r="EE261" s="3">
        <f t="shared" si="220"/>
        <v>0</v>
      </c>
      <c r="EF261" s="3">
        <f t="shared" si="220"/>
        <v>0</v>
      </c>
      <c r="EG261" s="3">
        <f t="shared" si="220"/>
        <v>0</v>
      </c>
      <c r="EH261" s="3">
        <f t="shared" si="220"/>
        <v>0</v>
      </c>
      <c r="EI261" s="3">
        <f t="shared" si="220"/>
        <v>0</v>
      </c>
      <c r="EJ261" s="3">
        <f t="shared" si="220"/>
        <v>0</v>
      </c>
      <c r="EK261" s="3">
        <f t="shared" si="220"/>
        <v>0</v>
      </c>
      <c r="EL261" s="3">
        <f t="shared" si="220"/>
        <v>0</v>
      </c>
      <c r="EM261" s="3">
        <f t="shared" ref="EM261:FR261" si="221">EM268</f>
        <v>0</v>
      </c>
      <c r="EN261" s="3">
        <f t="shared" si="221"/>
        <v>0</v>
      </c>
      <c r="EO261" s="3">
        <f t="shared" si="221"/>
        <v>0</v>
      </c>
      <c r="EP261" s="3">
        <f t="shared" si="221"/>
        <v>0</v>
      </c>
      <c r="EQ261" s="3">
        <f t="shared" si="221"/>
        <v>0</v>
      </c>
      <c r="ER261" s="3">
        <f t="shared" si="221"/>
        <v>0</v>
      </c>
      <c r="ES261" s="3">
        <f t="shared" si="221"/>
        <v>0</v>
      </c>
      <c r="ET261" s="3">
        <f t="shared" si="221"/>
        <v>0</v>
      </c>
      <c r="EU261" s="3">
        <f t="shared" si="221"/>
        <v>0</v>
      </c>
      <c r="EV261" s="3">
        <f t="shared" si="221"/>
        <v>0</v>
      </c>
      <c r="EW261" s="3">
        <f t="shared" si="221"/>
        <v>0</v>
      </c>
      <c r="EX261" s="3">
        <f t="shared" si="221"/>
        <v>0</v>
      </c>
      <c r="EY261" s="3">
        <f t="shared" si="221"/>
        <v>0</v>
      </c>
      <c r="EZ261" s="3">
        <f t="shared" si="221"/>
        <v>0</v>
      </c>
      <c r="FA261" s="3">
        <f t="shared" si="221"/>
        <v>0</v>
      </c>
      <c r="FB261" s="3">
        <f t="shared" si="221"/>
        <v>0</v>
      </c>
      <c r="FC261" s="3">
        <f t="shared" si="221"/>
        <v>0</v>
      </c>
      <c r="FD261" s="3">
        <f t="shared" si="221"/>
        <v>0</v>
      </c>
      <c r="FE261" s="3">
        <f t="shared" si="221"/>
        <v>0</v>
      </c>
      <c r="FF261" s="3">
        <f t="shared" si="221"/>
        <v>0</v>
      </c>
      <c r="FG261" s="3">
        <f t="shared" si="221"/>
        <v>0</v>
      </c>
      <c r="FH261" s="3">
        <f t="shared" si="221"/>
        <v>0</v>
      </c>
      <c r="FI261" s="3">
        <f t="shared" si="221"/>
        <v>0</v>
      </c>
      <c r="FJ261" s="3">
        <f t="shared" si="221"/>
        <v>0</v>
      </c>
      <c r="FK261" s="3">
        <f t="shared" si="221"/>
        <v>0</v>
      </c>
      <c r="FL261" s="3">
        <f t="shared" si="221"/>
        <v>0</v>
      </c>
      <c r="FM261" s="3">
        <f t="shared" si="221"/>
        <v>0</v>
      </c>
      <c r="FN261" s="3">
        <f t="shared" si="221"/>
        <v>0</v>
      </c>
      <c r="FO261" s="3">
        <f t="shared" si="221"/>
        <v>0</v>
      </c>
      <c r="FP261" s="3">
        <f t="shared" si="221"/>
        <v>0</v>
      </c>
      <c r="FQ261" s="3">
        <f t="shared" si="221"/>
        <v>0</v>
      </c>
      <c r="FR261" s="3">
        <f t="shared" si="221"/>
        <v>0</v>
      </c>
      <c r="FS261" s="3">
        <f t="shared" ref="FS261:GX261" si="222">FS268</f>
        <v>0</v>
      </c>
      <c r="FT261" s="3">
        <f t="shared" si="222"/>
        <v>0</v>
      </c>
      <c r="FU261" s="3">
        <f t="shared" si="222"/>
        <v>0</v>
      </c>
      <c r="FV261" s="3">
        <f t="shared" si="222"/>
        <v>0</v>
      </c>
      <c r="FW261" s="3">
        <f t="shared" si="222"/>
        <v>0</v>
      </c>
      <c r="FX261" s="3">
        <f t="shared" si="222"/>
        <v>0</v>
      </c>
      <c r="FY261" s="3">
        <f t="shared" si="222"/>
        <v>0</v>
      </c>
      <c r="FZ261" s="3">
        <f t="shared" si="222"/>
        <v>0</v>
      </c>
      <c r="GA261" s="3">
        <f t="shared" si="222"/>
        <v>0</v>
      </c>
      <c r="GB261" s="3">
        <f t="shared" si="222"/>
        <v>0</v>
      </c>
      <c r="GC261" s="3">
        <f t="shared" si="222"/>
        <v>0</v>
      </c>
      <c r="GD261" s="3">
        <f t="shared" si="222"/>
        <v>0</v>
      </c>
      <c r="GE261" s="3">
        <f t="shared" si="222"/>
        <v>0</v>
      </c>
      <c r="GF261" s="3">
        <f t="shared" si="222"/>
        <v>0</v>
      </c>
      <c r="GG261" s="3">
        <f t="shared" si="222"/>
        <v>0</v>
      </c>
      <c r="GH261" s="3">
        <f t="shared" si="222"/>
        <v>0</v>
      </c>
      <c r="GI261" s="3">
        <f t="shared" si="222"/>
        <v>0</v>
      </c>
      <c r="GJ261" s="3">
        <f t="shared" si="222"/>
        <v>0</v>
      </c>
      <c r="GK261" s="3">
        <f t="shared" si="222"/>
        <v>0</v>
      </c>
      <c r="GL261" s="3">
        <f t="shared" si="222"/>
        <v>0</v>
      </c>
      <c r="GM261" s="3">
        <f t="shared" si="222"/>
        <v>0</v>
      </c>
      <c r="GN261" s="3">
        <f t="shared" si="222"/>
        <v>0</v>
      </c>
      <c r="GO261" s="3">
        <f t="shared" si="222"/>
        <v>0</v>
      </c>
      <c r="GP261" s="3">
        <f t="shared" si="222"/>
        <v>0</v>
      </c>
      <c r="GQ261" s="3">
        <f t="shared" si="222"/>
        <v>0</v>
      </c>
      <c r="GR261" s="3">
        <f t="shared" si="222"/>
        <v>0</v>
      </c>
      <c r="GS261" s="3">
        <f t="shared" si="222"/>
        <v>0</v>
      </c>
      <c r="GT261" s="3">
        <f t="shared" si="222"/>
        <v>0</v>
      </c>
      <c r="GU261" s="3">
        <f t="shared" si="222"/>
        <v>0</v>
      </c>
      <c r="GV261" s="3">
        <f t="shared" si="222"/>
        <v>0</v>
      </c>
      <c r="GW261" s="3">
        <f t="shared" si="222"/>
        <v>0</v>
      </c>
      <c r="GX261" s="3">
        <f t="shared" si="222"/>
        <v>0</v>
      </c>
    </row>
    <row r="263" spans="1:245">
      <c r="A263">
        <v>17</v>
      </c>
      <c r="B263">
        <v>1</v>
      </c>
      <c r="C263">
        <f>ROW(SmtRes!A115)</f>
        <v>115</v>
      </c>
      <c r="D263">
        <f>ROW(EtalonRes!A102)</f>
        <v>102</v>
      </c>
      <c r="E263" t="s">
        <v>228</v>
      </c>
      <c r="F263" t="s">
        <v>229</v>
      </c>
      <c r="G263" t="s">
        <v>230</v>
      </c>
      <c r="H263" t="s">
        <v>18</v>
      </c>
      <c r="I263">
        <f>ROUND(550*0.75/100,9)</f>
        <v>4.125</v>
      </c>
      <c r="J263">
        <v>0</v>
      </c>
      <c r="O263">
        <f>ROUND(CP263,2)</f>
        <v>70390.78</v>
      </c>
      <c r="P263">
        <f>ROUND(CQ263*I263,2)</f>
        <v>46633.33</v>
      </c>
      <c r="Q263">
        <f>ROUND(CR263*I263,2)</f>
        <v>250.64</v>
      </c>
      <c r="R263">
        <f>ROUND(CS263*I263,2)</f>
        <v>91.7</v>
      </c>
      <c r="S263">
        <f>ROUND(CT263*I263,2)</f>
        <v>23506.81</v>
      </c>
      <c r="T263">
        <f>ROUND(CU263*I263,2)</f>
        <v>0</v>
      </c>
      <c r="U263">
        <f>CV263*I263</f>
        <v>127.05</v>
      </c>
      <c r="V263">
        <f>CW263*I263</f>
        <v>0</v>
      </c>
      <c r="W263">
        <f>ROUND(CX263*I263,2)</f>
        <v>0</v>
      </c>
      <c r="X263">
        <f t="shared" ref="X263:Y266" si="223">ROUND(CY263,2)</f>
        <v>16454.77</v>
      </c>
      <c r="Y263">
        <f t="shared" si="223"/>
        <v>2350.6799999999998</v>
      </c>
      <c r="AA263">
        <v>42225948</v>
      </c>
      <c r="AB263">
        <f>ROUND((AC263+AD263+AF263),6)</f>
        <v>17064.43</v>
      </c>
      <c r="AC263">
        <f>ROUND((ES263),6)</f>
        <v>11305.05</v>
      </c>
      <c r="AD263">
        <f>ROUND((((ET263)-(EU263))+AE263),6)</f>
        <v>60.76</v>
      </c>
      <c r="AE263">
        <f t="shared" ref="AE263:AF266" si="224">ROUND((EU263),6)</f>
        <v>22.23</v>
      </c>
      <c r="AF263">
        <f t="shared" si="224"/>
        <v>5698.62</v>
      </c>
      <c r="AG263">
        <f>ROUND((AP263),6)</f>
        <v>0</v>
      </c>
      <c r="AH263">
        <f t="shared" ref="AH263:AI266" si="225">(EW263)</f>
        <v>30.8</v>
      </c>
      <c r="AI263">
        <f t="shared" si="225"/>
        <v>0</v>
      </c>
      <c r="AJ263">
        <f>(AS263)</f>
        <v>0</v>
      </c>
      <c r="AK263">
        <v>17064.43</v>
      </c>
      <c r="AL263">
        <v>11305.05</v>
      </c>
      <c r="AM263">
        <v>60.76</v>
      </c>
      <c r="AN263">
        <v>22.23</v>
      </c>
      <c r="AO263">
        <v>5698.62</v>
      </c>
      <c r="AP263">
        <v>0</v>
      </c>
      <c r="AQ263">
        <v>30.8</v>
      </c>
      <c r="AR263">
        <v>0</v>
      </c>
      <c r="AS263">
        <v>0</v>
      </c>
      <c r="AT263">
        <v>70</v>
      </c>
      <c r="AU263">
        <v>10</v>
      </c>
      <c r="AV263">
        <v>1</v>
      </c>
      <c r="AW263">
        <v>1</v>
      </c>
      <c r="AZ263">
        <v>1</v>
      </c>
      <c r="BA263">
        <v>1</v>
      </c>
      <c r="BB263">
        <v>1</v>
      </c>
      <c r="BC263">
        <v>1</v>
      </c>
      <c r="BD263" t="s">
        <v>3</v>
      </c>
      <c r="BE263" t="s">
        <v>3</v>
      </c>
      <c r="BF263" t="s">
        <v>3</v>
      </c>
      <c r="BG263" t="s">
        <v>3</v>
      </c>
      <c r="BH263">
        <v>0</v>
      </c>
      <c r="BI263">
        <v>4</v>
      </c>
      <c r="BJ263" t="s">
        <v>231</v>
      </c>
      <c r="BM263">
        <v>0</v>
      </c>
      <c r="BN263">
        <v>0</v>
      </c>
      <c r="BO263" t="s">
        <v>3</v>
      </c>
      <c r="BP263">
        <v>0</v>
      </c>
      <c r="BQ263">
        <v>1</v>
      </c>
      <c r="BR263">
        <v>0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 t="s">
        <v>3</v>
      </c>
      <c r="BZ263">
        <v>70</v>
      </c>
      <c r="CA263">
        <v>10</v>
      </c>
      <c r="CE263">
        <v>0</v>
      </c>
      <c r="CF263">
        <v>0</v>
      </c>
      <c r="CG263">
        <v>0</v>
      </c>
      <c r="CM263">
        <v>0</v>
      </c>
      <c r="CN263" t="s">
        <v>3</v>
      </c>
      <c r="CO263">
        <v>0</v>
      </c>
      <c r="CP263">
        <f>(P263+Q263+S263)</f>
        <v>70390.78</v>
      </c>
      <c r="CQ263">
        <f>(AC263*BC263*AW263)</f>
        <v>11305.05</v>
      </c>
      <c r="CR263">
        <f>((((ET263)*BB263-(EU263)*BS263)+AE263*BS263)*AV263)</f>
        <v>60.760000000000005</v>
      </c>
      <c r="CS263">
        <f>(AE263*BS263*AV263)</f>
        <v>22.23</v>
      </c>
      <c r="CT263">
        <f>(AF263*BA263*AV263)</f>
        <v>5698.62</v>
      </c>
      <c r="CU263">
        <f>AG263</f>
        <v>0</v>
      </c>
      <c r="CV263">
        <f>(AH263*AV263)</f>
        <v>30.8</v>
      </c>
      <c r="CW263">
        <f t="shared" ref="CW263:CX266" si="226">AI263</f>
        <v>0</v>
      </c>
      <c r="CX263">
        <f t="shared" si="226"/>
        <v>0</v>
      </c>
      <c r="CY263">
        <f>((S263*BZ263)/100)</f>
        <v>16454.767000000003</v>
      </c>
      <c r="CZ263">
        <f>((S263*CA263)/100)</f>
        <v>2350.681</v>
      </c>
      <c r="DC263" t="s">
        <v>3</v>
      </c>
      <c r="DD263" t="s">
        <v>3</v>
      </c>
      <c r="DE263" t="s">
        <v>3</v>
      </c>
      <c r="DF263" t="s">
        <v>3</v>
      </c>
      <c r="DG263" t="s">
        <v>3</v>
      </c>
      <c r="DH263" t="s">
        <v>3</v>
      </c>
      <c r="DI263" t="s">
        <v>3</v>
      </c>
      <c r="DJ263" t="s">
        <v>3</v>
      </c>
      <c r="DK263" t="s">
        <v>3</v>
      </c>
      <c r="DL263" t="s">
        <v>3</v>
      </c>
      <c r="DM263" t="s">
        <v>3</v>
      </c>
      <c r="DN263">
        <v>0</v>
      </c>
      <c r="DO263">
        <v>0</v>
      </c>
      <c r="DP263">
        <v>1</v>
      </c>
      <c r="DQ263">
        <v>1</v>
      </c>
      <c r="DU263">
        <v>1005</v>
      </c>
      <c r="DV263" t="s">
        <v>18</v>
      </c>
      <c r="DW263" t="s">
        <v>18</v>
      </c>
      <c r="DX263">
        <v>100</v>
      </c>
      <c r="EE263">
        <v>40050625</v>
      </c>
      <c r="EF263">
        <v>1</v>
      </c>
      <c r="EG263" t="s">
        <v>20</v>
      </c>
      <c r="EH263">
        <v>0</v>
      </c>
      <c r="EI263" t="s">
        <v>3</v>
      </c>
      <c r="EJ263">
        <v>4</v>
      </c>
      <c r="EK263">
        <v>0</v>
      </c>
      <c r="EL263" t="s">
        <v>21</v>
      </c>
      <c r="EM263" t="s">
        <v>22</v>
      </c>
      <c r="EO263" t="s">
        <v>3</v>
      </c>
      <c r="EQ263">
        <v>0</v>
      </c>
      <c r="ER263">
        <v>17064.43</v>
      </c>
      <c r="ES263">
        <v>11305.05</v>
      </c>
      <c r="ET263">
        <v>60.76</v>
      </c>
      <c r="EU263">
        <v>22.23</v>
      </c>
      <c r="EV263">
        <v>5698.62</v>
      </c>
      <c r="EW263">
        <v>30.8</v>
      </c>
      <c r="EX263">
        <v>0</v>
      </c>
      <c r="EY263">
        <v>0</v>
      </c>
      <c r="FQ263">
        <v>0</v>
      </c>
      <c r="FR263">
        <f>ROUND(IF(AND(BH263=3,BI263=3),P263,0),2)</f>
        <v>0</v>
      </c>
      <c r="FS263">
        <v>0</v>
      </c>
      <c r="FX263">
        <v>70</v>
      </c>
      <c r="FY263">
        <v>10</v>
      </c>
      <c r="GA263" t="s">
        <v>3</v>
      </c>
      <c r="GD263">
        <v>0</v>
      </c>
      <c r="GF263">
        <v>690024525</v>
      </c>
      <c r="GG263">
        <v>2</v>
      </c>
      <c r="GH263">
        <v>1</v>
      </c>
      <c r="GI263">
        <v>-2</v>
      </c>
      <c r="GJ263">
        <v>0</v>
      </c>
      <c r="GK263">
        <f>ROUND(R263*(R12)/100,2)</f>
        <v>99.04</v>
      </c>
      <c r="GL263">
        <f>ROUND(IF(AND(BH263=3,BI263=3,FS263&lt;&gt;0),P263,0),2)</f>
        <v>0</v>
      </c>
      <c r="GM263">
        <f>ROUND(O263+X263+Y263+GK263,2)+GX263</f>
        <v>89295.27</v>
      </c>
      <c r="GN263">
        <f>IF(OR(BI263=0,BI263=1),ROUND(O263+X263+Y263+GK263,2),0)</f>
        <v>0</v>
      </c>
      <c r="GO263">
        <f>IF(BI263=2,ROUND(O263+X263+Y263+GK263,2),0)</f>
        <v>0</v>
      </c>
      <c r="GP263">
        <f>IF(BI263=4,ROUND(O263+X263+Y263+GK263,2)+GX263,0)</f>
        <v>89295.27</v>
      </c>
      <c r="GR263">
        <v>0</v>
      </c>
      <c r="GS263">
        <v>0</v>
      </c>
      <c r="GT263">
        <v>0</v>
      </c>
      <c r="GU263" t="s">
        <v>3</v>
      </c>
      <c r="GV263">
        <f>ROUND((GT263),6)</f>
        <v>0</v>
      </c>
      <c r="GW263">
        <v>1</v>
      </c>
      <c r="GX263">
        <f>ROUND(HC263*I263,2)</f>
        <v>0</v>
      </c>
      <c r="HA263">
        <v>0</v>
      </c>
      <c r="HB263">
        <v>0</v>
      </c>
      <c r="HC263">
        <f>GV263*GW263</f>
        <v>0</v>
      </c>
      <c r="IK263">
        <v>0</v>
      </c>
    </row>
    <row r="264" spans="1:245">
      <c r="A264">
        <v>17</v>
      </c>
      <c r="B264">
        <v>1</v>
      </c>
      <c r="C264">
        <f>ROW(SmtRes!A117)</f>
        <v>117</v>
      </c>
      <c r="D264">
        <f>ROW(EtalonRes!A104)</f>
        <v>104</v>
      </c>
      <c r="E264" t="s">
        <v>232</v>
      </c>
      <c r="F264" t="s">
        <v>233</v>
      </c>
      <c r="G264" t="s">
        <v>234</v>
      </c>
      <c r="H264" t="s">
        <v>18</v>
      </c>
      <c r="I264">
        <f>ROUND(550*0.25/100,9)</f>
        <v>1.375</v>
      </c>
      <c r="J264">
        <v>0</v>
      </c>
      <c r="O264">
        <f>ROUND(CP264,2)</f>
        <v>27246.959999999999</v>
      </c>
      <c r="P264">
        <f>ROUND(CQ264*I264,2)</f>
        <v>15544.44</v>
      </c>
      <c r="Q264">
        <f>ROUND(CR264*I264,2)</f>
        <v>0</v>
      </c>
      <c r="R264">
        <f>ROUND(CS264*I264,2)</f>
        <v>0</v>
      </c>
      <c r="S264">
        <f>ROUND(CT264*I264,2)</f>
        <v>11702.52</v>
      </c>
      <c r="T264">
        <f>ROUND(CU264*I264,2)</f>
        <v>0</v>
      </c>
      <c r="U264">
        <f>CV264*I264</f>
        <v>63.25</v>
      </c>
      <c r="V264">
        <f>CW264*I264</f>
        <v>0</v>
      </c>
      <c r="W264">
        <f>ROUND(CX264*I264,2)</f>
        <v>0</v>
      </c>
      <c r="X264">
        <f t="shared" si="223"/>
        <v>8191.76</v>
      </c>
      <c r="Y264">
        <f t="shared" si="223"/>
        <v>1170.25</v>
      </c>
      <c r="AA264">
        <v>42225948</v>
      </c>
      <c r="AB264">
        <f>ROUND((AC264+AD264+AF264),6)</f>
        <v>19815.97</v>
      </c>
      <c r="AC264">
        <f>ROUND((ES264),6)</f>
        <v>11305.05</v>
      </c>
      <c r="AD264">
        <f>ROUND((((ET264)-(EU264))+AE264),6)</f>
        <v>0</v>
      </c>
      <c r="AE264">
        <f t="shared" si="224"/>
        <v>0</v>
      </c>
      <c r="AF264">
        <f t="shared" si="224"/>
        <v>8510.92</v>
      </c>
      <c r="AG264">
        <f>ROUND((AP264),6)</f>
        <v>0</v>
      </c>
      <c r="AH264">
        <f t="shared" si="225"/>
        <v>46</v>
      </c>
      <c r="AI264">
        <f t="shared" si="225"/>
        <v>0</v>
      </c>
      <c r="AJ264">
        <f>(AS264)</f>
        <v>0</v>
      </c>
      <c r="AK264">
        <v>19815.97</v>
      </c>
      <c r="AL264">
        <v>11305.05</v>
      </c>
      <c r="AM264">
        <v>0</v>
      </c>
      <c r="AN264">
        <v>0</v>
      </c>
      <c r="AO264">
        <v>8510.92</v>
      </c>
      <c r="AP264">
        <v>0</v>
      </c>
      <c r="AQ264">
        <v>46</v>
      </c>
      <c r="AR264">
        <v>0</v>
      </c>
      <c r="AS264">
        <v>0</v>
      </c>
      <c r="AT264">
        <v>70</v>
      </c>
      <c r="AU264">
        <v>10</v>
      </c>
      <c r="AV264">
        <v>1</v>
      </c>
      <c r="AW264">
        <v>1</v>
      </c>
      <c r="AZ264">
        <v>1</v>
      </c>
      <c r="BA264">
        <v>1</v>
      </c>
      <c r="BB264">
        <v>1</v>
      </c>
      <c r="BC264">
        <v>1</v>
      </c>
      <c r="BD264" t="s">
        <v>3</v>
      </c>
      <c r="BE264" t="s">
        <v>3</v>
      </c>
      <c r="BF264" t="s">
        <v>3</v>
      </c>
      <c r="BG264" t="s">
        <v>3</v>
      </c>
      <c r="BH264">
        <v>0</v>
      </c>
      <c r="BI264">
        <v>4</v>
      </c>
      <c r="BJ264" t="s">
        <v>235</v>
      </c>
      <c r="BM264">
        <v>0</v>
      </c>
      <c r="BN264">
        <v>0</v>
      </c>
      <c r="BO264" t="s">
        <v>3</v>
      </c>
      <c r="BP264">
        <v>0</v>
      </c>
      <c r="BQ264">
        <v>1</v>
      </c>
      <c r="BR264">
        <v>0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 t="s">
        <v>3</v>
      </c>
      <c r="BZ264">
        <v>70</v>
      </c>
      <c r="CA264">
        <v>10</v>
      </c>
      <c r="CE264">
        <v>0</v>
      </c>
      <c r="CF264">
        <v>0</v>
      </c>
      <c r="CG264">
        <v>0</v>
      </c>
      <c r="CM264">
        <v>0</v>
      </c>
      <c r="CN264" t="s">
        <v>3</v>
      </c>
      <c r="CO264">
        <v>0</v>
      </c>
      <c r="CP264">
        <f>(P264+Q264+S264)</f>
        <v>27246.959999999999</v>
      </c>
      <c r="CQ264">
        <f>(AC264*BC264*AW264)</f>
        <v>11305.05</v>
      </c>
      <c r="CR264">
        <f>((((ET264)*BB264-(EU264)*BS264)+AE264*BS264)*AV264)</f>
        <v>0</v>
      </c>
      <c r="CS264">
        <f>(AE264*BS264*AV264)</f>
        <v>0</v>
      </c>
      <c r="CT264">
        <f>(AF264*BA264*AV264)</f>
        <v>8510.92</v>
      </c>
      <c r="CU264">
        <f>AG264</f>
        <v>0</v>
      </c>
      <c r="CV264">
        <f>(AH264*AV264)</f>
        <v>46</v>
      </c>
      <c r="CW264">
        <f t="shared" si="226"/>
        <v>0</v>
      </c>
      <c r="CX264">
        <f t="shared" si="226"/>
        <v>0</v>
      </c>
      <c r="CY264">
        <f>((S264*BZ264)/100)</f>
        <v>8191.7640000000001</v>
      </c>
      <c r="CZ264">
        <f>((S264*CA264)/100)</f>
        <v>1170.2520000000002</v>
      </c>
      <c r="DC264" t="s">
        <v>3</v>
      </c>
      <c r="DD264" t="s">
        <v>3</v>
      </c>
      <c r="DE264" t="s">
        <v>3</v>
      </c>
      <c r="DF264" t="s">
        <v>3</v>
      </c>
      <c r="DG264" t="s">
        <v>3</v>
      </c>
      <c r="DH264" t="s">
        <v>3</v>
      </c>
      <c r="DI264" t="s">
        <v>3</v>
      </c>
      <c r="DJ264" t="s">
        <v>3</v>
      </c>
      <c r="DK264" t="s">
        <v>3</v>
      </c>
      <c r="DL264" t="s">
        <v>3</v>
      </c>
      <c r="DM264" t="s">
        <v>3</v>
      </c>
      <c r="DN264">
        <v>0</v>
      </c>
      <c r="DO264">
        <v>0</v>
      </c>
      <c r="DP264">
        <v>1</v>
      </c>
      <c r="DQ264">
        <v>1</v>
      </c>
      <c r="DU264">
        <v>1005</v>
      </c>
      <c r="DV264" t="s">
        <v>18</v>
      </c>
      <c r="DW264" t="s">
        <v>18</v>
      </c>
      <c r="DX264">
        <v>100</v>
      </c>
      <c r="EE264">
        <v>40050625</v>
      </c>
      <c r="EF264">
        <v>1</v>
      </c>
      <c r="EG264" t="s">
        <v>20</v>
      </c>
      <c r="EH264">
        <v>0</v>
      </c>
      <c r="EI264" t="s">
        <v>3</v>
      </c>
      <c r="EJ264">
        <v>4</v>
      </c>
      <c r="EK264">
        <v>0</v>
      </c>
      <c r="EL264" t="s">
        <v>21</v>
      </c>
      <c r="EM264" t="s">
        <v>22</v>
      </c>
      <c r="EO264" t="s">
        <v>3</v>
      </c>
      <c r="EQ264">
        <v>0</v>
      </c>
      <c r="ER264">
        <v>19815.97</v>
      </c>
      <c r="ES264">
        <v>11305.05</v>
      </c>
      <c r="ET264">
        <v>0</v>
      </c>
      <c r="EU264">
        <v>0</v>
      </c>
      <c r="EV264">
        <v>8510.92</v>
      </c>
      <c r="EW264">
        <v>46</v>
      </c>
      <c r="EX264">
        <v>0</v>
      </c>
      <c r="EY264">
        <v>0</v>
      </c>
      <c r="FQ264">
        <v>0</v>
      </c>
      <c r="FR264">
        <f>ROUND(IF(AND(BH264=3,BI264=3),P264,0),2)</f>
        <v>0</v>
      </c>
      <c r="FS264">
        <v>0</v>
      </c>
      <c r="FX264">
        <v>70</v>
      </c>
      <c r="FY264">
        <v>10</v>
      </c>
      <c r="GA264" t="s">
        <v>3</v>
      </c>
      <c r="GD264">
        <v>0</v>
      </c>
      <c r="GF264">
        <v>-1712119925</v>
      </c>
      <c r="GG264">
        <v>2</v>
      </c>
      <c r="GH264">
        <v>1</v>
      </c>
      <c r="GI264">
        <v>-2</v>
      </c>
      <c r="GJ264">
        <v>0</v>
      </c>
      <c r="GK264">
        <f>ROUND(R264*(R12)/100,2)</f>
        <v>0</v>
      </c>
      <c r="GL264">
        <f>ROUND(IF(AND(BH264=3,BI264=3,FS264&lt;&gt;0),P264,0),2)</f>
        <v>0</v>
      </c>
      <c r="GM264">
        <f>ROUND(O264+X264+Y264+GK264,2)+GX264</f>
        <v>36608.97</v>
      </c>
      <c r="GN264">
        <f>IF(OR(BI264=0,BI264=1),ROUND(O264+X264+Y264+GK264,2),0)</f>
        <v>0</v>
      </c>
      <c r="GO264">
        <f>IF(BI264=2,ROUND(O264+X264+Y264+GK264,2),0)</f>
        <v>0</v>
      </c>
      <c r="GP264">
        <f>IF(BI264=4,ROUND(O264+X264+Y264+GK264,2)+GX264,0)</f>
        <v>36608.97</v>
      </c>
      <c r="GR264">
        <v>0</v>
      </c>
      <c r="GS264">
        <v>0</v>
      </c>
      <c r="GT264">
        <v>0</v>
      </c>
      <c r="GU264" t="s">
        <v>3</v>
      </c>
      <c r="GV264">
        <f>ROUND((GT264),6)</f>
        <v>0</v>
      </c>
      <c r="GW264">
        <v>1</v>
      </c>
      <c r="GX264">
        <f>ROUND(HC264*I264,2)</f>
        <v>0</v>
      </c>
      <c r="HA264">
        <v>0</v>
      </c>
      <c r="HB264">
        <v>0</v>
      </c>
      <c r="HC264">
        <f>GV264*GW264</f>
        <v>0</v>
      </c>
      <c r="IK264">
        <v>0</v>
      </c>
    </row>
    <row r="265" spans="1:245">
      <c r="A265">
        <v>17</v>
      </c>
      <c r="B265">
        <v>1</v>
      </c>
      <c r="C265">
        <f>ROW(SmtRes!A119)</f>
        <v>119</v>
      </c>
      <c r="D265">
        <f>ROW(EtalonRes!A106)</f>
        <v>106</v>
      </c>
      <c r="E265" t="s">
        <v>236</v>
      </c>
      <c r="F265" t="s">
        <v>237</v>
      </c>
      <c r="G265" t="s">
        <v>238</v>
      </c>
      <c r="H265" t="s">
        <v>18</v>
      </c>
      <c r="I265">
        <f>ROUND(-550/100,9)</f>
        <v>-5.5</v>
      </c>
      <c r="J265">
        <v>0</v>
      </c>
      <c r="O265">
        <f>ROUND(CP265,2)</f>
        <v>-27126.720000000001</v>
      </c>
      <c r="P265">
        <f>ROUND(CQ265*I265,2)</f>
        <v>-20725.93</v>
      </c>
      <c r="Q265">
        <f>ROUND(CR265*I265,2)</f>
        <v>0</v>
      </c>
      <c r="R265">
        <f>ROUND(CS265*I265,2)</f>
        <v>0</v>
      </c>
      <c r="S265">
        <f>ROUND(CT265*I265,2)</f>
        <v>-6400.79</v>
      </c>
      <c r="T265">
        <f>ROUND(CU265*I265,2)</f>
        <v>0</v>
      </c>
      <c r="U265">
        <f>CV265*I265</f>
        <v>-34.594999999999999</v>
      </c>
      <c r="V265">
        <f>CW265*I265</f>
        <v>0</v>
      </c>
      <c r="W265">
        <f>ROUND(CX265*I265,2)</f>
        <v>0</v>
      </c>
      <c r="X265">
        <f t="shared" si="223"/>
        <v>-4480.55</v>
      </c>
      <c r="Y265">
        <f t="shared" si="223"/>
        <v>-640.08000000000004</v>
      </c>
      <c r="AA265">
        <v>42225948</v>
      </c>
      <c r="AB265">
        <f>ROUND((AC265+AD265+AF265),6)</f>
        <v>4932.13</v>
      </c>
      <c r="AC265">
        <f>ROUND((ES265),6)</f>
        <v>3768.35</v>
      </c>
      <c r="AD265">
        <f>ROUND((((ET265)-(EU265))+AE265),6)</f>
        <v>0</v>
      </c>
      <c r="AE265">
        <f t="shared" si="224"/>
        <v>0</v>
      </c>
      <c r="AF265">
        <f t="shared" si="224"/>
        <v>1163.78</v>
      </c>
      <c r="AG265">
        <f>ROUND((AP265),6)</f>
        <v>0</v>
      </c>
      <c r="AH265">
        <f t="shared" si="225"/>
        <v>6.29</v>
      </c>
      <c r="AI265">
        <f t="shared" si="225"/>
        <v>0</v>
      </c>
      <c r="AJ265">
        <f>(AS265)</f>
        <v>0</v>
      </c>
      <c r="AK265">
        <v>4932.13</v>
      </c>
      <c r="AL265">
        <v>3768.35</v>
      </c>
      <c r="AM265">
        <v>0</v>
      </c>
      <c r="AN265">
        <v>0</v>
      </c>
      <c r="AO265">
        <v>1163.78</v>
      </c>
      <c r="AP265">
        <v>0</v>
      </c>
      <c r="AQ265">
        <v>6.29</v>
      </c>
      <c r="AR265">
        <v>0</v>
      </c>
      <c r="AS265">
        <v>0</v>
      </c>
      <c r="AT265">
        <v>70</v>
      </c>
      <c r="AU265">
        <v>10</v>
      </c>
      <c r="AV265">
        <v>1</v>
      </c>
      <c r="AW265">
        <v>1</v>
      </c>
      <c r="AZ265">
        <v>1</v>
      </c>
      <c r="BA265">
        <v>1</v>
      </c>
      <c r="BB265">
        <v>1</v>
      </c>
      <c r="BC265">
        <v>1</v>
      </c>
      <c r="BD265" t="s">
        <v>3</v>
      </c>
      <c r="BE265" t="s">
        <v>3</v>
      </c>
      <c r="BF265" t="s">
        <v>3</v>
      </c>
      <c r="BG265" t="s">
        <v>3</v>
      </c>
      <c r="BH265">
        <v>0</v>
      </c>
      <c r="BI265">
        <v>4</v>
      </c>
      <c r="BJ265" t="s">
        <v>239</v>
      </c>
      <c r="BM265">
        <v>0</v>
      </c>
      <c r="BN265">
        <v>0</v>
      </c>
      <c r="BO265" t="s">
        <v>3</v>
      </c>
      <c r="BP265">
        <v>0</v>
      </c>
      <c r="BQ265">
        <v>1</v>
      </c>
      <c r="BR265">
        <v>0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 t="s">
        <v>3</v>
      </c>
      <c r="BZ265">
        <v>70</v>
      </c>
      <c r="CA265">
        <v>10</v>
      </c>
      <c r="CE265">
        <v>0</v>
      </c>
      <c r="CF265">
        <v>0</v>
      </c>
      <c r="CG265">
        <v>0</v>
      </c>
      <c r="CM265">
        <v>0</v>
      </c>
      <c r="CN265" t="s">
        <v>3</v>
      </c>
      <c r="CO265">
        <v>0</v>
      </c>
      <c r="CP265">
        <f>(P265+Q265+S265)</f>
        <v>-27126.720000000001</v>
      </c>
      <c r="CQ265">
        <f>(AC265*BC265*AW265)</f>
        <v>3768.35</v>
      </c>
      <c r="CR265">
        <f>((((ET265)*BB265-(EU265)*BS265)+AE265*BS265)*AV265)</f>
        <v>0</v>
      </c>
      <c r="CS265">
        <f>(AE265*BS265*AV265)</f>
        <v>0</v>
      </c>
      <c r="CT265">
        <f>(AF265*BA265*AV265)</f>
        <v>1163.78</v>
      </c>
      <c r="CU265">
        <f>AG265</f>
        <v>0</v>
      </c>
      <c r="CV265">
        <f>(AH265*AV265)</f>
        <v>6.29</v>
      </c>
      <c r="CW265">
        <f t="shared" si="226"/>
        <v>0</v>
      </c>
      <c r="CX265">
        <f t="shared" si="226"/>
        <v>0</v>
      </c>
      <c r="CY265">
        <f>((S265*BZ265)/100)</f>
        <v>-4480.5529999999999</v>
      </c>
      <c r="CZ265">
        <f>((S265*CA265)/100)</f>
        <v>-640.07900000000006</v>
      </c>
      <c r="DC265" t="s">
        <v>3</v>
      </c>
      <c r="DD265" t="s">
        <v>3</v>
      </c>
      <c r="DE265" t="s">
        <v>3</v>
      </c>
      <c r="DF265" t="s">
        <v>3</v>
      </c>
      <c r="DG265" t="s">
        <v>3</v>
      </c>
      <c r="DH265" t="s">
        <v>3</v>
      </c>
      <c r="DI265" t="s">
        <v>3</v>
      </c>
      <c r="DJ265" t="s">
        <v>3</v>
      </c>
      <c r="DK265" t="s">
        <v>3</v>
      </c>
      <c r="DL265" t="s">
        <v>3</v>
      </c>
      <c r="DM265" t="s">
        <v>3</v>
      </c>
      <c r="DN265">
        <v>0</v>
      </c>
      <c r="DO265">
        <v>0</v>
      </c>
      <c r="DP265">
        <v>1</v>
      </c>
      <c r="DQ265">
        <v>1</v>
      </c>
      <c r="DU265">
        <v>1005</v>
      </c>
      <c r="DV265" t="s">
        <v>18</v>
      </c>
      <c r="DW265" t="s">
        <v>18</v>
      </c>
      <c r="DX265">
        <v>100</v>
      </c>
      <c r="EE265">
        <v>40050625</v>
      </c>
      <c r="EF265">
        <v>1</v>
      </c>
      <c r="EG265" t="s">
        <v>20</v>
      </c>
      <c r="EH265">
        <v>0</v>
      </c>
      <c r="EI265" t="s">
        <v>3</v>
      </c>
      <c r="EJ265">
        <v>4</v>
      </c>
      <c r="EK265">
        <v>0</v>
      </c>
      <c r="EL265" t="s">
        <v>21</v>
      </c>
      <c r="EM265" t="s">
        <v>22</v>
      </c>
      <c r="EO265" t="s">
        <v>3</v>
      </c>
      <c r="EQ265">
        <v>0</v>
      </c>
      <c r="ER265">
        <v>4932.13</v>
      </c>
      <c r="ES265">
        <v>3768.35</v>
      </c>
      <c r="ET265">
        <v>0</v>
      </c>
      <c r="EU265">
        <v>0</v>
      </c>
      <c r="EV265">
        <v>1163.78</v>
      </c>
      <c r="EW265">
        <v>6.29</v>
      </c>
      <c r="EX265">
        <v>0</v>
      </c>
      <c r="EY265">
        <v>0</v>
      </c>
      <c r="FQ265">
        <v>0</v>
      </c>
      <c r="FR265">
        <f>ROUND(IF(AND(BH265=3,BI265=3),P265,0),2)</f>
        <v>0</v>
      </c>
      <c r="FS265">
        <v>0</v>
      </c>
      <c r="FX265">
        <v>70</v>
      </c>
      <c r="FY265">
        <v>10</v>
      </c>
      <c r="GA265" t="s">
        <v>3</v>
      </c>
      <c r="GD265">
        <v>0</v>
      </c>
      <c r="GF265">
        <v>163889514</v>
      </c>
      <c r="GG265">
        <v>2</v>
      </c>
      <c r="GH265">
        <v>1</v>
      </c>
      <c r="GI265">
        <v>-2</v>
      </c>
      <c r="GJ265">
        <v>0</v>
      </c>
      <c r="GK265">
        <f>ROUND(R265*(R12)/100,2)</f>
        <v>0</v>
      </c>
      <c r="GL265">
        <f>ROUND(IF(AND(BH265=3,BI265=3,FS265&lt;&gt;0),P265,0),2)</f>
        <v>0</v>
      </c>
      <c r="GM265">
        <f>ROUND(O265+X265+Y265+GK265,2)+GX265</f>
        <v>-32247.35</v>
      </c>
      <c r="GN265">
        <f>IF(OR(BI265=0,BI265=1),ROUND(O265+X265+Y265+GK265,2),0)</f>
        <v>0</v>
      </c>
      <c r="GO265">
        <f>IF(BI265=2,ROUND(O265+X265+Y265+GK265,2),0)</f>
        <v>0</v>
      </c>
      <c r="GP265">
        <f>IF(BI265=4,ROUND(O265+X265+Y265+GK265,2)+GX265,0)</f>
        <v>-32247.35</v>
      </c>
      <c r="GR265">
        <v>0</v>
      </c>
      <c r="GS265">
        <v>0</v>
      </c>
      <c r="GT265">
        <v>0</v>
      </c>
      <c r="GU265" t="s">
        <v>3</v>
      </c>
      <c r="GV265">
        <f>ROUND((GT265),6)</f>
        <v>0</v>
      </c>
      <c r="GW265">
        <v>1</v>
      </c>
      <c r="GX265">
        <f>ROUND(HC265*I265,2)</f>
        <v>0</v>
      </c>
      <c r="HA265">
        <v>0</v>
      </c>
      <c r="HB265">
        <v>0</v>
      </c>
      <c r="HC265">
        <f>GV265*GW265</f>
        <v>0</v>
      </c>
      <c r="IK265">
        <v>0</v>
      </c>
    </row>
    <row r="266" spans="1:245">
      <c r="A266">
        <v>17</v>
      </c>
      <c r="B266">
        <v>1</v>
      </c>
      <c r="C266">
        <f>ROW(SmtRes!A122)</f>
        <v>122</v>
      </c>
      <c r="D266">
        <f>ROW(EtalonRes!A109)</f>
        <v>109</v>
      </c>
      <c r="E266" t="s">
        <v>240</v>
      </c>
      <c r="F266" t="s">
        <v>241</v>
      </c>
      <c r="G266" t="s">
        <v>242</v>
      </c>
      <c r="H266" t="s">
        <v>18</v>
      </c>
      <c r="I266">
        <f>ROUND(550/100,9)</f>
        <v>5.5</v>
      </c>
      <c r="J266">
        <v>0</v>
      </c>
      <c r="O266">
        <f>ROUND(CP266,2)</f>
        <v>15322.51</v>
      </c>
      <c r="P266">
        <f>ROUND(CQ266*I266,2)</f>
        <v>8606.73</v>
      </c>
      <c r="Q266">
        <f>ROUND(CR266*I266,2)</f>
        <v>0</v>
      </c>
      <c r="R266">
        <f>ROUND(CS266*I266,2)</f>
        <v>0</v>
      </c>
      <c r="S266">
        <f>ROUND(CT266*I266,2)</f>
        <v>6715.78</v>
      </c>
      <c r="T266">
        <f>ROUND(CU266*I266,2)</f>
        <v>0</v>
      </c>
      <c r="U266">
        <f>CV266*I266</f>
        <v>33.22</v>
      </c>
      <c r="V266">
        <f>CW266*I266</f>
        <v>0</v>
      </c>
      <c r="W266">
        <f>ROUND(CX266*I266,2)</f>
        <v>0</v>
      </c>
      <c r="X266">
        <f t="shared" si="223"/>
        <v>4701.05</v>
      </c>
      <c r="Y266">
        <f t="shared" si="223"/>
        <v>671.58</v>
      </c>
      <c r="AA266">
        <v>42225948</v>
      </c>
      <c r="AB266">
        <f>ROUND((AC266+AD266+AF266),6)</f>
        <v>2785.91</v>
      </c>
      <c r="AC266">
        <f>ROUND((ES266),6)</f>
        <v>1564.86</v>
      </c>
      <c r="AD266">
        <f>ROUND((((ET266)-(EU266))+AE266),6)</f>
        <v>0</v>
      </c>
      <c r="AE266">
        <f t="shared" si="224"/>
        <v>0</v>
      </c>
      <c r="AF266">
        <f t="shared" si="224"/>
        <v>1221.05</v>
      </c>
      <c r="AG266">
        <f>ROUND((AP266),6)</f>
        <v>0</v>
      </c>
      <c r="AH266">
        <f t="shared" si="225"/>
        <v>6.04</v>
      </c>
      <c r="AI266">
        <f t="shared" si="225"/>
        <v>0</v>
      </c>
      <c r="AJ266">
        <f>(AS266)</f>
        <v>0</v>
      </c>
      <c r="AK266">
        <v>2785.91</v>
      </c>
      <c r="AL266">
        <v>1564.86</v>
      </c>
      <c r="AM266">
        <v>0</v>
      </c>
      <c r="AN266">
        <v>0</v>
      </c>
      <c r="AO266">
        <v>1221.05</v>
      </c>
      <c r="AP266">
        <v>0</v>
      </c>
      <c r="AQ266">
        <v>6.04</v>
      </c>
      <c r="AR266">
        <v>0</v>
      </c>
      <c r="AS266">
        <v>0</v>
      </c>
      <c r="AT266">
        <v>70</v>
      </c>
      <c r="AU266">
        <v>10</v>
      </c>
      <c r="AV266">
        <v>1</v>
      </c>
      <c r="AW266">
        <v>1</v>
      </c>
      <c r="AZ266">
        <v>1</v>
      </c>
      <c r="BA266">
        <v>1</v>
      </c>
      <c r="BB266">
        <v>1</v>
      </c>
      <c r="BC266">
        <v>1</v>
      </c>
      <c r="BD266" t="s">
        <v>3</v>
      </c>
      <c r="BE266" t="s">
        <v>3</v>
      </c>
      <c r="BF266" t="s">
        <v>3</v>
      </c>
      <c r="BG266" t="s">
        <v>3</v>
      </c>
      <c r="BH266">
        <v>0</v>
      </c>
      <c r="BI266">
        <v>4</v>
      </c>
      <c r="BJ266" t="s">
        <v>243</v>
      </c>
      <c r="BM266">
        <v>0</v>
      </c>
      <c r="BN266">
        <v>0</v>
      </c>
      <c r="BO266" t="s">
        <v>3</v>
      </c>
      <c r="BP266">
        <v>0</v>
      </c>
      <c r="BQ266">
        <v>1</v>
      </c>
      <c r="BR266">
        <v>0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 t="s">
        <v>3</v>
      </c>
      <c r="BZ266">
        <v>70</v>
      </c>
      <c r="CA266">
        <v>10</v>
      </c>
      <c r="CE266">
        <v>0</v>
      </c>
      <c r="CF266">
        <v>0</v>
      </c>
      <c r="CG266">
        <v>0</v>
      </c>
      <c r="CM266">
        <v>0</v>
      </c>
      <c r="CN266" t="s">
        <v>3</v>
      </c>
      <c r="CO266">
        <v>0</v>
      </c>
      <c r="CP266">
        <f>(P266+Q266+S266)</f>
        <v>15322.509999999998</v>
      </c>
      <c r="CQ266">
        <f>(AC266*BC266*AW266)</f>
        <v>1564.86</v>
      </c>
      <c r="CR266">
        <f>((((ET266)*BB266-(EU266)*BS266)+AE266*BS266)*AV266)</f>
        <v>0</v>
      </c>
      <c r="CS266">
        <f>(AE266*BS266*AV266)</f>
        <v>0</v>
      </c>
      <c r="CT266">
        <f>(AF266*BA266*AV266)</f>
        <v>1221.05</v>
      </c>
      <c r="CU266">
        <f>AG266</f>
        <v>0</v>
      </c>
      <c r="CV266">
        <f>(AH266*AV266)</f>
        <v>6.04</v>
      </c>
      <c r="CW266">
        <f t="shared" si="226"/>
        <v>0</v>
      </c>
      <c r="CX266">
        <f t="shared" si="226"/>
        <v>0</v>
      </c>
      <c r="CY266">
        <f>((S266*BZ266)/100)</f>
        <v>4701.0459999999994</v>
      </c>
      <c r="CZ266">
        <f>((S266*CA266)/100)</f>
        <v>671.57799999999997</v>
      </c>
      <c r="DC266" t="s">
        <v>3</v>
      </c>
      <c r="DD266" t="s">
        <v>3</v>
      </c>
      <c r="DE266" t="s">
        <v>3</v>
      </c>
      <c r="DF266" t="s">
        <v>3</v>
      </c>
      <c r="DG266" t="s">
        <v>3</v>
      </c>
      <c r="DH266" t="s">
        <v>3</v>
      </c>
      <c r="DI266" t="s">
        <v>3</v>
      </c>
      <c r="DJ266" t="s">
        <v>3</v>
      </c>
      <c r="DK266" t="s">
        <v>3</v>
      </c>
      <c r="DL266" t="s">
        <v>3</v>
      </c>
      <c r="DM266" t="s">
        <v>3</v>
      </c>
      <c r="DN266">
        <v>0</v>
      </c>
      <c r="DO266">
        <v>0</v>
      </c>
      <c r="DP266">
        <v>1</v>
      </c>
      <c r="DQ266">
        <v>1</v>
      </c>
      <c r="DU266">
        <v>1005</v>
      </c>
      <c r="DV266" t="s">
        <v>18</v>
      </c>
      <c r="DW266" t="s">
        <v>18</v>
      </c>
      <c r="DX266">
        <v>100</v>
      </c>
      <c r="EE266">
        <v>40050625</v>
      </c>
      <c r="EF266">
        <v>1</v>
      </c>
      <c r="EG266" t="s">
        <v>20</v>
      </c>
      <c r="EH266">
        <v>0</v>
      </c>
      <c r="EI266" t="s">
        <v>3</v>
      </c>
      <c r="EJ266">
        <v>4</v>
      </c>
      <c r="EK266">
        <v>0</v>
      </c>
      <c r="EL266" t="s">
        <v>21</v>
      </c>
      <c r="EM266" t="s">
        <v>22</v>
      </c>
      <c r="EO266" t="s">
        <v>3</v>
      </c>
      <c r="EQ266">
        <v>0</v>
      </c>
      <c r="ER266">
        <v>2785.91</v>
      </c>
      <c r="ES266">
        <v>1564.86</v>
      </c>
      <c r="ET266">
        <v>0</v>
      </c>
      <c r="EU266">
        <v>0</v>
      </c>
      <c r="EV266">
        <v>1221.05</v>
      </c>
      <c r="EW266">
        <v>6.04</v>
      </c>
      <c r="EX266">
        <v>0</v>
      </c>
      <c r="EY266">
        <v>0</v>
      </c>
      <c r="FQ266">
        <v>0</v>
      </c>
      <c r="FR266">
        <f>ROUND(IF(AND(BH266=3,BI266=3),P266,0),2)</f>
        <v>0</v>
      </c>
      <c r="FS266">
        <v>0</v>
      </c>
      <c r="FX266">
        <v>70</v>
      </c>
      <c r="FY266">
        <v>10</v>
      </c>
      <c r="GA266" t="s">
        <v>3</v>
      </c>
      <c r="GD266">
        <v>0</v>
      </c>
      <c r="GF266">
        <v>-840038154</v>
      </c>
      <c r="GG266">
        <v>2</v>
      </c>
      <c r="GH266">
        <v>1</v>
      </c>
      <c r="GI266">
        <v>-2</v>
      </c>
      <c r="GJ266">
        <v>0</v>
      </c>
      <c r="GK266">
        <f>ROUND(R266*(R12)/100,2)</f>
        <v>0</v>
      </c>
      <c r="GL266">
        <f>ROUND(IF(AND(BH266=3,BI266=3,FS266&lt;&gt;0),P266,0),2)</f>
        <v>0</v>
      </c>
      <c r="GM266">
        <f>ROUND(O266+X266+Y266+GK266,2)+GX266</f>
        <v>20695.14</v>
      </c>
      <c r="GN266">
        <f>IF(OR(BI266=0,BI266=1),ROUND(O266+X266+Y266+GK266,2),0)</f>
        <v>0</v>
      </c>
      <c r="GO266">
        <f>IF(BI266=2,ROUND(O266+X266+Y266+GK266,2),0)</f>
        <v>0</v>
      </c>
      <c r="GP266">
        <f>IF(BI266=4,ROUND(O266+X266+Y266+GK266,2)+GX266,0)</f>
        <v>20695.14</v>
      </c>
      <c r="GR266">
        <v>0</v>
      </c>
      <c r="GS266">
        <v>0</v>
      </c>
      <c r="GT266">
        <v>0</v>
      </c>
      <c r="GU266" t="s">
        <v>3</v>
      </c>
      <c r="GV266">
        <f>ROUND((GT266),6)</f>
        <v>0</v>
      </c>
      <c r="GW266">
        <v>1</v>
      </c>
      <c r="GX266">
        <f>ROUND(HC266*I266,2)</f>
        <v>0</v>
      </c>
      <c r="HA266">
        <v>0</v>
      </c>
      <c r="HB266">
        <v>0</v>
      </c>
      <c r="HC266">
        <f>GV266*GW266</f>
        <v>0</v>
      </c>
      <c r="IK266">
        <v>0</v>
      </c>
    </row>
    <row r="268" spans="1:245">
      <c r="A268" s="2">
        <v>51</v>
      </c>
      <c r="B268" s="2">
        <f>B259</f>
        <v>1</v>
      </c>
      <c r="C268" s="2">
        <f>A259</f>
        <v>4</v>
      </c>
      <c r="D268" s="2">
        <f>ROW(A259)</f>
        <v>259</v>
      </c>
      <c r="E268" s="2"/>
      <c r="F268" s="2" t="str">
        <f>IF(F259&lt;&gt;"",F259,"")</f>
        <v>Новый раздел</v>
      </c>
      <c r="G268" s="2" t="str">
        <f>IF(G259&lt;&gt;"",G259,"")</f>
        <v>Ремонт газона (посевной) - 550м2 ( вокруг цветника с кустами и деревьями)</v>
      </c>
      <c r="H268" s="2">
        <v>0</v>
      </c>
      <c r="I268" s="2"/>
      <c r="J268" s="2"/>
      <c r="K268" s="2"/>
      <c r="L268" s="2"/>
      <c r="M268" s="2"/>
      <c r="N268" s="2"/>
      <c r="O268" s="2">
        <f t="shared" ref="O268:T268" si="227">ROUND(AB268,2)</f>
        <v>85833.53</v>
      </c>
      <c r="P268" s="2">
        <f t="shared" si="227"/>
        <v>50058.57</v>
      </c>
      <c r="Q268" s="2">
        <f t="shared" si="227"/>
        <v>250.64</v>
      </c>
      <c r="R268" s="2">
        <f t="shared" si="227"/>
        <v>91.7</v>
      </c>
      <c r="S268" s="2">
        <f t="shared" si="227"/>
        <v>35524.32</v>
      </c>
      <c r="T268" s="2">
        <f t="shared" si="227"/>
        <v>0</v>
      </c>
      <c r="U268" s="2">
        <f>AH268</f>
        <v>188.92500000000001</v>
      </c>
      <c r="V268" s="2">
        <f>AI268</f>
        <v>0</v>
      </c>
      <c r="W268" s="2">
        <f>ROUND(AJ268,2)</f>
        <v>0</v>
      </c>
      <c r="X268" s="2">
        <f>ROUND(AK268,2)</f>
        <v>24867.03</v>
      </c>
      <c r="Y268" s="2">
        <f>ROUND(AL268,2)</f>
        <v>3552.43</v>
      </c>
      <c r="Z268" s="2"/>
      <c r="AA268" s="2"/>
      <c r="AB268" s="2">
        <f>ROUND(SUMIF(AA263:AA266,"=42225948",O263:O266),2)</f>
        <v>85833.53</v>
      </c>
      <c r="AC268" s="2">
        <f>ROUND(SUMIF(AA263:AA266,"=42225948",P263:P266),2)</f>
        <v>50058.57</v>
      </c>
      <c r="AD268" s="2">
        <f>ROUND(SUMIF(AA263:AA266,"=42225948",Q263:Q266),2)</f>
        <v>250.64</v>
      </c>
      <c r="AE268" s="2">
        <f>ROUND(SUMIF(AA263:AA266,"=42225948",R263:R266),2)</f>
        <v>91.7</v>
      </c>
      <c r="AF268" s="2">
        <f>ROUND(SUMIF(AA263:AA266,"=42225948",S263:S266),2)</f>
        <v>35524.32</v>
      </c>
      <c r="AG268" s="2">
        <f>ROUND(SUMIF(AA263:AA266,"=42225948",T263:T266),2)</f>
        <v>0</v>
      </c>
      <c r="AH268" s="2">
        <f>SUMIF(AA263:AA266,"=42225948",U263:U266)</f>
        <v>188.92500000000001</v>
      </c>
      <c r="AI268" s="2">
        <f>SUMIF(AA263:AA266,"=42225948",V263:V266)</f>
        <v>0</v>
      </c>
      <c r="AJ268" s="2">
        <f>ROUND(SUMIF(AA263:AA266,"=42225948",W263:W266),2)</f>
        <v>0</v>
      </c>
      <c r="AK268" s="2">
        <f>ROUND(SUMIF(AA263:AA266,"=42225948",X263:X266),2)</f>
        <v>24867.03</v>
      </c>
      <c r="AL268" s="2">
        <f>ROUND(SUMIF(AA263:AA266,"=42225948",Y263:Y266),2)</f>
        <v>3552.43</v>
      </c>
      <c r="AM268" s="2"/>
      <c r="AN268" s="2"/>
      <c r="AO268" s="2">
        <f t="shared" ref="AO268:BC268" si="228">ROUND(BX268,2)</f>
        <v>0</v>
      </c>
      <c r="AP268" s="2">
        <f t="shared" si="228"/>
        <v>0</v>
      </c>
      <c r="AQ268" s="2">
        <f t="shared" si="228"/>
        <v>0</v>
      </c>
      <c r="AR268" s="2">
        <f t="shared" si="228"/>
        <v>114352.03</v>
      </c>
      <c r="AS268" s="2">
        <f t="shared" si="228"/>
        <v>0</v>
      </c>
      <c r="AT268" s="2">
        <f t="shared" si="228"/>
        <v>0</v>
      </c>
      <c r="AU268" s="2">
        <f t="shared" si="228"/>
        <v>114352.03</v>
      </c>
      <c r="AV268" s="2">
        <f t="shared" si="228"/>
        <v>50058.57</v>
      </c>
      <c r="AW268" s="2">
        <f t="shared" si="228"/>
        <v>50058.57</v>
      </c>
      <c r="AX268" s="2">
        <f t="shared" si="228"/>
        <v>0</v>
      </c>
      <c r="AY268" s="2">
        <f t="shared" si="228"/>
        <v>50058.57</v>
      </c>
      <c r="AZ268" s="2">
        <f t="shared" si="228"/>
        <v>0</v>
      </c>
      <c r="BA268" s="2">
        <f t="shared" si="228"/>
        <v>0</v>
      </c>
      <c r="BB268" s="2">
        <f t="shared" si="228"/>
        <v>0</v>
      </c>
      <c r="BC268" s="2">
        <f t="shared" si="228"/>
        <v>0</v>
      </c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>
        <f>ROUND(SUMIF(AA263:AA266,"=42225948",FQ263:FQ266),2)</f>
        <v>0</v>
      </c>
      <c r="BY268" s="2">
        <f>ROUND(SUMIF(AA263:AA266,"=42225948",FR263:FR266),2)</f>
        <v>0</v>
      </c>
      <c r="BZ268" s="2">
        <f>ROUND(SUMIF(AA263:AA266,"=42225948",GL263:GL266),2)</f>
        <v>0</v>
      </c>
      <c r="CA268" s="2">
        <f>ROUND(SUMIF(AA263:AA266,"=42225948",GM263:GM266),2)</f>
        <v>114352.03</v>
      </c>
      <c r="CB268" s="2">
        <f>ROUND(SUMIF(AA263:AA266,"=42225948",GN263:GN266),2)</f>
        <v>0</v>
      </c>
      <c r="CC268" s="2">
        <f>ROUND(SUMIF(AA263:AA266,"=42225948",GO263:GO266),2)</f>
        <v>0</v>
      </c>
      <c r="CD268" s="2">
        <f>ROUND(SUMIF(AA263:AA266,"=42225948",GP263:GP266),2)</f>
        <v>114352.03</v>
      </c>
      <c r="CE268" s="2">
        <f>AC268-BX268</f>
        <v>50058.57</v>
      </c>
      <c r="CF268" s="2">
        <f>AC268-BY268</f>
        <v>50058.57</v>
      </c>
      <c r="CG268" s="2">
        <f>BX268-BZ268</f>
        <v>0</v>
      </c>
      <c r="CH268" s="2">
        <f>AC268-BX268-BY268+BZ268</f>
        <v>50058.57</v>
      </c>
      <c r="CI268" s="2">
        <f>BY268-BZ268</f>
        <v>0</v>
      </c>
      <c r="CJ268" s="2">
        <f>ROUND(SUMIF(AA263:AA266,"=42225948",GX263:GX266),2)</f>
        <v>0</v>
      </c>
      <c r="CK268" s="2">
        <f>ROUND(SUMIF(AA263:AA266,"=42225948",GY263:GY266),2)</f>
        <v>0</v>
      </c>
      <c r="CL268" s="2">
        <f>ROUND(SUMIF(AA263:AA266,"=42225948",GZ263:GZ266),2)</f>
        <v>0</v>
      </c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>
        <v>0</v>
      </c>
    </row>
    <row r="270" spans="1:245">
      <c r="A270" s="4">
        <v>50</v>
      </c>
      <c r="B270" s="4">
        <v>0</v>
      </c>
      <c r="C270" s="4">
        <v>0</v>
      </c>
      <c r="D270" s="4">
        <v>1</v>
      </c>
      <c r="E270" s="4">
        <v>201</v>
      </c>
      <c r="F270" s="4">
        <f>ROUND(Source!O268,O270)</f>
        <v>85833.53</v>
      </c>
      <c r="G270" s="4" t="s">
        <v>65</v>
      </c>
      <c r="H270" s="4" t="s">
        <v>66</v>
      </c>
      <c r="I270" s="4"/>
      <c r="J270" s="4"/>
      <c r="K270" s="4">
        <v>201</v>
      </c>
      <c r="L270" s="4">
        <v>1</v>
      </c>
      <c r="M270" s="4">
        <v>3</v>
      </c>
      <c r="N270" s="4" t="s">
        <v>3</v>
      </c>
      <c r="O270" s="4">
        <v>2</v>
      </c>
      <c r="P270" s="4"/>
      <c r="Q270" s="4"/>
      <c r="R270" s="4"/>
      <c r="S270" s="4"/>
      <c r="T270" s="4"/>
      <c r="U270" s="4"/>
      <c r="V270" s="4"/>
      <c r="W270" s="4"/>
    </row>
    <row r="271" spans="1:245">
      <c r="A271" s="4">
        <v>50</v>
      </c>
      <c r="B271" s="4">
        <v>0</v>
      </c>
      <c r="C271" s="4">
        <v>0</v>
      </c>
      <c r="D271" s="4">
        <v>1</v>
      </c>
      <c r="E271" s="4">
        <v>202</v>
      </c>
      <c r="F271" s="4">
        <f>ROUND(Source!P268,O271)</f>
        <v>50058.57</v>
      </c>
      <c r="G271" s="4" t="s">
        <v>67</v>
      </c>
      <c r="H271" s="4" t="s">
        <v>68</v>
      </c>
      <c r="I271" s="4"/>
      <c r="J271" s="4"/>
      <c r="K271" s="4">
        <v>202</v>
      </c>
      <c r="L271" s="4">
        <v>2</v>
      </c>
      <c r="M271" s="4">
        <v>3</v>
      </c>
      <c r="N271" s="4" t="s">
        <v>3</v>
      </c>
      <c r="O271" s="4">
        <v>2</v>
      </c>
      <c r="P271" s="4"/>
      <c r="Q271" s="4"/>
      <c r="R271" s="4"/>
      <c r="S271" s="4"/>
      <c r="T271" s="4"/>
      <c r="U271" s="4"/>
      <c r="V271" s="4"/>
      <c r="W271" s="4"/>
    </row>
    <row r="272" spans="1:245">
      <c r="A272" s="4">
        <v>50</v>
      </c>
      <c r="B272" s="4">
        <v>0</v>
      </c>
      <c r="C272" s="4">
        <v>0</v>
      </c>
      <c r="D272" s="4">
        <v>1</v>
      </c>
      <c r="E272" s="4">
        <v>222</v>
      </c>
      <c r="F272" s="4">
        <f>ROUND(Source!AO268,O272)</f>
        <v>0</v>
      </c>
      <c r="G272" s="4" t="s">
        <v>69</v>
      </c>
      <c r="H272" s="4" t="s">
        <v>70</v>
      </c>
      <c r="I272" s="4"/>
      <c r="J272" s="4"/>
      <c r="K272" s="4">
        <v>222</v>
      </c>
      <c r="L272" s="4">
        <v>3</v>
      </c>
      <c r="M272" s="4">
        <v>3</v>
      </c>
      <c r="N272" s="4" t="s">
        <v>3</v>
      </c>
      <c r="O272" s="4">
        <v>2</v>
      </c>
      <c r="P272" s="4"/>
      <c r="Q272" s="4"/>
      <c r="R272" s="4"/>
      <c r="S272" s="4"/>
      <c r="T272" s="4"/>
      <c r="U272" s="4"/>
      <c r="V272" s="4"/>
      <c r="W272" s="4"/>
    </row>
    <row r="273" spans="1:23">
      <c r="A273" s="4">
        <v>50</v>
      </c>
      <c r="B273" s="4">
        <v>0</v>
      </c>
      <c r="C273" s="4">
        <v>0</v>
      </c>
      <c r="D273" s="4">
        <v>1</v>
      </c>
      <c r="E273" s="4">
        <v>225</v>
      </c>
      <c r="F273" s="4">
        <f>ROUND(Source!AV268,O273)</f>
        <v>50058.57</v>
      </c>
      <c r="G273" s="4" t="s">
        <v>71</v>
      </c>
      <c r="H273" s="4" t="s">
        <v>72</v>
      </c>
      <c r="I273" s="4"/>
      <c r="J273" s="4"/>
      <c r="K273" s="4">
        <v>225</v>
      </c>
      <c r="L273" s="4">
        <v>4</v>
      </c>
      <c r="M273" s="4">
        <v>3</v>
      </c>
      <c r="N273" s="4" t="s">
        <v>3</v>
      </c>
      <c r="O273" s="4">
        <v>2</v>
      </c>
      <c r="P273" s="4"/>
      <c r="Q273" s="4"/>
      <c r="R273" s="4"/>
      <c r="S273" s="4"/>
      <c r="T273" s="4"/>
      <c r="U273" s="4"/>
      <c r="V273" s="4"/>
      <c r="W273" s="4"/>
    </row>
    <row r="274" spans="1:23">
      <c r="A274" s="4">
        <v>50</v>
      </c>
      <c r="B274" s="4">
        <v>0</v>
      </c>
      <c r="C274" s="4">
        <v>0</v>
      </c>
      <c r="D274" s="4">
        <v>1</v>
      </c>
      <c r="E274" s="4">
        <v>226</v>
      </c>
      <c r="F274" s="4">
        <f>ROUND(Source!AW268,O274)</f>
        <v>50058.57</v>
      </c>
      <c r="G274" s="4" t="s">
        <v>73</v>
      </c>
      <c r="H274" s="4" t="s">
        <v>74</v>
      </c>
      <c r="I274" s="4"/>
      <c r="J274" s="4"/>
      <c r="K274" s="4">
        <v>226</v>
      </c>
      <c r="L274" s="4">
        <v>5</v>
      </c>
      <c r="M274" s="4">
        <v>3</v>
      </c>
      <c r="N274" s="4" t="s">
        <v>3</v>
      </c>
      <c r="O274" s="4">
        <v>2</v>
      </c>
      <c r="P274" s="4"/>
      <c r="Q274" s="4"/>
      <c r="R274" s="4"/>
      <c r="S274" s="4"/>
      <c r="T274" s="4"/>
      <c r="U274" s="4"/>
      <c r="V274" s="4"/>
      <c r="W274" s="4"/>
    </row>
    <row r="275" spans="1:23">
      <c r="A275" s="4">
        <v>50</v>
      </c>
      <c r="B275" s="4">
        <v>0</v>
      </c>
      <c r="C275" s="4">
        <v>0</v>
      </c>
      <c r="D275" s="4">
        <v>1</v>
      </c>
      <c r="E275" s="4">
        <v>227</v>
      </c>
      <c r="F275" s="4">
        <f>ROUND(Source!AX268,O275)</f>
        <v>0</v>
      </c>
      <c r="G275" s="4" t="s">
        <v>75</v>
      </c>
      <c r="H275" s="4" t="s">
        <v>76</v>
      </c>
      <c r="I275" s="4"/>
      <c r="J275" s="4"/>
      <c r="K275" s="4">
        <v>227</v>
      </c>
      <c r="L275" s="4">
        <v>6</v>
      </c>
      <c r="M275" s="4">
        <v>3</v>
      </c>
      <c r="N275" s="4" t="s">
        <v>3</v>
      </c>
      <c r="O275" s="4">
        <v>2</v>
      </c>
      <c r="P275" s="4"/>
      <c r="Q275" s="4"/>
      <c r="R275" s="4"/>
      <c r="S275" s="4"/>
      <c r="T275" s="4"/>
      <c r="U275" s="4"/>
      <c r="V275" s="4"/>
      <c r="W275" s="4"/>
    </row>
    <row r="276" spans="1:23">
      <c r="A276" s="4">
        <v>50</v>
      </c>
      <c r="B276" s="4">
        <v>0</v>
      </c>
      <c r="C276" s="4">
        <v>0</v>
      </c>
      <c r="D276" s="4">
        <v>1</v>
      </c>
      <c r="E276" s="4">
        <v>228</v>
      </c>
      <c r="F276" s="4">
        <f>ROUND(Source!AY268,O276)</f>
        <v>50058.57</v>
      </c>
      <c r="G276" s="4" t="s">
        <v>77</v>
      </c>
      <c r="H276" s="4" t="s">
        <v>78</v>
      </c>
      <c r="I276" s="4"/>
      <c r="J276" s="4"/>
      <c r="K276" s="4">
        <v>228</v>
      </c>
      <c r="L276" s="4">
        <v>7</v>
      </c>
      <c r="M276" s="4">
        <v>3</v>
      </c>
      <c r="N276" s="4" t="s">
        <v>3</v>
      </c>
      <c r="O276" s="4">
        <v>2</v>
      </c>
      <c r="P276" s="4"/>
      <c r="Q276" s="4"/>
      <c r="R276" s="4"/>
      <c r="S276" s="4"/>
      <c r="T276" s="4"/>
      <c r="U276" s="4"/>
      <c r="V276" s="4"/>
      <c r="W276" s="4"/>
    </row>
    <row r="277" spans="1:23">
      <c r="A277" s="4">
        <v>50</v>
      </c>
      <c r="B277" s="4">
        <v>0</v>
      </c>
      <c r="C277" s="4">
        <v>0</v>
      </c>
      <c r="D277" s="4">
        <v>1</v>
      </c>
      <c r="E277" s="4">
        <v>216</v>
      </c>
      <c r="F277" s="4">
        <f>ROUND(Source!AP268,O277)</f>
        <v>0</v>
      </c>
      <c r="G277" s="4" t="s">
        <v>79</v>
      </c>
      <c r="H277" s="4" t="s">
        <v>80</v>
      </c>
      <c r="I277" s="4"/>
      <c r="J277" s="4"/>
      <c r="K277" s="4">
        <v>216</v>
      </c>
      <c r="L277" s="4">
        <v>8</v>
      </c>
      <c r="M277" s="4">
        <v>3</v>
      </c>
      <c r="N277" s="4" t="s">
        <v>3</v>
      </c>
      <c r="O277" s="4">
        <v>2</v>
      </c>
      <c r="P277" s="4"/>
      <c r="Q277" s="4"/>
      <c r="R277" s="4"/>
      <c r="S277" s="4"/>
      <c r="T277" s="4"/>
      <c r="U277" s="4"/>
      <c r="V277" s="4"/>
      <c r="W277" s="4"/>
    </row>
    <row r="278" spans="1:23">
      <c r="A278" s="4">
        <v>50</v>
      </c>
      <c r="B278" s="4">
        <v>0</v>
      </c>
      <c r="C278" s="4">
        <v>0</v>
      </c>
      <c r="D278" s="4">
        <v>1</v>
      </c>
      <c r="E278" s="4">
        <v>223</v>
      </c>
      <c r="F278" s="4">
        <f>ROUND(Source!AQ268,O278)</f>
        <v>0</v>
      </c>
      <c r="G278" s="4" t="s">
        <v>81</v>
      </c>
      <c r="H278" s="4" t="s">
        <v>82</v>
      </c>
      <c r="I278" s="4"/>
      <c r="J278" s="4"/>
      <c r="K278" s="4">
        <v>223</v>
      </c>
      <c r="L278" s="4">
        <v>9</v>
      </c>
      <c r="M278" s="4">
        <v>3</v>
      </c>
      <c r="N278" s="4" t="s">
        <v>3</v>
      </c>
      <c r="O278" s="4">
        <v>2</v>
      </c>
      <c r="P278" s="4"/>
      <c r="Q278" s="4"/>
      <c r="R278" s="4"/>
      <c r="S278" s="4"/>
      <c r="T278" s="4"/>
      <c r="U278" s="4"/>
      <c r="V278" s="4"/>
      <c r="W278" s="4"/>
    </row>
    <row r="279" spans="1:23">
      <c r="A279" s="4">
        <v>50</v>
      </c>
      <c r="B279" s="4">
        <v>0</v>
      </c>
      <c r="C279" s="4">
        <v>0</v>
      </c>
      <c r="D279" s="4">
        <v>1</v>
      </c>
      <c r="E279" s="4">
        <v>229</v>
      </c>
      <c r="F279" s="4">
        <f>ROUND(Source!AZ268,O279)</f>
        <v>0</v>
      </c>
      <c r="G279" s="4" t="s">
        <v>83</v>
      </c>
      <c r="H279" s="4" t="s">
        <v>84</v>
      </c>
      <c r="I279" s="4"/>
      <c r="J279" s="4"/>
      <c r="K279" s="4">
        <v>229</v>
      </c>
      <c r="L279" s="4">
        <v>10</v>
      </c>
      <c r="M279" s="4">
        <v>3</v>
      </c>
      <c r="N279" s="4" t="s">
        <v>3</v>
      </c>
      <c r="O279" s="4">
        <v>2</v>
      </c>
      <c r="P279" s="4"/>
      <c r="Q279" s="4"/>
      <c r="R279" s="4"/>
      <c r="S279" s="4"/>
      <c r="T279" s="4"/>
      <c r="U279" s="4"/>
      <c r="V279" s="4"/>
      <c r="W279" s="4"/>
    </row>
    <row r="280" spans="1:23">
      <c r="A280" s="4">
        <v>50</v>
      </c>
      <c r="B280" s="4">
        <v>0</v>
      </c>
      <c r="C280" s="4">
        <v>0</v>
      </c>
      <c r="D280" s="4">
        <v>1</v>
      </c>
      <c r="E280" s="4">
        <v>203</v>
      </c>
      <c r="F280" s="4">
        <f>ROUND(Source!Q268,O280)</f>
        <v>250.64</v>
      </c>
      <c r="G280" s="4" t="s">
        <v>85</v>
      </c>
      <c r="H280" s="4" t="s">
        <v>86</v>
      </c>
      <c r="I280" s="4"/>
      <c r="J280" s="4"/>
      <c r="K280" s="4">
        <v>203</v>
      </c>
      <c r="L280" s="4">
        <v>11</v>
      </c>
      <c r="M280" s="4">
        <v>3</v>
      </c>
      <c r="N280" s="4" t="s">
        <v>3</v>
      </c>
      <c r="O280" s="4">
        <v>2</v>
      </c>
      <c r="P280" s="4"/>
      <c r="Q280" s="4"/>
      <c r="R280" s="4"/>
      <c r="S280" s="4"/>
      <c r="T280" s="4"/>
      <c r="U280" s="4"/>
      <c r="V280" s="4"/>
      <c r="W280" s="4"/>
    </row>
    <row r="281" spans="1:23">
      <c r="A281" s="4">
        <v>50</v>
      </c>
      <c r="B281" s="4">
        <v>0</v>
      </c>
      <c r="C281" s="4">
        <v>0</v>
      </c>
      <c r="D281" s="4">
        <v>1</v>
      </c>
      <c r="E281" s="4">
        <v>231</v>
      </c>
      <c r="F281" s="4">
        <f>ROUND(Source!BB268,O281)</f>
        <v>0</v>
      </c>
      <c r="G281" s="4" t="s">
        <v>87</v>
      </c>
      <c r="H281" s="4" t="s">
        <v>88</v>
      </c>
      <c r="I281" s="4"/>
      <c r="J281" s="4"/>
      <c r="K281" s="4">
        <v>231</v>
      </c>
      <c r="L281" s="4">
        <v>12</v>
      </c>
      <c r="M281" s="4">
        <v>3</v>
      </c>
      <c r="N281" s="4" t="s">
        <v>3</v>
      </c>
      <c r="O281" s="4">
        <v>2</v>
      </c>
      <c r="P281" s="4"/>
      <c r="Q281" s="4"/>
      <c r="R281" s="4"/>
      <c r="S281" s="4"/>
      <c r="T281" s="4"/>
      <c r="U281" s="4"/>
      <c r="V281" s="4"/>
      <c r="W281" s="4"/>
    </row>
    <row r="282" spans="1:23">
      <c r="A282" s="4">
        <v>50</v>
      </c>
      <c r="B282" s="4">
        <v>0</v>
      </c>
      <c r="C282" s="4">
        <v>0</v>
      </c>
      <c r="D282" s="4">
        <v>1</v>
      </c>
      <c r="E282" s="4">
        <v>204</v>
      </c>
      <c r="F282" s="4">
        <f>ROUND(Source!R268,O282)</f>
        <v>91.7</v>
      </c>
      <c r="G282" s="4" t="s">
        <v>89</v>
      </c>
      <c r="H282" s="4" t="s">
        <v>90</v>
      </c>
      <c r="I282" s="4"/>
      <c r="J282" s="4"/>
      <c r="K282" s="4">
        <v>204</v>
      </c>
      <c r="L282" s="4">
        <v>13</v>
      </c>
      <c r="M282" s="4">
        <v>3</v>
      </c>
      <c r="N282" s="4" t="s">
        <v>3</v>
      </c>
      <c r="O282" s="4">
        <v>2</v>
      </c>
      <c r="P282" s="4"/>
      <c r="Q282" s="4"/>
      <c r="R282" s="4"/>
      <c r="S282" s="4"/>
      <c r="T282" s="4"/>
      <c r="U282" s="4"/>
      <c r="V282" s="4"/>
      <c r="W282" s="4"/>
    </row>
    <row r="283" spans="1:23">
      <c r="A283" s="4">
        <v>50</v>
      </c>
      <c r="B283" s="4">
        <v>0</v>
      </c>
      <c r="C283" s="4">
        <v>0</v>
      </c>
      <c r="D283" s="4">
        <v>1</v>
      </c>
      <c r="E283" s="4">
        <v>205</v>
      </c>
      <c r="F283" s="4">
        <f>ROUND(Source!S268,O283)</f>
        <v>35524.32</v>
      </c>
      <c r="G283" s="4" t="s">
        <v>91</v>
      </c>
      <c r="H283" s="4" t="s">
        <v>92</v>
      </c>
      <c r="I283" s="4"/>
      <c r="J283" s="4"/>
      <c r="K283" s="4">
        <v>205</v>
      </c>
      <c r="L283" s="4">
        <v>14</v>
      </c>
      <c r="M283" s="4">
        <v>3</v>
      </c>
      <c r="N283" s="4" t="s">
        <v>3</v>
      </c>
      <c r="O283" s="4">
        <v>2</v>
      </c>
      <c r="P283" s="4"/>
      <c r="Q283" s="4"/>
      <c r="R283" s="4"/>
      <c r="S283" s="4"/>
      <c r="T283" s="4"/>
      <c r="U283" s="4"/>
      <c r="V283" s="4"/>
      <c r="W283" s="4"/>
    </row>
    <row r="284" spans="1:23">
      <c r="A284" s="4">
        <v>50</v>
      </c>
      <c r="B284" s="4">
        <v>0</v>
      </c>
      <c r="C284" s="4">
        <v>0</v>
      </c>
      <c r="D284" s="4">
        <v>1</v>
      </c>
      <c r="E284" s="4">
        <v>232</v>
      </c>
      <c r="F284" s="4">
        <f>ROUND(Source!BC268,O284)</f>
        <v>0</v>
      </c>
      <c r="G284" s="4" t="s">
        <v>93</v>
      </c>
      <c r="H284" s="4" t="s">
        <v>94</v>
      </c>
      <c r="I284" s="4"/>
      <c r="J284" s="4"/>
      <c r="K284" s="4">
        <v>232</v>
      </c>
      <c r="L284" s="4">
        <v>15</v>
      </c>
      <c r="M284" s="4">
        <v>3</v>
      </c>
      <c r="N284" s="4" t="s">
        <v>3</v>
      </c>
      <c r="O284" s="4">
        <v>2</v>
      </c>
      <c r="P284" s="4"/>
      <c r="Q284" s="4"/>
      <c r="R284" s="4"/>
      <c r="S284" s="4"/>
      <c r="T284" s="4"/>
      <c r="U284" s="4"/>
      <c r="V284" s="4"/>
      <c r="W284" s="4"/>
    </row>
    <row r="285" spans="1:23">
      <c r="A285" s="4">
        <v>50</v>
      </c>
      <c r="B285" s="4">
        <v>0</v>
      </c>
      <c r="C285" s="4">
        <v>0</v>
      </c>
      <c r="D285" s="4">
        <v>1</v>
      </c>
      <c r="E285" s="4">
        <v>214</v>
      </c>
      <c r="F285" s="4">
        <f>ROUND(Source!AS268,O285)</f>
        <v>0</v>
      </c>
      <c r="G285" s="4" t="s">
        <v>95</v>
      </c>
      <c r="H285" s="4" t="s">
        <v>96</v>
      </c>
      <c r="I285" s="4"/>
      <c r="J285" s="4"/>
      <c r="K285" s="4">
        <v>214</v>
      </c>
      <c r="L285" s="4">
        <v>16</v>
      </c>
      <c r="M285" s="4">
        <v>3</v>
      </c>
      <c r="N285" s="4" t="s">
        <v>3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6" spans="1:23">
      <c r="A286" s="4">
        <v>50</v>
      </c>
      <c r="B286" s="4">
        <v>0</v>
      </c>
      <c r="C286" s="4">
        <v>0</v>
      </c>
      <c r="D286" s="4">
        <v>1</v>
      </c>
      <c r="E286" s="4">
        <v>215</v>
      </c>
      <c r="F286" s="4">
        <f>ROUND(Source!AT268,O286)</f>
        <v>0</v>
      </c>
      <c r="G286" s="4" t="s">
        <v>97</v>
      </c>
      <c r="H286" s="4" t="s">
        <v>98</v>
      </c>
      <c r="I286" s="4"/>
      <c r="J286" s="4"/>
      <c r="K286" s="4">
        <v>215</v>
      </c>
      <c r="L286" s="4">
        <v>17</v>
      </c>
      <c r="M286" s="4">
        <v>3</v>
      </c>
      <c r="N286" s="4" t="s">
        <v>3</v>
      </c>
      <c r="O286" s="4">
        <v>2</v>
      </c>
      <c r="P286" s="4"/>
      <c r="Q286" s="4"/>
      <c r="R286" s="4"/>
      <c r="S286" s="4"/>
      <c r="T286" s="4"/>
      <c r="U286" s="4"/>
      <c r="V286" s="4"/>
      <c r="W286" s="4"/>
    </row>
    <row r="287" spans="1:23">
      <c r="A287" s="4">
        <v>50</v>
      </c>
      <c r="B287" s="4">
        <v>0</v>
      </c>
      <c r="C287" s="4">
        <v>0</v>
      </c>
      <c r="D287" s="4">
        <v>1</v>
      </c>
      <c r="E287" s="4">
        <v>217</v>
      </c>
      <c r="F287" s="4">
        <f>ROUND(Source!AU268,O287)</f>
        <v>114352.03</v>
      </c>
      <c r="G287" s="4" t="s">
        <v>99</v>
      </c>
      <c r="H287" s="4" t="s">
        <v>100</v>
      </c>
      <c r="I287" s="4"/>
      <c r="J287" s="4"/>
      <c r="K287" s="4">
        <v>217</v>
      </c>
      <c r="L287" s="4">
        <v>18</v>
      </c>
      <c r="M287" s="4">
        <v>3</v>
      </c>
      <c r="N287" s="4" t="s">
        <v>3</v>
      </c>
      <c r="O287" s="4">
        <v>2</v>
      </c>
      <c r="P287" s="4"/>
      <c r="Q287" s="4"/>
      <c r="R287" s="4"/>
      <c r="S287" s="4"/>
      <c r="T287" s="4"/>
      <c r="U287" s="4"/>
      <c r="V287" s="4"/>
      <c r="W287" s="4"/>
    </row>
    <row r="288" spans="1:23">
      <c r="A288" s="4">
        <v>50</v>
      </c>
      <c r="B288" s="4">
        <v>0</v>
      </c>
      <c r="C288" s="4">
        <v>0</v>
      </c>
      <c r="D288" s="4">
        <v>1</v>
      </c>
      <c r="E288" s="4">
        <v>230</v>
      </c>
      <c r="F288" s="4">
        <f>ROUND(Source!BA268,O288)</f>
        <v>0</v>
      </c>
      <c r="G288" s="4" t="s">
        <v>101</v>
      </c>
      <c r="H288" s="4" t="s">
        <v>102</v>
      </c>
      <c r="I288" s="4"/>
      <c r="J288" s="4"/>
      <c r="K288" s="4">
        <v>230</v>
      </c>
      <c r="L288" s="4">
        <v>19</v>
      </c>
      <c r="M288" s="4">
        <v>3</v>
      </c>
      <c r="N288" s="4" t="s">
        <v>3</v>
      </c>
      <c r="O288" s="4">
        <v>2</v>
      </c>
      <c r="P288" s="4"/>
      <c r="Q288" s="4"/>
      <c r="R288" s="4"/>
      <c r="S288" s="4"/>
      <c r="T288" s="4"/>
      <c r="U288" s="4"/>
      <c r="V288" s="4"/>
      <c r="W288" s="4"/>
    </row>
    <row r="289" spans="1:245">
      <c r="A289" s="4">
        <v>50</v>
      </c>
      <c r="B289" s="4">
        <v>0</v>
      </c>
      <c r="C289" s="4">
        <v>0</v>
      </c>
      <c r="D289" s="4">
        <v>1</v>
      </c>
      <c r="E289" s="4">
        <v>206</v>
      </c>
      <c r="F289" s="4">
        <f>ROUND(Source!T268,O289)</f>
        <v>0</v>
      </c>
      <c r="G289" s="4" t="s">
        <v>103</v>
      </c>
      <c r="H289" s="4" t="s">
        <v>104</v>
      </c>
      <c r="I289" s="4"/>
      <c r="J289" s="4"/>
      <c r="K289" s="4">
        <v>206</v>
      </c>
      <c r="L289" s="4">
        <v>20</v>
      </c>
      <c r="M289" s="4">
        <v>3</v>
      </c>
      <c r="N289" s="4" t="s">
        <v>3</v>
      </c>
      <c r="O289" s="4">
        <v>2</v>
      </c>
      <c r="P289" s="4"/>
      <c r="Q289" s="4"/>
      <c r="R289" s="4"/>
      <c r="S289" s="4"/>
      <c r="T289" s="4"/>
      <c r="U289" s="4"/>
      <c r="V289" s="4"/>
      <c r="W289" s="4"/>
    </row>
    <row r="290" spans="1:245">
      <c r="A290" s="4">
        <v>50</v>
      </c>
      <c r="B290" s="4">
        <v>0</v>
      </c>
      <c r="C290" s="4">
        <v>0</v>
      </c>
      <c r="D290" s="4">
        <v>1</v>
      </c>
      <c r="E290" s="4">
        <v>207</v>
      </c>
      <c r="F290" s="4">
        <f>Source!U268</f>
        <v>188.92500000000001</v>
      </c>
      <c r="G290" s="4" t="s">
        <v>105</v>
      </c>
      <c r="H290" s="4" t="s">
        <v>106</v>
      </c>
      <c r="I290" s="4"/>
      <c r="J290" s="4"/>
      <c r="K290" s="4">
        <v>207</v>
      </c>
      <c r="L290" s="4">
        <v>21</v>
      </c>
      <c r="M290" s="4">
        <v>3</v>
      </c>
      <c r="N290" s="4" t="s">
        <v>3</v>
      </c>
      <c r="O290" s="4">
        <v>-1</v>
      </c>
      <c r="P290" s="4"/>
      <c r="Q290" s="4"/>
      <c r="R290" s="4"/>
      <c r="S290" s="4"/>
      <c r="T290" s="4"/>
      <c r="U290" s="4"/>
      <c r="V290" s="4"/>
      <c r="W290" s="4"/>
    </row>
    <row r="291" spans="1:245">
      <c r="A291" s="4">
        <v>50</v>
      </c>
      <c r="B291" s="4">
        <v>0</v>
      </c>
      <c r="C291" s="4">
        <v>0</v>
      </c>
      <c r="D291" s="4">
        <v>1</v>
      </c>
      <c r="E291" s="4">
        <v>208</v>
      </c>
      <c r="F291" s="4">
        <f>Source!V268</f>
        <v>0</v>
      </c>
      <c r="G291" s="4" t="s">
        <v>107</v>
      </c>
      <c r="H291" s="4" t="s">
        <v>108</v>
      </c>
      <c r="I291" s="4"/>
      <c r="J291" s="4"/>
      <c r="K291" s="4">
        <v>208</v>
      </c>
      <c r="L291" s="4">
        <v>22</v>
      </c>
      <c r="M291" s="4">
        <v>3</v>
      </c>
      <c r="N291" s="4" t="s">
        <v>3</v>
      </c>
      <c r="O291" s="4">
        <v>-1</v>
      </c>
      <c r="P291" s="4"/>
      <c r="Q291" s="4"/>
      <c r="R291" s="4"/>
      <c r="S291" s="4"/>
      <c r="T291" s="4"/>
      <c r="U291" s="4"/>
      <c r="V291" s="4"/>
      <c r="W291" s="4"/>
    </row>
    <row r="292" spans="1:245">
      <c r="A292" s="4">
        <v>50</v>
      </c>
      <c r="B292" s="4">
        <v>0</v>
      </c>
      <c r="C292" s="4">
        <v>0</v>
      </c>
      <c r="D292" s="4">
        <v>1</v>
      </c>
      <c r="E292" s="4">
        <v>209</v>
      </c>
      <c r="F292" s="4">
        <f>ROUND(Source!W268,O292)</f>
        <v>0</v>
      </c>
      <c r="G292" s="4" t="s">
        <v>109</v>
      </c>
      <c r="H292" s="4" t="s">
        <v>110</v>
      </c>
      <c r="I292" s="4"/>
      <c r="J292" s="4"/>
      <c r="K292" s="4">
        <v>209</v>
      </c>
      <c r="L292" s="4">
        <v>23</v>
      </c>
      <c r="M292" s="4">
        <v>3</v>
      </c>
      <c r="N292" s="4" t="s">
        <v>3</v>
      </c>
      <c r="O292" s="4">
        <v>2</v>
      </c>
      <c r="P292" s="4"/>
      <c r="Q292" s="4"/>
      <c r="R292" s="4"/>
      <c r="S292" s="4"/>
      <c r="T292" s="4"/>
      <c r="U292" s="4"/>
      <c r="V292" s="4"/>
      <c r="W292" s="4"/>
    </row>
    <row r="293" spans="1:245">
      <c r="A293" s="4">
        <v>50</v>
      </c>
      <c r="B293" s="4">
        <v>0</v>
      </c>
      <c r="C293" s="4">
        <v>0</v>
      </c>
      <c r="D293" s="4">
        <v>1</v>
      </c>
      <c r="E293" s="4">
        <v>210</v>
      </c>
      <c r="F293" s="4">
        <f>ROUND(Source!X268,O293)</f>
        <v>24867.03</v>
      </c>
      <c r="G293" s="4" t="s">
        <v>111</v>
      </c>
      <c r="H293" s="4" t="s">
        <v>112</v>
      </c>
      <c r="I293" s="4"/>
      <c r="J293" s="4"/>
      <c r="K293" s="4">
        <v>210</v>
      </c>
      <c r="L293" s="4">
        <v>24</v>
      </c>
      <c r="M293" s="4">
        <v>3</v>
      </c>
      <c r="N293" s="4" t="s">
        <v>3</v>
      </c>
      <c r="O293" s="4">
        <v>2</v>
      </c>
      <c r="P293" s="4"/>
      <c r="Q293" s="4"/>
      <c r="R293" s="4"/>
      <c r="S293" s="4"/>
      <c r="T293" s="4"/>
      <c r="U293" s="4"/>
      <c r="V293" s="4"/>
      <c r="W293" s="4"/>
    </row>
    <row r="294" spans="1:245">
      <c r="A294" s="4">
        <v>50</v>
      </c>
      <c r="B294" s="4">
        <v>0</v>
      </c>
      <c r="C294" s="4">
        <v>0</v>
      </c>
      <c r="D294" s="4">
        <v>1</v>
      </c>
      <c r="E294" s="4">
        <v>211</v>
      </c>
      <c r="F294" s="4">
        <f>ROUND(Source!Y268,O294)</f>
        <v>3552.43</v>
      </c>
      <c r="G294" s="4" t="s">
        <v>113</v>
      </c>
      <c r="H294" s="4" t="s">
        <v>114</v>
      </c>
      <c r="I294" s="4"/>
      <c r="J294" s="4"/>
      <c r="K294" s="4">
        <v>211</v>
      </c>
      <c r="L294" s="4">
        <v>25</v>
      </c>
      <c r="M294" s="4">
        <v>3</v>
      </c>
      <c r="N294" s="4" t="s">
        <v>3</v>
      </c>
      <c r="O294" s="4">
        <v>2</v>
      </c>
      <c r="P294" s="4"/>
      <c r="Q294" s="4"/>
      <c r="R294" s="4"/>
      <c r="S294" s="4"/>
      <c r="T294" s="4"/>
      <c r="U294" s="4"/>
      <c r="V294" s="4"/>
      <c r="W294" s="4"/>
    </row>
    <row r="295" spans="1:245">
      <c r="A295" s="4">
        <v>50</v>
      </c>
      <c r="B295" s="4">
        <v>0</v>
      </c>
      <c r="C295" s="4">
        <v>0</v>
      </c>
      <c r="D295" s="4">
        <v>1</v>
      </c>
      <c r="E295" s="4">
        <v>224</v>
      </c>
      <c r="F295" s="4">
        <f>ROUND(Source!AR268,O295)</f>
        <v>114352.03</v>
      </c>
      <c r="G295" s="4" t="s">
        <v>115</v>
      </c>
      <c r="H295" s="4" t="s">
        <v>116</v>
      </c>
      <c r="I295" s="4"/>
      <c r="J295" s="4"/>
      <c r="K295" s="4">
        <v>224</v>
      </c>
      <c r="L295" s="4">
        <v>26</v>
      </c>
      <c r="M295" s="4">
        <v>3</v>
      </c>
      <c r="N295" s="4" t="s">
        <v>3</v>
      </c>
      <c r="O295" s="4">
        <v>2</v>
      </c>
      <c r="P295" s="4"/>
      <c r="Q295" s="4"/>
      <c r="R295" s="4"/>
      <c r="S295" s="4"/>
      <c r="T295" s="4"/>
      <c r="U295" s="4"/>
      <c r="V295" s="4"/>
      <c r="W295" s="4"/>
    </row>
    <row r="296" spans="1:245">
      <c r="A296" s="4">
        <v>50</v>
      </c>
      <c r="B296" s="4">
        <v>1</v>
      </c>
      <c r="C296" s="4">
        <v>0</v>
      </c>
      <c r="D296" s="4">
        <v>2</v>
      </c>
      <c r="E296" s="4">
        <v>0</v>
      </c>
      <c r="F296" s="4">
        <f>ROUND(F295,O296)</f>
        <v>114352.03</v>
      </c>
      <c r="G296" s="4" t="s">
        <v>4</v>
      </c>
      <c r="H296" s="4" t="s">
        <v>117</v>
      </c>
      <c r="I296" s="4"/>
      <c r="J296" s="4"/>
      <c r="K296" s="4">
        <v>212</v>
      </c>
      <c r="L296" s="4">
        <v>27</v>
      </c>
      <c r="M296" s="4">
        <v>0</v>
      </c>
      <c r="N296" s="4" t="s">
        <v>3</v>
      </c>
      <c r="O296" s="4">
        <v>2</v>
      </c>
      <c r="P296" s="4"/>
      <c r="Q296" s="4"/>
      <c r="R296" s="4"/>
      <c r="S296" s="4"/>
      <c r="T296" s="4"/>
      <c r="U296" s="4"/>
      <c r="V296" s="4"/>
      <c r="W296" s="4"/>
    </row>
    <row r="297" spans="1:245">
      <c r="A297" s="4">
        <v>50</v>
      </c>
      <c r="B297" s="4">
        <v>1</v>
      </c>
      <c r="C297" s="4">
        <v>0</v>
      </c>
      <c r="D297" s="4">
        <v>2</v>
      </c>
      <c r="E297" s="4">
        <v>0</v>
      </c>
      <c r="F297" s="4">
        <f>ROUND(F296*0.2,O297)</f>
        <v>22870.41</v>
      </c>
      <c r="G297" s="4" t="s">
        <v>23</v>
      </c>
      <c r="H297" s="4" t="s">
        <v>118</v>
      </c>
      <c r="I297" s="4"/>
      <c r="J297" s="4"/>
      <c r="K297" s="4">
        <v>212</v>
      </c>
      <c r="L297" s="4">
        <v>28</v>
      </c>
      <c r="M297" s="4">
        <v>0</v>
      </c>
      <c r="N297" s="4" t="s">
        <v>3</v>
      </c>
      <c r="O297" s="4">
        <v>2</v>
      </c>
      <c r="P297" s="4"/>
      <c r="Q297" s="4"/>
      <c r="R297" s="4"/>
      <c r="S297" s="4"/>
      <c r="T297" s="4"/>
      <c r="U297" s="4"/>
      <c r="V297" s="4"/>
      <c r="W297" s="4"/>
    </row>
    <row r="298" spans="1:245">
      <c r="A298" s="4">
        <v>50</v>
      </c>
      <c r="B298" s="4">
        <v>1</v>
      </c>
      <c r="C298" s="4">
        <v>0</v>
      </c>
      <c r="D298" s="4">
        <v>2</v>
      </c>
      <c r="E298" s="4">
        <v>0</v>
      </c>
      <c r="F298" s="4">
        <f>ROUND(F296+F297,O298)</f>
        <v>137222.44</v>
      </c>
      <c r="G298" s="4" t="s">
        <v>27</v>
      </c>
      <c r="H298" s="4" t="s">
        <v>119</v>
      </c>
      <c r="I298" s="4"/>
      <c r="J298" s="4"/>
      <c r="K298" s="4">
        <v>212</v>
      </c>
      <c r="L298" s="4">
        <v>29</v>
      </c>
      <c r="M298" s="4">
        <v>0</v>
      </c>
      <c r="N298" s="4" t="s">
        <v>3</v>
      </c>
      <c r="O298" s="4">
        <v>2</v>
      </c>
      <c r="P298" s="4"/>
      <c r="Q298" s="4"/>
      <c r="R298" s="4"/>
      <c r="S298" s="4"/>
      <c r="T298" s="4"/>
      <c r="U298" s="4"/>
      <c r="V298" s="4"/>
      <c r="W298" s="4"/>
    </row>
    <row r="300" spans="1:245">
      <c r="A300" s="1">
        <v>4</v>
      </c>
      <c r="B300" s="1">
        <v>1</v>
      </c>
      <c r="C300" s="1"/>
      <c r="D300" s="1">
        <f>ROW(A329)</f>
        <v>329</v>
      </c>
      <c r="E300" s="1"/>
      <c r="F300" s="1" t="s">
        <v>14</v>
      </c>
      <c r="G300" s="1" t="s">
        <v>244</v>
      </c>
      <c r="H300" s="1" t="s">
        <v>3</v>
      </c>
      <c r="I300" s="1">
        <v>0</v>
      </c>
      <c r="J300" s="1"/>
      <c r="K300" s="1">
        <v>-1</v>
      </c>
      <c r="L300" s="1"/>
      <c r="M300" s="1"/>
      <c r="N300" s="1"/>
      <c r="O300" s="1"/>
      <c r="P300" s="1"/>
      <c r="Q300" s="1"/>
      <c r="R300" s="1"/>
      <c r="S300" s="1"/>
      <c r="T300" s="1"/>
      <c r="U300" s="1" t="s">
        <v>3</v>
      </c>
      <c r="V300" s="1">
        <v>0</v>
      </c>
      <c r="W300" s="1"/>
      <c r="X300" s="1"/>
      <c r="Y300" s="1"/>
      <c r="Z300" s="1"/>
      <c r="AA300" s="1"/>
      <c r="AB300" s="1" t="s">
        <v>3</v>
      </c>
      <c r="AC300" s="1" t="s">
        <v>3</v>
      </c>
      <c r="AD300" s="1" t="s">
        <v>3</v>
      </c>
      <c r="AE300" s="1" t="s">
        <v>3</v>
      </c>
      <c r="AF300" s="1" t="s">
        <v>3</v>
      </c>
      <c r="AG300" s="1" t="s">
        <v>3</v>
      </c>
      <c r="AH300" s="1"/>
      <c r="AI300" s="1"/>
      <c r="AJ300" s="1"/>
      <c r="AK300" s="1"/>
      <c r="AL300" s="1"/>
      <c r="AM300" s="1"/>
      <c r="AN300" s="1"/>
      <c r="AO300" s="1"/>
      <c r="AP300" s="1" t="s">
        <v>3</v>
      </c>
      <c r="AQ300" s="1" t="s">
        <v>3</v>
      </c>
      <c r="AR300" s="1" t="s">
        <v>3</v>
      </c>
      <c r="AS300" s="1"/>
      <c r="AT300" s="1"/>
      <c r="AU300" s="1"/>
      <c r="AV300" s="1"/>
      <c r="AW300" s="1"/>
      <c r="AX300" s="1"/>
      <c r="AY300" s="1"/>
      <c r="AZ300" s="1" t="s">
        <v>3</v>
      </c>
      <c r="BA300" s="1"/>
      <c r="BB300" s="1" t="s">
        <v>3</v>
      </c>
      <c r="BC300" s="1" t="s">
        <v>3</v>
      </c>
      <c r="BD300" s="1" t="s">
        <v>3</v>
      </c>
      <c r="BE300" s="1" t="s">
        <v>3</v>
      </c>
      <c r="BF300" s="1" t="s">
        <v>3</v>
      </c>
      <c r="BG300" s="1" t="s">
        <v>3</v>
      </c>
      <c r="BH300" s="1" t="s">
        <v>3</v>
      </c>
      <c r="BI300" s="1" t="s">
        <v>3</v>
      </c>
      <c r="BJ300" s="1" t="s">
        <v>3</v>
      </c>
      <c r="BK300" s="1" t="s">
        <v>3</v>
      </c>
      <c r="BL300" s="1" t="s">
        <v>3</v>
      </c>
      <c r="BM300" s="1" t="s">
        <v>3</v>
      </c>
      <c r="BN300" s="1" t="s">
        <v>3</v>
      </c>
      <c r="BO300" s="1" t="s">
        <v>3</v>
      </c>
      <c r="BP300" s="1" t="s">
        <v>3</v>
      </c>
      <c r="BQ300" s="1"/>
      <c r="BR300" s="1"/>
      <c r="BS300" s="1"/>
      <c r="BT300" s="1"/>
      <c r="BU300" s="1"/>
      <c r="BV300" s="1"/>
      <c r="BW300" s="1"/>
      <c r="BX300" s="1">
        <v>0</v>
      </c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>
        <v>0</v>
      </c>
    </row>
    <row r="302" spans="1:245">
      <c r="A302" s="2">
        <v>52</v>
      </c>
      <c r="B302" s="2">
        <f t="shared" ref="B302:G302" si="229">B329</f>
        <v>1</v>
      </c>
      <c r="C302" s="2">
        <f t="shared" si="229"/>
        <v>4</v>
      </c>
      <c r="D302" s="2">
        <f t="shared" si="229"/>
        <v>300</v>
      </c>
      <c r="E302" s="2">
        <f t="shared" si="229"/>
        <v>0</v>
      </c>
      <c r="F302" s="2" t="str">
        <f t="shared" si="229"/>
        <v>Новый раздел</v>
      </c>
      <c r="G302" s="2" t="str">
        <f t="shared" si="229"/>
        <v>Стелла " Чертаново Центральное"</v>
      </c>
      <c r="H302" s="2"/>
      <c r="I302" s="2"/>
      <c r="J302" s="2"/>
      <c r="K302" s="2"/>
      <c r="L302" s="2"/>
      <c r="M302" s="2"/>
      <c r="N302" s="2"/>
      <c r="O302" s="2">
        <f t="shared" ref="O302:AT302" si="230">O329</f>
        <v>770656.6</v>
      </c>
      <c r="P302" s="2">
        <f t="shared" si="230"/>
        <v>478804.07</v>
      </c>
      <c r="Q302" s="2">
        <f t="shared" si="230"/>
        <v>32231.54</v>
      </c>
      <c r="R302" s="2">
        <f t="shared" si="230"/>
        <v>14978.9</v>
      </c>
      <c r="S302" s="2">
        <f t="shared" si="230"/>
        <v>259620.99</v>
      </c>
      <c r="T302" s="2">
        <f t="shared" si="230"/>
        <v>0</v>
      </c>
      <c r="U302" s="2">
        <f t="shared" si="230"/>
        <v>1191.1539170000001</v>
      </c>
      <c r="V302" s="2">
        <f t="shared" si="230"/>
        <v>0</v>
      </c>
      <c r="W302" s="2">
        <f t="shared" si="230"/>
        <v>0</v>
      </c>
      <c r="X302" s="2">
        <f t="shared" si="230"/>
        <v>183790.22</v>
      </c>
      <c r="Y302" s="2">
        <f t="shared" si="230"/>
        <v>25962.12</v>
      </c>
      <c r="Z302" s="2">
        <f t="shared" si="230"/>
        <v>0</v>
      </c>
      <c r="AA302" s="2">
        <f t="shared" si="230"/>
        <v>0</v>
      </c>
      <c r="AB302" s="2">
        <f t="shared" si="230"/>
        <v>770656.6</v>
      </c>
      <c r="AC302" s="2">
        <f t="shared" si="230"/>
        <v>478804.07</v>
      </c>
      <c r="AD302" s="2">
        <f t="shared" si="230"/>
        <v>32231.54</v>
      </c>
      <c r="AE302" s="2">
        <f t="shared" si="230"/>
        <v>14978.9</v>
      </c>
      <c r="AF302" s="2">
        <f t="shared" si="230"/>
        <v>259620.99</v>
      </c>
      <c r="AG302" s="2">
        <f t="shared" si="230"/>
        <v>0</v>
      </c>
      <c r="AH302" s="2">
        <f t="shared" si="230"/>
        <v>1191.1539170000001</v>
      </c>
      <c r="AI302" s="2">
        <f t="shared" si="230"/>
        <v>0</v>
      </c>
      <c r="AJ302" s="2">
        <f t="shared" si="230"/>
        <v>0</v>
      </c>
      <c r="AK302" s="2">
        <f t="shared" si="230"/>
        <v>183790.22</v>
      </c>
      <c r="AL302" s="2">
        <f t="shared" si="230"/>
        <v>25962.12</v>
      </c>
      <c r="AM302" s="2">
        <f t="shared" si="230"/>
        <v>0</v>
      </c>
      <c r="AN302" s="2">
        <f t="shared" si="230"/>
        <v>0</v>
      </c>
      <c r="AO302" s="2">
        <f t="shared" si="230"/>
        <v>0</v>
      </c>
      <c r="AP302" s="2">
        <f t="shared" si="230"/>
        <v>0</v>
      </c>
      <c r="AQ302" s="2">
        <f t="shared" si="230"/>
        <v>0</v>
      </c>
      <c r="AR302" s="2">
        <f t="shared" si="230"/>
        <v>996586.14</v>
      </c>
      <c r="AS302" s="2">
        <f t="shared" si="230"/>
        <v>0</v>
      </c>
      <c r="AT302" s="2">
        <f t="shared" si="230"/>
        <v>0</v>
      </c>
      <c r="AU302" s="2">
        <f t="shared" ref="AU302:BZ302" si="231">AU329</f>
        <v>996586.14</v>
      </c>
      <c r="AV302" s="2">
        <f t="shared" si="231"/>
        <v>478804.07</v>
      </c>
      <c r="AW302" s="2">
        <f t="shared" si="231"/>
        <v>478804.07</v>
      </c>
      <c r="AX302" s="2">
        <f t="shared" si="231"/>
        <v>0</v>
      </c>
      <c r="AY302" s="2">
        <f t="shared" si="231"/>
        <v>478804.07</v>
      </c>
      <c r="AZ302" s="2">
        <f t="shared" si="231"/>
        <v>0</v>
      </c>
      <c r="BA302" s="2">
        <f t="shared" si="231"/>
        <v>0</v>
      </c>
      <c r="BB302" s="2">
        <f t="shared" si="231"/>
        <v>0</v>
      </c>
      <c r="BC302" s="2">
        <f t="shared" si="231"/>
        <v>0</v>
      </c>
      <c r="BD302" s="2">
        <f t="shared" si="231"/>
        <v>0</v>
      </c>
      <c r="BE302" s="2">
        <f t="shared" si="231"/>
        <v>0</v>
      </c>
      <c r="BF302" s="2">
        <f t="shared" si="231"/>
        <v>0</v>
      </c>
      <c r="BG302" s="2">
        <f t="shared" si="231"/>
        <v>0</v>
      </c>
      <c r="BH302" s="2">
        <f t="shared" si="231"/>
        <v>0</v>
      </c>
      <c r="BI302" s="2">
        <f t="shared" si="231"/>
        <v>0</v>
      </c>
      <c r="BJ302" s="2">
        <f t="shared" si="231"/>
        <v>0</v>
      </c>
      <c r="BK302" s="2">
        <f t="shared" si="231"/>
        <v>0</v>
      </c>
      <c r="BL302" s="2">
        <f t="shared" si="231"/>
        <v>0</v>
      </c>
      <c r="BM302" s="2">
        <f t="shared" si="231"/>
        <v>0</v>
      </c>
      <c r="BN302" s="2">
        <f t="shared" si="231"/>
        <v>0</v>
      </c>
      <c r="BO302" s="2">
        <f t="shared" si="231"/>
        <v>0</v>
      </c>
      <c r="BP302" s="2">
        <f t="shared" si="231"/>
        <v>0</v>
      </c>
      <c r="BQ302" s="2">
        <f t="shared" si="231"/>
        <v>0</v>
      </c>
      <c r="BR302" s="2">
        <f t="shared" si="231"/>
        <v>0</v>
      </c>
      <c r="BS302" s="2">
        <f t="shared" si="231"/>
        <v>0</v>
      </c>
      <c r="BT302" s="2">
        <f t="shared" si="231"/>
        <v>0</v>
      </c>
      <c r="BU302" s="2">
        <f t="shared" si="231"/>
        <v>0</v>
      </c>
      <c r="BV302" s="2">
        <f t="shared" si="231"/>
        <v>0</v>
      </c>
      <c r="BW302" s="2">
        <f t="shared" si="231"/>
        <v>0</v>
      </c>
      <c r="BX302" s="2">
        <f t="shared" si="231"/>
        <v>0</v>
      </c>
      <c r="BY302" s="2">
        <f t="shared" si="231"/>
        <v>0</v>
      </c>
      <c r="BZ302" s="2">
        <f t="shared" si="231"/>
        <v>0</v>
      </c>
      <c r="CA302" s="2">
        <f t="shared" ref="CA302:DF302" si="232">CA329</f>
        <v>996586.14</v>
      </c>
      <c r="CB302" s="2">
        <f t="shared" si="232"/>
        <v>0</v>
      </c>
      <c r="CC302" s="2">
        <f t="shared" si="232"/>
        <v>0</v>
      </c>
      <c r="CD302" s="2">
        <f t="shared" si="232"/>
        <v>996586.14</v>
      </c>
      <c r="CE302" s="2">
        <f t="shared" si="232"/>
        <v>478804.07</v>
      </c>
      <c r="CF302" s="2">
        <f t="shared" si="232"/>
        <v>478804.07</v>
      </c>
      <c r="CG302" s="2">
        <f t="shared" si="232"/>
        <v>0</v>
      </c>
      <c r="CH302" s="2">
        <f t="shared" si="232"/>
        <v>478804.07</v>
      </c>
      <c r="CI302" s="2">
        <f t="shared" si="232"/>
        <v>0</v>
      </c>
      <c r="CJ302" s="2">
        <f t="shared" si="232"/>
        <v>0</v>
      </c>
      <c r="CK302" s="2">
        <f t="shared" si="232"/>
        <v>0</v>
      </c>
      <c r="CL302" s="2">
        <f t="shared" si="232"/>
        <v>0</v>
      </c>
      <c r="CM302" s="2">
        <f t="shared" si="232"/>
        <v>0</v>
      </c>
      <c r="CN302" s="2">
        <f t="shared" si="232"/>
        <v>0</v>
      </c>
      <c r="CO302" s="2">
        <f t="shared" si="232"/>
        <v>0</v>
      </c>
      <c r="CP302" s="2">
        <f t="shared" si="232"/>
        <v>0</v>
      </c>
      <c r="CQ302" s="2">
        <f t="shared" si="232"/>
        <v>0</v>
      </c>
      <c r="CR302" s="2">
        <f t="shared" si="232"/>
        <v>0</v>
      </c>
      <c r="CS302" s="2">
        <f t="shared" si="232"/>
        <v>0</v>
      </c>
      <c r="CT302" s="2">
        <f t="shared" si="232"/>
        <v>0</v>
      </c>
      <c r="CU302" s="2">
        <f t="shared" si="232"/>
        <v>0</v>
      </c>
      <c r="CV302" s="2">
        <f t="shared" si="232"/>
        <v>0</v>
      </c>
      <c r="CW302" s="2">
        <f t="shared" si="232"/>
        <v>0</v>
      </c>
      <c r="CX302" s="2">
        <f t="shared" si="232"/>
        <v>0</v>
      </c>
      <c r="CY302" s="2">
        <f t="shared" si="232"/>
        <v>0</v>
      </c>
      <c r="CZ302" s="2">
        <f t="shared" si="232"/>
        <v>0</v>
      </c>
      <c r="DA302" s="2">
        <f t="shared" si="232"/>
        <v>0</v>
      </c>
      <c r="DB302" s="2">
        <f t="shared" si="232"/>
        <v>0</v>
      </c>
      <c r="DC302" s="2">
        <f t="shared" si="232"/>
        <v>0</v>
      </c>
      <c r="DD302" s="2">
        <f t="shared" si="232"/>
        <v>0</v>
      </c>
      <c r="DE302" s="2">
        <f t="shared" si="232"/>
        <v>0</v>
      </c>
      <c r="DF302" s="2">
        <f t="shared" si="232"/>
        <v>0</v>
      </c>
      <c r="DG302" s="3">
        <f t="shared" ref="DG302:EL302" si="233">DG329</f>
        <v>0</v>
      </c>
      <c r="DH302" s="3">
        <f t="shared" si="233"/>
        <v>0</v>
      </c>
      <c r="DI302" s="3">
        <f t="shared" si="233"/>
        <v>0</v>
      </c>
      <c r="DJ302" s="3">
        <f t="shared" si="233"/>
        <v>0</v>
      </c>
      <c r="DK302" s="3">
        <f t="shared" si="233"/>
        <v>0</v>
      </c>
      <c r="DL302" s="3">
        <f t="shared" si="233"/>
        <v>0</v>
      </c>
      <c r="DM302" s="3">
        <f t="shared" si="233"/>
        <v>0</v>
      </c>
      <c r="DN302" s="3">
        <f t="shared" si="233"/>
        <v>0</v>
      </c>
      <c r="DO302" s="3">
        <f t="shared" si="233"/>
        <v>0</v>
      </c>
      <c r="DP302" s="3">
        <f t="shared" si="233"/>
        <v>0</v>
      </c>
      <c r="DQ302" s="3">
        <f t="shared" si="233"/>
        <v>0</v>
      </c>
      <c r="DR302" s="3">
        <f t="shared" si="233"/>
        <v>0</v>
      </c>
      <c r="DS302" s="3">
        <f t="shared" si="233"/>
        <v>0</v>
      </c>
      <c r="DT302" s="3">
        <f t="shared" si="233"/>
        <v>0</v>
      </c>
      <c r="DU302" s="3">
        <f t="shared" si="233"/>
        <v>0</v>
      </c>
      <c r="DV302" s="3">
        <f t="shared" si="233"/>
        <v>0</v>
      </c>
      <c r="DW302" s="3">
        <f t="shared" si="233"/>
        <v>0</v>
      </c>
      <c r="DX302" s="3">
        <f t="shared" si="233"/>
        <v>0</v>
      </c>
      <c r="DY302" s="3">
        <f t="shared" si="233"/>
        <v>0</v>
      </c>
      <c r="DZ302" s="3">
        <f t="shared" si="233"/>
        <v>0</v>
      </c>
      <c r="EA302" s="3">
        <f t="shared" si="233"/>
        <v>0</v>
      </c>
      <c r="EB302" s="3">
        <f t="shared" si="233"/>
        <v>0</v>
      </c>
      <c r="EC302" s="3">
        <f t="shared" si="233"/>
        <v>0</v>
      </c>
      <c r="ED302" s="3">
        <f t="shared" si="233"/>
        <v>0</v>
      </c>
      <c r="EE302" s="3">
        <f t="shared" si="233"/>
        <v>0</v>
      </c>
      <c r="EF302" s="3">
        <f t="shared" si="233"/>
        <v>0</v>
      </c>
      <c r="EG302" s="3">
        <f t="shared" si="233"/>
        <v>0</v>
      </c>
      <c r="EH302" s="3">
        <f t="shared" si="233"/>
        <v>0</v>
      </c>
      <c r="EI302" s="3">
        <f t="shared" si="233"/>
        <v>0</v>
      </c>
      <c r="EJ302" s="3">
        <f t="shared" si="233"/>
        <v>0</v>
      </c>
      <c r="EK302" s="3">
        <f t="shared" si="233"/>
        <v>0</v>
      </c>
      <c r="EL302" s="3">
        <f t="shared" si="233"/>
        <v>0</v>
      </c>
      <c r="EM302" s="3">
        <f t="shared" ref="EM302:FR302" si="234">EM329</f>
        <v>0</v>
      </c>
      <c r="EN302" s="3">
        <f t="shared" si="234"/>
        <v>0</v>
      </c>
      <c r="EO302" s="3">
        <f t="shared" si="234"/>
        <v>0</v>
      </c>
      <c r="EP302" s="3">
        <f t="shared" si="234"/>
        <v>0</v>
      </c>
      <c r="EQ302" s="3">
        <f t="shared" si="234"/>
        <v>0</v>
      </c>
      <c r="ER302" s="3">
        <f t="shared" si="234"/>
        <v>0</v>
      </c>
      <c r="ES302" s="3">
        <f t="shared" si="234"/>
        <v>0</v>
      </c>
      <c r="ET302" s="3">
        <f t="shared" si="234"/>
        <v>0</v>
      </c>
      <c r="EU302" s="3">
        <f t="shared" si="234"/>
        <v>0</v>
      </c>
      <c r="EV302" s="3">
        <f t="shared" si="234"/>
        <v>0</v>
      </c>
      <c r="EW302" s="3">
        <f t="shared" si="234"/>
        <v>0</v>
      </c>
      <c r="EX302" s="3">
        <f t="shared" si="234"/>
        <v>0</v>
      </c>
      <c r="EY302" s="3">
        <f t="shared" si="234"/>
        <v>0</v>
      </c>
      <c r="EZ302" s="3">
        <f t="shared" si="234"/>
        <v>0</v>
      </c>
      <c r="FA302" s="3">
        <f t="shared" si="234"/>
        <v>0</v>
      </c>
      <c r="FB302" s="3">
        <f t="shared" si="234"/>
        <v>0</v>
      </c>
      <c r="FC302" s="3">
        <f t="shared" si="234"/>
        <v>0</v>
      </c>
      <c r="FD302" s="3">
        <f t="shared" si="234"/>
        <v>0</v>
      </c>
      <c r="FE302" s="3">
        <f t="shared" si="234"/>
        <v>0</v>
      </c>
      <c r="FF302" s="3">
        <f t="shared" si="234"/>
        <v>0</v>
      </c>
      <c r="FG302" s="3">
        <f t="shared" si="234"/>
        <v>0</v>
      </c>
      <c r="FH302" s="3">
        <f t="shared" si="234"/>
        <v>0</v>
      </c>
      <c r="FI302" s="3">
        <f t="shared" si="234"/>
        <v>0</v>
      </c>
      <c r="FJ302" s="3">
        <f t="shared" si="234"/>
        <v>0</v>
      </c>
      <c r="FK302" s="3">
        <f t="shared" si="234"/>
        <v>0</v>
      </c>
      <c r="FL302" s="3">
        <f t="shared" si="234"/>
        <v>0</v>
      </c>
      <c r="FM302" s="3">
        <f t="shared" si="234"/>
        <v>0</v>
      </c>
      <c r="FN302" s="3">
        <f t="shared" si="234"/>
        <v>0</v>
      </c>
      <c r="FO302" s="3">
        <f t="shared" si="234"/>
        <v>0</v>
      </c>
      <c r="FP302" s="3">
        <f t="shared" si="234"/>
        <v>0</v>
      </c>
      <c r="FQ302" s="3">
        <f t="shared" si="234"/>
        <v>0</v>
      </c>
      <c r="FR302" s="3">
        <f t="shared" si="234"/>
        <v>0</v>
      </c>
      <c r="FS302" s="3">
        <f t="shared" ref="FS302:GX302" si="235">FS329</f>
        <v>0</v>
      </c>
      <c r="FT302" s="3">
        <f t="shared" si="235"/>
        <v>0</v>
      </c>
      <c r="FU302" s="3">
        <f t="shared" si="235"/>
        <v>0</v>
      </c>
      <c r="FV302" s="3">
        <f t="shared" si="235"/>
        <v>0</v>
      </c>
      <c r="FW302" s="3">
        <f t="shared" si="235"/>
        <v>0</v>
      </c>
      <c r="FX302" s="3">
        <f t="shared" si="235"/>
        <v>0</v>
      </c>
      <c r="FY302" s="3">
        <f t="shared" si="235"/>
        <v>0</v>
      </c>
      <c r="FZ302" s="3">
        <f t="shared" si="235"/>
        <v>0</v>
      </c>
      <c r="GA302" s="3">
        <f t="shared" si="235"/>
        <v>0</v>
      </c>
      <c r="GB302" s="3">
        <f t="shared" si="235"/>
        <v>0</v>
      </c>
      <c r="GC302" s="3">
        <f t="shared" si="235"/>
        <v>0</v>
      </c>
      <c r="GD302" s="3">
        <f t="shared" si="235"/>
        <v>0</v>
      </c>
      <c r="GE302" s="3">
        <f t="shared" si="235"/>
        <v>0</v>
      </c>
      <c r="GF302" s="3">
        <f t="shared" si="235"/>
        <v>0</v>
      </c>
      <c r="GG302" s="3">
        <f t="shared" si="235"/>
        <v>0</v>
      </c>
      <c r="GH302" s="3">
        <f t="shared" si="235"/>
        <v>0</v>
      </c>
      <c r="GI302" s="3">
        <f t="shared" si="235"/>
        <v>0</v>
      </c>
      <c r="GJ302" s="3">
        <f t="shared" si="235"/>
        <v>0</v>
      </c>
      <c r="GK302" s="3">
        <f t="shared" si="235"/>
        <v>0</v>
      </c>
      <c r="GL302" s="3">
        <f t="shared" si="235"/>
        <v>0</v>
      </c>
      <c r="GM302" s="3">
        <f t="shared" si="235"/>
        <v>0</v>
      </c>
      <c r="GN302" s="3">
        <f t="shared" si="235"/>
        <v>0</v>
      </c>
      <c r="GO302" s="3">
        <f t="shared" si="235"/>
        <v>0</v>
      </c>
      <c r="GP302" s="3">
        <f t="shared" si="235"/>
        <v>0</v>
      </c>
      <c r="GQ302" s="3">
        <f t="shared" si="235"/>
        <v>0</v>
      </c>
      <c r="GR302" s="3">
        <f t="shared" si="235"/>
        <v>0</v>
      </c>
      <c r="GS302" s="3">
        <f t="shared" si="235"/>
        <v>0</v>
      </c>
      <c r="GT302" s="3">
        <f t="shared" si="235"/>
        <v>0</v>
      </c>
      <c r="GU302" s="3">
        <f t="shared" si="235"/>
        <v>0</v>
      </c>
      <c r="GV302" s="3">
        <f t="shared" si="235"/>
        <v>0</v>
      </c>
      <c r="GW302" s="3">
        <f t="shared" si="235"/>
        <v>0</v>
      </c>
      <c r="GX302" s="3">
        <f t="shared" si="235"/>
        <v>0</v>
      </c>
    </row>
    <row r="304" spans="1:245">
      <c r="A304">
        <v>17</v>
      </c>
      <c r="B304">
        <v>1</v>
      </c>
      <c r="C304">
        <f>ROW(SmtRes!A123)</f>
        <v>123</v>
      </c>
      <c r="D304">
        <f>ROW(EtalonRes!A110)</f>
        <v>110</v>
      </c>
      <c r="E304" t="s">
        <v>245</v>
      </c>
      <c r="F304" t="s">
        <v>246</v>
      </c>
      <c r="G304" t="s">
        <v>247</v>
      </c>
      <c r="H304" t="s">
        <v>248</v>
      </c>
      <c r="I304">
        <f>ROUND(0.08/100,9)</f>
        <v>8.0000000000000004E-4</v>
      </c>
      <c r="J304">
        <v>0</v>
      </c>
      <c r="O304">
        <f t="shared" ref="O304:O327" si="236">ROUND(CP304,2)</f>
        <v>33.56</v>
      </c>
      <c r="P304">
        <f t="shared" ref="P304:P327" si="237">ROUND(CQ304*I304,2)</f>
        <v>0</v>
      </c>
      <c r="Q304">
        <f t="shared" ref="Q304:Q327" si="238">ROUND(CR304*I304,2)</f>
        <v>0</v>
      </c>
      <c r="R304">
        <f t="shared" ref="R304:R327" si="239">ROUND(CS304*I304,2)</f>
        <v>0</v>
      </c>
      <c r="S304">
        <f t="shared" ref="S304:S327" si="240">ROUND(CT304*I304,2)</f>
        <v>33.56</v>
      </c>
      <c r="T304">
        <f t="shared" ref="T304:T327" si="241">ROUND(CU304*I304,2)</f>
        <v>0</v>
      </c>
      <c r="U304">
        <f t="shared" ref="U304:U327" si="242">CV304*I304</f>
        <v>0.17727999999999999</v>
      </c>
      <c r="V304">
        <f t="shared" ref="V304:V327" si="243">CW304*I304</f>
        <v>0</v>
      </c>
      <c r="W304">
        <f t="shared" ref="W304:W327" si="244">ROUND(CX304*I304,2)</f>
        <v>0</v>
      </c>
      <c r="X304">
        <f t="shared" ref="X304:X327" si="245">ROUND(CY304,2)</f>
        <v>23.49</v>
      </c>
      <c r="Y304">
        <f t="shared" ref="Y304:Y327" si="246">ROUND(CZ304,2)</f>
        <v>3.36</v>
      </c>
      <c r="AA304">
        <v>42225948</v>
      </c>
      <c r="AB304">
        <f t="shared" ref="AB304:AB327" si="247">ROUND((AC304+AD304+AF304),6)</f>
        <v>41951.1</v>
      </c>
      <c r="AC304">
        <f t="shared" ref="AC304:AC325" si="248">ROUND((ES304),6)</f>
        <v>0</v>
      </c>
      <c r="AD304">
        <f t="shared" ref="AD304:AD325" si="249">ROUND((((ET304)-(EU304))+AE304),6)</f>
        <v>0</v>
      </c>
      <c r="AE304">
        <f t="shared" ref="AE304:AE325" si="250">ROUND((EU304),6)</f>
        <v>0</v>
      </c>
      <c r="AF304">
        <f t="shared" ref="AF304:AF325" si="251">ROUND((EV304),6)</f>
        <v>41951.1</v>
      </c>
      <c r="AG304">
        <f t="shared" ref="AG304:AG327" si="252">ROUND((AP304),6)</f>
        <v>0</v>
      </c>
      <c r="AH304">
        <f t="shared" ref="AH304:AH325" si="253">(EW304)</f>
        <v>221.6</v>
      </c>
      <c r="AI304">
        <f t="shared" ref="AI304:AI325" si="254">(EX304)</f>
        <v>0</v>
      </c>
      <c r="AJ304">
        <f t="shared" ref="AJ304:AJ327" si="255">(AS304)</f>
        <v>0</v>
      </c>
      <c r="AK304">
        <v>41951.1</v>
      </c>
      <c r="AL304">
        <v>0</v>
      </c>
      <c r="AM304">
        <v>0</v>
      </c>
      <c r="AN304">
        <v>0</v>
      </c>
      <c r="AO304">
        <v>41951.1</v>
      </c>
      <c r="AP304">
        <v>0</v>
      </c>
      <c r="AQ304">
        <v>221.6</v>
      </c>
      <c r="AR304">
        <v>0</v>
      </c>
      <c r="AS304">
        <v>0</v>
      </c>
      <c r="AT304">
        <v>70</v>
      </c>
      <c r="AU304">
        <v>10</v>
      </c>
      <c r="AV304">
        <v>1</v>
      </c>
      <c r="AW304">
        <v>1</v>
      </c>
      <c r="AZ304">
        <v>1</v>
      </c>
      <c r="BA304">
        <v>1</v>
      </c>
      <c r="BB304">
        <v>1</v>
      </c>
      <c r="BC304">
        <v>1</v>
      </c>
      <c r="BD304" t="s">
        <v>3</v>
      </c>
      <c r="BE304" t="s">
        <v>3</v>
      </c>
      <c r="BF304" t="s">
        <v>3</v>
      </c>
      <c r="BG304" t="s">
        <v>3</v>
      </c>
      <c r="BH304">
        <v>0</v>
      </c>
      <c r="BI304">
        <v>4</v>
      </c>
      <c r="BJ304" t="s">
        <v>249</v>
      </c>
      <c r="BM304">
        <v>0</v>
      </c>
      <c r="BN304">
        <v>0</v>
      </c>
      <c r="BO304" t="s">
        <v>3</v>
      </c>
      <c r="BP304">
        <v>0</v>
      </c>
      <c r="BQ304">
        <v>1</v>
      </c>
      <c r="BR304">
        <v>0</v>
      </c>
      <c r="BS304">
        <v>1</v>
      </c>
      <c r="BT304">
        <v>1</v>
      </c>
      <c r="BU304">
        <v>1</v>
      </c>
      <c r="BV304">
        <v>1</v>
      </c>
      <c r="BW304">
        <v>1</v>
      </c>
      <c r="BX304">
        <v>1</v>
      </c>
      <c r="BY304" t="s">
        <v>3</v>
      </c>
      <c r="BZ304">
        <v>70</v>
      </c>
      <c r="CA304">
        <v>10</v>
      </c>
      <c r="CE304">
        <v>0</v>
      </c>
      <c r="CF304">
        <v>0</v>
      </c>
      <c r="CG304">
        <v>0</v>
      </c>
      <c r="CM304">
        <v>0</v>
      </c>
      <c r="CN304" t="s">
        <v>3</v>
      </c>
      <c r="CO304">
        <v>0</v>
      </c>
      <c r="CP304">
        <f t="shared" ref="CP304:CP327" si="256">(P304+Q304+S304)</f>
        <v>33.56</v>
      </c>
      <c r="CQ304">
        <f t="shared" ref="CQ304:CQ327" si="257">(AC304*BC304*AW304)</f>
        <v>0</v>
      </c>
      <c r="CR304">
        <f t="shared" ref="CR304:CR325" si="258">((((ET304)*BB304-(EU304)*BS304)+AE304*BS304)*AV304)</f>
        <v>0</v>
      </c>
      <c r="CS304">
        <f t="shared" ref="CS304:CS327" si="259">(AE304*BS304*AV304)</f>
        <v>0</v>
      </c>
      <c r="CT304">
        <f t="shared" ref="CT304:CT327" si="260">(AF304*BA304*AV304)</f>
        <v>41951.1</v>
      </c>
      <c r="CU304">
        <f t="shared" ref="CU304:CU327" si="261">AG304</f>
        <v>0</v>
      </c>
      <c r="CV304">
        <f t="shared" ref="CV304:CV327" si="262">(AH304*AV304)</f>
        <v>221.6</v>
      </c>
      <c r="CW304">
        <f t="shared" ref="CW304:CW327" si="263">AI304</f>
        <v>0</v>
      </c>
      <c r="CX304">
        <f t="shared" ref="CX304:CX327" si="264">AJ304</f>
        <v>0</v>
      </c>
      <c r="CY304">
        <f t="shared" ref="CY304:CY327" si="265">((S304*BZ304)/100)</f>
        <v>23.492000000000004</v>
      </c>
      <c r="CZ304">
        <f t="shared" ref="CZ304:CZ327" si="266">((S304*CA304)/100)</f>
        <v>3.3560000000000003</v>
      </c>
      <c r="DC304" t="s">
        <v>3</v>
      </c>
      <c r="DD304" t="s">
        <v>3</v>
      </c>
      <c r="DE304" t="s">
        <v>3</v>
      </c>
      <c r="DF304" t="s">
        <v>3</v>
      </c>
      <c r="DG304" t="s">
        <v>3</v>
      </c>
      <c r="DH304" t="s">
        <v>3</v>
      </c>
      <c r="DI304" t="s">
        <v>3</v>
      </c>
      <c r="DJ304" t="s">
        <v>3</v>
      </c>
      <c r="DK304" t="s">
        <v>3</v>
      </c>
      <c r="DL304" t="s">
        <v>3</v>
      </c>
      <c r="DM304" t="s">
        <v>3</v>
      </c>
      <c r="DN304">
        <v>0</v>
      </c>
      <c r="DO304">
        <v>0</v>
      </c>
      <c r="DP304">
        <v>1</v>
      </c>
      <c r="DQ304">
        <v>1</v>
      </c>
      <c r="DU304">
        <v>1007</v>
      </c>
      <c r="DV304" t="s">
        <v>248</v>
      </c>
      <c r="DW304" t="s">
        <v>248</v>
      </c>
      <c r="DX304">
        <v>100</v>
      </c>
      <c r="EE304">
        <v>40050625</v>
      </c>
      <c r="EF304">
        <v>1</v>
      </c>
      <c r="EG304" t="s">
        <v>20</v>
      </c>
      <c r="EH304">
        <v>0</v>
      </c>
      <c r="EI304" t="s">
        <v>3</v>
      </c>
      <c r="EJ304">
        <v>4</v>
      </c>
      <c r="EK304">
        <v>0</v>
      </c>
      <c r="EL304" t="s">
        <v>21</v>
      </c>
      <c r="EM304" t="s">
        <v>22</v>
      </c>
      <c r="EO304" t="s">
        <v>3</v>
      </c>
      <c r="EQ304">
        <v>0</v>
      </c>
      <c r="ER304">
        <v>41951.1</v>
      </c>
      <c r="ES304">
        <v>0</v>
      </c>
      <c r="ET304">
        <v>0</v>
      </c>
      <c r="EU304">
        <v>0</v>
      </c>
      <c r="EV304">
        <v>41951.1</v>
      </c>
      <c r="EW304">
        <v>221.6</v>
      </c>
      <c r="EX304">
        <v>0</v>
      </c>
      <c r="EY304">
        <v>0</v>
      </c>
      <c r="FQ304">
        <v>0</v>
      </c>
      <c r="FR304">
        <f t="shared" ref="FR304:FR327" si="267">ROUND(IF(AND(BH304=3,BI304=3),P304,0),2)</f>
        <v>0</v>
      </c>
      <c r="FS304">
        <v>0</v>
      </c>
      <c r="FX304">
        <v>70</v>
      </c>
      <c r="FY304">
        <v>10</v>
      </c>
      <c r="GA304" t="s">
        <v>3</v>
      </c>
      <c r="GD304">
        <v>0</v>
      </c>
      <c r="GF304">
        <v>150928499</v>
      </c>
      <c r="GG304">
        <v>2</v>
      </c>
      <c r="GH304">
        <v>1</v>
      </c>
      <c r="GI304">
        <v>-2</v>
      </c>
      <c r="GJ304">
        <v>0</v>
      </c>
      <c r="GK304">
        <f>ROUND(R304*(R12)/100,2)</f>
        <v>0</v>
      </c>
      <c r="GL304">
        <f t="shared" ref="GL304:GL327" si="268">ROUND(IF(AND(BH304=3,BI304=3,FS304&lt;&gt;0),P304,0),2)</f>
        <v>0</v>
      </c>
      <c r="GM304">
        <f t="shared" ref="GM304:GM327" si="269">ROUND(O304+X304+Y304+GK304,2)+GX304</f>
        <v>60.41</v>
      </c>
      <c r="GN304">
        <f t="shared" ref="GN304:GN327" si="270">IF(OR(BI304=0,BI304=1),ROUND(O304+X304+Y304+GK304,2),0)</f>
        <v>0</v>
      </c>
      <c r="GO304">
        <f t="shared" ref="GO304:GO327" si="271">IF(BI304=2,ROUND(O304+X304+Y304+GK304,2),0)</f>
        <v>0</v>
      </c>
      <c r="GP304">
        <f t="shared" ref="GP304:GP327" si="272">IF(BI304=4,ROUND(O304+X304+Y304+GK304,2)+GX304,0)</f>
        <v>60.41</v>
      </c>
      <c r="GR304">
        <v>0</v>
      </c>
      <c r="GS304">
        <v>0</v>
      </c>
      <c r="GT304">
        <v>0</v>
      </c>
      <c r="GU304" t="s">
        <v>3</v>
      </c>
      <c r="GV304">
        <f t="shared" ref="GV304:GV327" si="273">ROUND((GT304),6)</f>
        <v>0</v>
      </c>
      <c r="GW304">
        <v>1</v>
      </c>
      <c r="GX304">
        <f t="shared" ref="GX304:GX327" si="274">ROUND(HC304*I304,2)</f>
        <v>0</v>
      </c>
      <c r="HA304">
        <v>0</v>
      </c>
      <c r="HB304">
        <v>0</v>
      </c>
      <c r="HC304">
        <f t="shared" ref="HC304:HC327" si="275">GV304*GW304</f>
        <v>0</v>
      </c>
      <c r="IK304">
        <v>0</v>
      </c>
    </row>
    <row r="305" spans="1:245">
      <c r="A305">
        <v>17</v>
      </c>
      <c r="B305">
        <v>1</v>
      </c>
      <c r="C305">
        <f>ROW(SmtRes!A126)</f>
        <v>126</v>
      </c>
      <c r="D305">
        <f>ROW(EtalonRes!A113)</f>
        <v>113</v>
      </c>
      <c r="E305" t="s">
        <v>250</v>
      </c>
      <c r="F305" t="s">
        <v>251</v>
      </c>
      <c r="G305" t="s">
        <v>252</v>
      </c>
      <c r="H305" t="s">
        <v>248</v>
      </c>
      <c r="I305">
        <f>ROUND(0.7/100,9)</f>
        <v>7.0000000000000001E-3</v>
      </c>
      <c r="J305">
        <v>0</v>
      </c>
      <c r="O305">
        <f t="shared" si="236"/>
        <v>63.46</v>
      </c>
      <c r="P305">
        <f t="shared" si="237"/>
        <v>0</v>
      </c>
      <c r="Q305">
        <f t="shared" si="238"/>
        <v>61.45</v>
      </c>
      <c r="R305">
        <f t="shared" si="239"/>
        <v>24.04</v>
      </c>
      <c r="S305">
        <f t="shared" si="240"/>
        <v>2.0099999999999998</v>
      </c>
      <c r="T305">
        <f t="shared" si="241"/>
        <v>0</v>
      </c>
      <c r="U305">
        <f t="shared" si="242"/>
        <v>1.1130000000000001E-2</v>
      </c>
      <c r="V305">
        <f t="shared" si="243"/>
        <v>0</v>
      </c>
      <c r="W305">
        <f t="shared" si="244"/>
        <v>0</v>
      </c>
      <c r="X305">
        <f t="shared" si="245"/>
        <v>1.41</v>
      </c>
      <c r="Y305">
        <f t="shared" si="246"/>
        <v>0.2</v>
      </c>
      <c r="AA305">
        <v>42225948</v>
      </c>
      <c r="AB305">
        <f t="shared" si="247"/>
        <v>9066.39</v>
      </c>
      <c r="AC305">
        <f t="shared" si="248"/>
        <v>0</v>
      </c>
      <c r="AD305">
        <f t="shared" si="249"/>
        <v>8779.01</v>
      </c>
      <c r="AE305">
        <f t="shared" si="250"/>
        <v>3433.88</v>
      </c>
      <c r="AF305">
        <f t="shared" si="251"/>
        <v>287.38</v>
      </c>
      <c r="AG305">
        <f t="shared" si="252"/>
        <v>0</v>
      </c>
      <c r="AH305">
        <f t="shared" si="253"/>
        <v>1.59</v>
      </c>
      <c r="AI305">
        <f t="shared" si="254"/>
        <v>0</v>
      </c>
      <c r="AJ305">
        <f t="shared" si="255"/>
        <v>0</v>
      </c>
      <c r="AK305">
        <v>9066.39</v>
      </c>
      <c r="AL305">
        <v>0</v>
      </c>
      <c r="AM305">
        <v>8779.01</v>
      </c>
      <c r="AN305">
        <v>3433.88</v>
      </c>
      <c r="AO305">
        <v>287.38</v>
      </c>
      <c r="AP305">
        <v>0</v>
      </c>
      <c r="AQ305">
        <v>1.59</v>
      </c>
      <c r="AR305">
        <v>0</v>
      </c>
      <c r="AS305">
        <v>0</v>
      </c>
      <c r="AT305">
        <v>70</v>
      </c>
      <c r="AU305">
        <v>10</v>
      </c>
      <c r="AV305">
        <v>1</v>
      </c>
      <c r="AW305">
        <v>1</v>
      </c>
      <c r="AZ305">
        <v>1</v>
      </c>
      <c r="BA305">
        <v>1</v>
      </c>
      <c r="BB305">
        <v>1</v>
      </c>
      <c r="BC305">
        <v>1</v>
      </c>
      <c r="BD305" t="s">
        <v>3</v>
      </c>
      <c r="BE305" t="s">
        <v>3</v>
      </c>
      <c r="BF305" t="s">
        <v>3</v>
      </c>
      <c r="BG305" t="s">
        <v>3</v>
      </c>
      <c r="BH305">
        <v>0</v>
      </c>
      <c r="BI305">
        <v>4</v>
      </c>
      <c r="BJ305" t="s">
        <v>253</v>
      </c>
      <c r="BM305">
        <v>0</v>
      </c>
      <c r="BN305">
        <v>0</v>
      </c>
      <c r="BO305" t="s">
        <v>3</v>
      </c>
      <c r="BP305">
        <v>0</v>
      </c>
      <c r="BQ305">
        <v>1</v>
      </c>
      <c r="BR305">
        <v>0</v>
      </c>
      <c r="BS305">
        <v>1</v>
      </c>
      <c r="BT305">
        <v>1</v>
      </c>
      <c r="BU305">
        <v>1</v>
      </c>
      <c r="BV305">
        <v>1</v>
      </c>
      <c r="BW305">
        <v>1</v>
      </c>
      <c r="BX305">
        <v>1</v>
      </c>
      <c r="BY305" t="s">
        <v>3</v>
      </c>
      <c r="BZ305">
        <v>70</v>
      </c>
      <c r="CA305">
        <v>10</v>
      </c>
      <c r="CE305">
        <v>0</v>
      </c>
      <c r="CF305">
        <v>0</v>
      </c>
      <c r="CG305">
        <v>0</v>
      </c>
      <c r="CM305">
        <v>0</v>
      </c>
      <c r="CN305" t="s">
        <v>3</v>
      </c>
      <c r="CO305">
        <v>0</v>
      </c>
      <c r="CP305">
        <f t="shared" si="256"/>
        <v>63.46</v>
      </c>
      <c r="CQ305">
        <f t="shared" si="257"/>
        <v>0</v>
      </c>
      <c r="CR305">
        <f t="shared" si="258"/>
        <v>8779.01</v>
      </c>
      <c r="CS305">
        <f t="shared" si="259"/>
        <v>3433.88</v>
      </c>
      <c r="CT305">
        <f t="shared" si="260"/>
        <v>287.38</v>
      </c>
      <c r="CU305">
        <f t="shared" si="261"/>
        <v>0</v>
      </c>
      <c r="CV305">
        <f t="shared" si="262"/>
        <v>1.59</v>
      </c>
      <c r="CW305">
        <f t="shared" si="263"/>
        <v>0</v>
      </c>
      <c r="CX305">
        <f t="shared" si="264"/>
        <v>0</v>
      </c>
      <c r="CY305">
        <f t="shared" si="265"/>
        <v>1.4069999999999998</v>
      </c>
      <c r="CZ305">
        <f t="shared" si="266"/>
        <v>0.20099999999999998</v>
      </c>
      <c r="DC305" t="s">
        <v>3</v>
      </c>
      <c r="DD305" t="s">
        <v>3</v>
      </c>
      <c r="DE305" t="s">
        <v>3</v>
      </c>
      <c r="DF305" t="s">
        <v>3</v>
      </c>
      <c r="DG305" t="s">
        <v>3</v>
      </c>
      <c r="DH305" t="s">
        <v>3</v>
      </c>
      <c r="DI305" t="s">
        <v>3</v>
      </c>
      <c r="DJ305" t="s">
        <v>3</v>
      </c>
      <c r="DK305" t="s">
        <v>3</v>
      </c>
      <c r="DL305" t="s">
        <v>3</v>
      </c>
      <c r="DM305" t="s">
        <v>3</v>
      </c>
      <c r="DN305">
        <v>0</v>
      </c>
      <c r="DO305">
        <v>0</v>
      </c>
      <c r="DP305">
        <v>1</v>
      </c>
      <c r="DQ305">
        <v>1</v>
      </c>
      <c r="DU305">
        <v>1007</v>
      </c>
      <c r="DV305" t="s">
        <v>248</v>
      </c>
      <c r="DW305" t="s">
        <v>248</v>
      </c>
      <c r="DX305">
        <v>100</v>
      </c>
      <c r="EE305">
        <v>40050625</v>
      </c>
      <c r="EF305">
        <v>1</v>
      </c>
      <c r="EG305" t="s">
        <v>20</v>
      </c>
      <c r="EH305">
        <v>0</v>
      </c>
      <c r="EI305" t="s">
        <v>3</v>
      </c>
      <c r="EJ305">
        <v>4</v>
      </c>
      <c r="EK305">
        <v>0</v>
      </c>
      <c r="EL305" t="s">
        <v>21</v>
      </c>
      <c r="EM305" t="s">
        <v>22</v>
      </c>
      <c r="EO305" t="s">
        <v>3</v>
      </c>
      <c r="EQ305">
        <v>0</v>
      </c>
      <c r="ER305">
        <v>9066.39</v>
      </c>
      <c r="ES305">
        <v>0</v>
      </c>
      <c r="ET305">
        <v>8779.01</v>
      </c>
      <c r="EU305">
        <v>3433.88</v>
      </c>
      <c r="EV305">
        <v>287.38</v>
      </c>
      <c r="EW305">
        <v>1.59</v>
      </c>
      <c r="EX305">
        <v>0</v>
      </c>
      <c r="EY305">
        <v>0</v>
      </c>
      <c r="FQ305">
        <v>0</v>
      </c>
      <c r="FR305">
        <f t="shared" si="267"/>
        <v>0</v>
      </c>
      <c r="FS305">
        <v>0</v>
      </c>
      <c r="FX305">
        <v>70</v>
      </c>
      <c r="FY305">
        <v>10</v>
      </c>
      <c r="GA305" t="s">
        <v>3</v>
      </c>
      <c r="GD305">
        <v>0</v>
      </c>
      <c r="GF305">
        <v>-1021457795</v>
      </c>
      <c r="GG305">
        <v>2</v>
      </c>
      <c r="GH305">
        <v>1</v>
      </c>
      <c r="GI305">
        <v>-2</v>
      </c>
      <c r="GJ305">
        <v>0</v>
      </c>
      <c r="GK305">
        <f>ROUND(R305*(R12)/100,2)</f>
        <v>25.96</v>
      </c>
      <c r="GL305">
        <f t="shared" si="268"/>
        <v>0</v>
      </c>
      <c r="GM305">
        <f t="shared" si="269"/>
        <v>91.03</v>
      </c>
      <c r="GN305">
        <f t="shared" si="270"/>
        <v>0</v>
      </c>
      <c r="GO305">
        <f t="shared" si="271"/>
        <v>0</v>
      </c>
      <c r="GP305">
        <f t="shared" si="272"/>
        <v>91.03</v>
      </c>
      <c r="GR305">
        <v>0</v>
      </c>
      <c r="GS305">
        <v>0</v>
      </c>
      <c r="GT305">
        <v>0</v>
      </c>
      <c r="GU305" t="s">
        <v>3</v>
      </c>
      <c r="GV305">
        <f t="shared" si="273"/>
        <v>0</v>
      </c>
      <c r="GW305">
        <v>1</v>
      </c>
      <c r="GX305">
        <f t="shared" si="274"/>
        <v>0</v>
      </c>
      <c r="HA305">
        <v>0</v>
      </c>
      <c r="HB305">
        <v>0</v>
      </c>
      <c r="HC305">
        <f t="shared" si="275"/>
        <v>0</v>
      </c>
      <c r="IK305">
        <v>0</v>
      </c>
    </row>
    <row r="306" spans="1:245">
      <c r="A306">
        <v>17</v>
      </c>
      <c r="B306">
        <v>1</v>
      </c>
      <c r="C306">
        <f>ROW(SmtRes!A127)</f>
        <v>127</v>
      </c>
      <c r="D306">
        <f>ROW(EtalonRes!A114)</f>
        <v>114</v>
      </c>
      <c r="E306" t="s">
        <v>254</v>
      </c>
      <c r="F306" t="s">
        <v>131</v>
      </c>
      <c r="G306" t="s">
        <v>255</v>
      </c>
      <c r="H306" t="s">
        <v>18</v>
      </c>
      <c r="I306">
        <f>ROUND(2.6/100,9)</f>
        <v>2.5999999999999999E-2</v>
      </c>
      <c r="J306">
        <v>0</v>
      </c>
      <c r="O306">
        <f t="shared" si="236"/>
        <v>7.71</v>
      </c>
      <c r="P306">
        <f t="shared" si="237"/>
        <v>0</v>
      </c>
      <c r="Q306">
        <f t="shared" si="238"/>
        <v>7.71</v>
      </c>
      <c r="R306">
        <f t="shared" si="239"/>
        <v>2.9</v>
      </c>
      <c r="S306">
        <f t="shared" si="240"/>
        <v>0</v>
      </c>
      <c r="T306">
        <f t="shared" si="241"/>
        <v>0</v>
      </c>
      <c r="U306">
        <f t="shared" si="242"/>
        <v>0</v>
      </c>
      <c r="V306">
        <f t="shared" si="243"/>
        <v>0</v>
      </c>
      <c r="W306">
        <f t="shared" si="244"/>
        <v>0</v>
      </c>
      <c r="X306">
        <f t="shared" si="245"/>
        <v>0</v>
      </c>
      <c r="Y306">
        <f t="shared" si="246"/>
        <v>0</v>
      </c>
      <c r="AA306">
        <v>42225948</v>
      </c>
      <c r="AB306">
        <f t="shared" si="247"/>
        <v>296.60000000000002</v>
      </c>
      <c r="AC306">
        <f t="shared" si="248"/>
        <v>0</v>
      </c>
      <c r="AD306">
        <f t="shared" si="249"/>
        <v>296.60000000000002</v>
      </c>
      <c r="AE306">
        <f t="shared" si="250"/>
        <v>111.43</v>
      </c>
      <c r="AF306">
        <f t="shared" si="251"/>
        <v>0</v>
      </c>
      <c r="AG306">
        <f t="shared" si="252"/>
        <v>0</v>
      </c>
      <c r="AH306">
        <f t="shared" si="253"/>
        <v>0</v>
      </c>
      <c r="AI306">
        <f t="shared" si="254"/>
        <v>0</v>
      </c>
      <c r="AJ306">
        <f t="shared" si="255"/>
        <v>0</v>
      </c>
      <c r="AK306">
        <v>296.60000000000002</v>
      </c>
      <c r="AL306">
        <v>0</v>
      </c>
      <c r="AM306">
        <v>296.60000000000002</v>
      </c>
      <c r="AN306">
        <v>111.43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70</v>
      </c>
      <c r="AU306">
        <v>10</v>
      </c>
      <c r="AV306">
        <v>1</v>
      </c>
      <c r="AW306">
        <v>1</v>
      </c>
      <c r="AZ306">
        <v>1</v>
      </c>
      <c r="BA306">
        <v>1</v>
      </c>
      <c r="BB306">
        <v>1</v>
      </c>
      <c r="BC306">
        <v>1</v>
      </c>
      <c r="BD306" t="s">
        <v>3</v>
      </c>
      <c r="BE306" t="s">
        <v>3</v>
      </c>
      <c r="BF306" t="s">
        <v>3</v>
      </c>
      <c r="BG306" t="s">
        <v>3</v>
      </c>
      <c r="BH306">
        <v>0</v>
      </c>
      <c r="BI306">
        <v>4</v>
      </c>
      <c r="BJ306" t="s">
        <v>132</v>
      </c>
      <c r="BM306">
        <v>0</v>
      </c>
      <c r="BN306">
        <v>0</v>
      </c>
      <c r="BO306" t="s">
        <v>3</v>
      </c>
      <c r="BP306">
        <v>0</v>
      </c>
      <c r="BQ306">
        <v>1</v>
      </c>
      <c r="BR306">
        <v>0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 t="s">
        <v>3</v>
      </c>
      <c r="BZ306">
        <v>70</v>
      </c>
      <c r="CA306">
        <v>10</v>
      </c>
      <c r="CE306">
        <v>0</v>
      </c>
      <c r="CF306">
        <v>0</v>
      </c>
      <c r="CG306">
        <v>0</v>
      </c>
      <c r="CM306">
        <v>0</v>
      </c>
      <c r="CN306" t="s">
        <v>3</v>
      </c>
      <c r="CO306">
        <v>0</v>
      </c>
      <c r="CP306">
        <f t="shared" si="256"/>
        <v>7.71</v>
      </c>
      <c r="CQ306">
        <f t="shared" si="257"/>
        <v>0</v>
      </c>
      <c r="CR306">
        <f t="shared" si="258"/>
        <v>296.60000000000002</v>
      </c>
      <c r="CS306">
        <f t="shared" si="259"/>
        <v>111.43</v>
      </c>
      <c r="CT306">
        <f t="shared" si="260"/>
        <v>0</v>
      </c>
      <c r="CU306">
        <f t="shared" si="261"/>
        <v>0</v>
      </c>
      <c r="CV306">
        <f t="shared" si="262"/>
        <v>0</v>
      </c>
      <c r="CW306">
        <f t="shared" si="263"/>
        <v>0</v>
      </c>
      <c r="CX306">
        <f t="shared" si="264"/>
        <v>0</v>
      </c>
      <c r="CY306">
        <f t="shared" si="265"/>
        <v>0</v>
      </c>
      <c r="CZ306">
        <f t="shared" si="266"/>
        <v>0</v>
      </c>
      <c r="DC306" t="s">
        <v>3</v>
      </c>
      <c r="DD306" t="s">
        <v>3</v>
      </c>
      <c r="DE306" t="s">
        <v>3</v>
      </c>
      <c r="DF306" t="s">
        <v>3</v>
      </c>
      <c r="DG306" t="s">
        <v>3</v>
      </c>
      <c r="DH306" t="s">
        <v>3</v>
      </c>
      <c r="DI306" t="s">
        <v>3</v>
      </c>
      <c r="DJ306" t="s">
        <v>3</v>
      </c>
      <c r="DK306" t="s">
        <v>3</v>
      </c>
      <c r="DL306" t="s">
        <v>3</v>
      </c>
      <c r="DM306" t="s">
        <v>3</v>
      </c>
      <c r="DN306">
        <v>0</v>
      </c>
      <c r="DO306">
        <v>0</v>
      </c>
      <c r="DP306">
        <v>1</v>
      </c>
      <c r="DQ306">
        <v>1</v>
      </c>
      <c r="DU306">
        <v>1005</v>
      </c>
      <c r="DV306" t="s">
        <v>18</v>
      </c>
      <c r="DW306" t="s">
        <v>18</v>
      </c>
      <c r="DX306">
        <v>100</v>
      </c>
      <c r="EE306">
        <v>40050625</v>
      </c>
      <c r="EF306">
        <v>1</v>
      </c>
      <c r="EG306" t="s">
        <v>20</v>
      </c>
      <c r="EH306">
        <v>0</v>
      </c>
      <c r="EI306" t="s">
        <v>3</v>
      </c>
      <c r="EJ306">
        <v>4</v>
      </c>
      <c r="EK306">
        <v>0</v>
      </c>
      <c r="EL306" t="s">
        <v>21</v>
      </c>
      <c r="EM306" t="s">
        <v>22</v>
      </c>
      <c r="EO306" t="s">
        <v>3</v>
      </c>
      <c r="EQ306">
        <v>0</v>
      </c>
      <c r="ER306">
        <v>296.60000000000002</v>
      </c>
      <c r="ES306">
        <v>0</v>
      </c>
      <c r="ET306">
        <v>296.60000000000002</v>
      </c>
      <c r="EU306">
        <v>111.43</v>
      </c>
      <c r="EV306">
        <v>0</v>
      </c>
      <c r="EW306">
        <v>0</v>
      </c>
      <c r="EX306">
        <v>0</v>
      </c>
      <c r="EY306">
        <v>0</v>
      </c>
      <c r="FQ306">
        <v>0</v>
      </c>
      <c r="FR306">
        <f t="shared" si="267"/>
        <v>0</v>
      </c>
      <c r="FS306">
        <v>0</v>
      </c>
      <c r="FX306">
        <v>70</v>
      </c>
      <c r="FY306">
        <v>10</v>
      </c>
      <c r="GA306" t="s">
        <v>3</v>
      </c>
      <c r="GD306">
        <v>0</v>
      </c>
      <c r="GF306">
        <v>1993731950</v>
      </c>
      <c r="GG306">
        <v>2</v>
      </c>
      <c r="GH306">
        <v>1</v>
      </c>
      <c r="GI306">
        <v>-2</v>
      </c>
      <c r="GJ306">
        <v>0</v>
      </c>
      <c r="GK306">
        <f>ROUND(R306*(R12)/100,2)</f>
        <v>3.13</v>
      </c>
      <c r="GL306">
        <f t="shared" si="268"/>
        <v>0</v>
      </c>
      <c r="GM306">
        <f t="shared" si="269"/>
        <v>10.84</v>
      </c>
      <c r="GN306">
        <f t="shared" si="270"/>
        <v>0</v>
      </c>
      <c r="GO306">
        <f t="shared" si="271"/>
        <v>0</v>
      </c>
      <c r="GP306">
        <f t="shared" si="272"/>
        <v>10.84</v>
      </c>
      <c r="GR306">
        <v>0</v>
      </c>
      <c r="GS306">
        <v>0</v>
      </c>
      <c r="GT306">
        <v>0</v>
      </c>
      <c r="GU306" t="s">
        <v>3</v>
      </c>
      <c r="GV306">
        <f t="shared" si="273"/>
        <v>0</v>
      </c>
      <c r="GW306">
        <v>1</v>
      </c>
      <c r="GX306">
        <f t="shared" si="274"/>
        <v>0</v>
      </c>
      <c r="HA306">
        <v>0</v>
      </c>
      <c r="HB306">
        <v>0</v>
      </c>
      <c r="HC306">
        <f t="shared" si="275"/>
        <v>0</v>
      </c>
      <c r="IK306">
        <v>0</v>
      </c>
    </row>
    <row r="307" spans="1:245">
      <c r="A307">
        <v>17</v>
      </c>
      <c r="B307">
        <v>1</v>
      </c>
      <c r="C307">
        <f>ROW(SmtRes!A128)</f>
        <v>128</v>
      </c>
      <c r="D307">
        <f>ROW(EtalonRes!A115)</f>
        <v>115</v>
      </c>
      <c r="E307" t="s">
        <v>256</v>
      </c>
      <c r="F307" t="s">
        <v>134</v>
      </c>
      <c r="G307" t="s">
        <v>257</v>
      </c>
      <c r="H307" t="s">
        <v>18</v>
      </c>
      <c r="I307">
        <f>ROUND(0.9/100,9)</f>
        <v>8.9999999999999993E-3</v>
      </c>
      <c r="J307">
        <v>0</v>
      </c>
      <c r="O307">
        <f t="shared" si="236"/>
        <v>19.079999999999998</v>
      </c>
      <c r="P307">
        <f t="shared" si="237"/>
        <v>0</v>
      </c>
      <c r="Q307">
        <f t="shared" si="238"/>
        <v>0</v>
      </c>
      <c r="R307">
        <f t="shared" si="239"/>
        <v>0</v>
      </c>
      <c r="S307">
        <f t="shared" si="240"/>
        <v>19.079999999999998</v>
      </c>
      <c r="T307">
        <f t="shared" si="241"/>
        <v>0</v>
      </c>
      <c r="U307">
        <f t="shared" si="242"/>
        <v>0.10557</v>
      </c>
      <c r="V307">
        <f t="shared" si="243"/>
        <v>0</v>
      </c>
      <c r="W307">
        <f t="shared" si="244"/>
        <v>0</v>
      </c>
      <c r="X307">
        <f t="shared" si="245"/>
        <v>13.36</v>
      </c>
      <c r="Y307">
        <f t="shared" si="246"/>
        <v>1.91</v>
      </c>
      <c r="AA307">
        <v>42225948</v>
      </c>
      <c r="AB307">
        <f t="shared" si="247"/>
        <v>2120.08</v>
      </c>
      <c r="AC307">
        <f t="shared" si="248"/>
        <v>0</v>
      </c>
      <c r="AD307">
        <f t="shared" si="249"/>
        <v>0</v>
      </c>
      <c r="AE307">
        <f t="shared" si="250"/>
        <v>0</v>
      </c>
      <c r="AF307">
        <f t="shared" si="251"/>
        <v>2120.08</v>
      </c>
      <c r="AG307">
        <f t="shared" si="252"/>
        <v>0</v>
      </c>
      <c r="AH307">
        <f t="shared" si="253"/>
        <v>11.73</v>
      </c>
      <c r="AI307">
        <f t="shared" si="254"/>
        <v>0</v>
      </c>
      <c r="AJ307">
        <f t="shared" si="255"/>
        <v>0</v>
      </c>
      <c r="AK307">
        <v>2120.08</v>
      </c>
      <c r="AL307">
        <v>0</v>
      </c>
      <c r="AM307">
        <v>0</v>
      </c>
      <c r="AN307">
        <v>0</v>
      </c>
      <c r="AO307">
        <v>2120.08</v>
      </c>
      <c r="AP307">
        <v>0</v>
      </c>
      <c r="AQ307">
        <v>11.73</v>
      </c>
      <c r="AR307">
        <v>0</v>
      </c>
      <c r="AS307">
        <v>0</v>
      </c>
      <c r="AT307">
        <v>70</v>
      </c>
      <c r="AU307">
        <v>10</v>
      </c>
      <c r="AV307">
        <v>1</v>
      </c>
      <c r="AW307">
        <v>1</v>
      </c>
      <c r="AZ307">
        <v>1</v>
      </c>
      <c r="BA307">
        <v>1</v>
      </c>
      <c r="BB307">
        <v>1</v>
      </c>
      <c r="BC307">
        <v>1</v>
      </c>
      <c r="BD307" t="s">
        <v>3</v>
      </c>
      <c r="BE307" t="s">
        <v>3</v>
      </c>
      <c r="BF307" t="s">
        <v>3</v>
      </c>
      <c r="BG307" t="s">
        <v>3</v>
      </c>
      <c r="BH307">
        <v>0</v>
      </c>
      <c r="BI307">
        <v>4</v>
      </c>
      <c r="BJ307" t="s">
        <v>136</v>
      </c>
      <c r="BM307">
        <v>0</v>
      </c>
      <c r="BN307">
        <v>0</v>
      </c>
      <c r="BO307" t="s">
        <v>3</v>
      </c>
      <c r="BP307">
        <v>0</v>
      </c>
      <c r="BQ307">
        <v>1</v>
      </c>
      <c r="BR307">
        <v>0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 t="s">
        <v>3</v>
      </c>
      <c r="BZ307">
        <v>70</v>
      </c>
      <c r="CA307">
        <v>10</v>
      </c>
      <c r="CE307">
        <v>0</v>
      </c>
      <c r="CF307">
        <v>0</v>
      </c>
      <c r="CG307">
        <v>0</v>
      </c>
      <c r="CM307">
        <v>0</v>
      </c>
      <c r="CN307" t="s">
        <v>3</v>
      </c>
      <c r="CO307">
        <v>0</v>
      </c>
      <c r="CP307">
        <f t="shared" si="256"/>
        <v>19.079999999999998</v>
      </c>
      <c r="CQ307">
        <f t="shared" si="257"/>
        <v>0</v>
      </c>
      <c r="CR307">
        <f t="shared" si="258"/>
        <v>0</v>
      </c>
      <c r="CS307">
        <f t="shared" si="259"/>
        <v>0</v>
      </c>
      <c r="CT307">
        <f t="shared" si="260"/>
        <v>2120.08</v>
      </c>
      <c r="CU307">
        <f t="shared" si="261"/>
        <v>0</v>
      </c>
      <c r="CV307">
        <f t="shared" si="262"/>
        <v>11.73</v>
      </c>
      <c r="CW307">
        <f t="shared" si="263"/>
        <v>0</v>
      </c>
      <c r="CX307">
        <f t="shared" si="264"/>
        <v>0</v>
      </c>
      <c r="CY307">
        <f t="shared" si="265"/>
        <v>13.356</v>
      </c>
      <c r="CZ307">
        <f t="shared" si="266"/>
        <v>1.9079999999999999</v>
      </c>
      <c r="DC307" t="s">
        <v>3</v>
      </c>
      <c r="DD307" t="s">
        <v>3</v>
      </c>
      <c r="DE307" t="s">
        <v>3</v>
      </c>
      <c r="DF307" t="s">
        <v>3</v>
      </c>
      <c r="DG307" t="s">
        <v>3</v>
      </c>
      <c r="DH307" t="s">
        <v>3</v>
      </c>
      <c r="DI307" t="s">
        <v>3</v>
      </c>
      <c r="DJ307" t="s">
        <v>3</v>
      </c>
      <c r="DK307" t="s">
        <v>3</v>
      </c>
      <c r="DL307" t="s">
        <v>3</v>
      </c>
      <c r="DM307" t="s">
        <v>3</v>
      </c>
      <c r="DN307">
        <v>0</v>
      </c>
      <c r="DO307">
        <v>0</v>
      </c>
      <c r="DP307">
        <v>1</v>
      </c>
      <c r="DQ307">
        <v>1</v>
      </c>
      <c r="DU307">
        <v>1005</v>
      </c>
      <c r="DV307" t="s">
        <v>18</v>
      </c>
      <c r="DW307" t="s">
        <v>18</v>
      </c>
      <c r="DX307">
        <v>100</v>
      </c>
      <c r="EE307">
        <v>40050625</v>
      </c>
      <c r="EF307">
        <v>1</v>
      </c>
      <c r="EG307" t="s">
        <v>20</v>
      </c>
      <c r="EH307">
        <v>0</v>
      </c>
      <c r="EI307" t="s">
        <v>3</v>
      </c>
      <c r="EJ307">
        <v>4</v>
      </c>
      <c r="EK307">
        <v>0</v>
      </c>
      <c r="EL307" t="s">
        <v>21</v>
      </c>
      <c r="EM307" t="s">
        <v>22</v>
      </c>
      <c r="EO307" t="s">
        <v>3</v>
      </c>
      <c r="EQ307">
        <v>0</v>
      </c>
      <c r="ER307">
        <v>2120.08</v>
      </c>
      <c r="ES307">
        <v>0</v>
      </c>
      <c r="ET307">
        <v>0</v>
      </c>
      <c r="EU307">
        <v>0</v>
      </c>
      <c r="EV307">
        <v>2120.08</v>
      </c>
      <c r="EW307">
        <v>11.73</v>
      </c>
      <c r="EX307">
        <v>0</v>
      </c>
      <c r="EY307">
        <v>0</v>
      </c>
      <c r="FQ307">
        <v>0</v>
      </c>
      <c r="FR307">
        <f t="shared" si="267"/>
        <v>0</v>
      </c>
      <c r="FS307">
        <v>0</v>
      </c>
      <c r="FX307">
        <v>70</v>
      </c>
      <c r="FY307">
        <v>10</v>
      </c>
      <c r="GA307" t="s">
        <v>3</v>
      </c>
      <c r="GD307">
        <v>0</v>
      </c>
      <c r="GF307">
        <v>1296499577</v>
      </c>
      <c r="GG307">
        <v>2</v>
      </c>
      <c r="GH307">
        <v>1</v>
      </c>
      <c r="GI307">
        <v>-2</v>
      </c>
      <c r="GJ307">
        <v>0</v>
      </c>
      <c r="GK307">
        <f>ROUND(R307*(R12)/100,2)</f>
        <v>0</v>
      </c>
      <c r="GL307">
        <f t="shared" si="268"/>
        <v>0</v>
      </c>
      <c r="GM307">
        <f t="shared" si="269"/>
        <v>34.35</v>
      </c>
      <c r="GN307">
        <f t="shared" si="270"/>
        <v>0</v>
      </c>
      <c r="GO307">
        <f t="shared" si="271"/>
        <v>0</v>
      </c>
      <c r="GP307">
        <f t="shared" si="272"/>
        <v>34.35</v>
      </c>
      <c r="GR307">
        <v>0</v>
      </c>
      <c r="GS307">
        <v>0</v>
      </c>
      <c r="GT307">
        <v>0</v>
      </c>
      <c r="GU307" t="s">
        <v>3</v>
      </c>
      <c r="GV307">
        <f t="shared" si="273"/>
        <v>0</v>
      </c>
      <c r="GW307">
        <v>1</v>
      </c>
      <c r="GX307">
        <f t="shared" si="274"/>
        <v>0</v>
      </c>
      <c r="HA307">
        <v>0</v>
      </c>
      <c r="HB307">
        <v>0</v>
      </c>
      <c r="HC307">
        <f t="shared" si="275"/>
        <v>0</v>
      </c>
      <c r="IK307">
        <v>0</v>
      </c>
    </row>
    <row r="308" spans="1:245">
      <c r="A308">
        <v>17</v>
      </c>
      <c r="B308">
        <v>1</v>
      </c>
      <c r="C308">
        <f>ROW(SmtRes!A136)</f>
        <v>136</v>
      </c>
      <c r="D308">
        <f>ROW(EtalonRes!A123)</f>
        <v>123</v>
      </c>
      <c r="E308" t="s">
        <v>258</v>
      </c>
      <c r="F308" t="s">
        <v>259</v>
      </c>
      <c r="G308" t="s">
        <v>260</v>
      </c>
      <c r="H308" t="s">
        <v>248</v>
      </c>
      <c r="I308">
        <f>ROUND((2.6*0.1)/100,9)</f>
        <v>2.5999999999999999E-3</v>
      </c>
      <c r="J308">
        <v>0</v>
      </c>
      <c r="O308">
        <f t="shared" si="236"/>
        <v>197.25</v>
      </c>
      <c r="P308">
        <f t="shared" si="237"/>
        <v>169.42</v>
      </c>
      <c r="Q308">
        <f t="shared" si="238"/>
        <v>19.77</v>
      </c>
      <c r="R308">
        <f t="shared" si="239"/>
        <v>8.3800000000000008</v>
      </c>
      <c r="S308">
        <f t="shared" si="240"/>
        <v>8.06</v>
      </c>
      <c r="T308">
        <f t="shared" si="241"/>
        <v>0</v>
      </c>
      <c r="U308">
        <f t="shared" si="242"/>
        <v>4.3055999999999997E-2</v>
      </c>
      <c r="V308">
        <f t="shared" si="243"/>
        <v>0</v>
      </c>
      <c r="W308">
        <f t="shared" si="244"/>
        <v>0</v>
      </c>
      <c r="X308">
        <f t="shared" si="245"/>
        <v>5.64</v>
      </c>
      <c r="Y308">
        <f t="shared" si="246"/>
        <v>0.81</v>
      </c>
      <c r="AA308">
        <v>42225948</v>
      </c>
      <c r="AB308">
        <f t="shared" si="247"/>
        <v>75863.820000000007</v>
      </c>
      <c r="AC308">
        <f t="shared" si="248"/>
        <v>65162.05</v>
      </c>
      <c r="AD308">
        <f t="shared" si="249"/>
        <v>7602.23</v>
      </c>
      <c r="AE308">
        <f t="shared" si="250"/>
        <v>3222.98</v>
      </c>
      <c r="AF308">
        <f t="shared" si="251"/>
        <v>3099.54</v>
      </c>
      <c r="AG308">
        <f t="shared" si="252"/>
        <v>0</v>
      </c>
      <c r="AH308">
        <f t="shared" si="253"/>
        <v>16.559999999999999</v>
      </c>
      <c r="AI308">
        <f t="shared" si="254"/>
        <v>0</v>
      </c>
      <c r="AJ308">
        <f t="shared" si="255"/>
        <v>0</v>
      </c>
      <c r="AK308">
        <v>75863.820000000007</v>
      </c>
      <c r="AL308">
        <v>65162.05</v>
      </c>
      <c r="AM308">
        <v>7602.23</v>
      </c>
      <c r="AN308">
        <v>3222.98</v>
      </c>
      <c r="AO308">
        <v>3099.54</v>
      </c>
      <c r="AP308">
        <v>0</v>
      </c>
      <c r="AQ308">
        <v>16.559999999999999</v>
      </c>
      <c r="AR308">
        <v>0</v>
      </c>
      <c r="AS308">
        <v>0</v>
      </c>
      <c r="AT308">
        <v>70</v>
      </c>
      <c r="AU308">
        <v>10</v>
      </c>
      <c r="AV308">
        <v>1</v>
      </c>
      <c r="AW308">
        <v>1</v>
      </c>
      <c r="AZ308">
        <v>1</v>
      </c>
      <c r="BA308">
        <v>1</v>
      </c>
      <c r="BB308">
        <v>1</v>
      </c>
      <c r="BC308">
        <v>1</v>
      </c>
      <c r="BD308" t="s">
        <v>3</v>
      </c>
      <c r="BE308" t="s">
        <v>3</v>
      </c>
      <c r="BF308" t="s">
        <v>3</v>
      </c>
      <c r="BG308" t="s">
        <v>3</v>
      </c>
      <c r="BH308">
        <v>0</v>
      </c>
      <c r="BI308">
        <v>4</v>
      </c>
      <c r="BJ308" t="s">
        <v>261</v>
      </c>
      <c r="BM308">
        <v>0</v>
      </c>
      <c r="BN308">
        <v>0</v>
      </c>
      <c r="BO308" t="s">
        <v>3</v>
      </c>
      <c r="BP308">
        <v>0</v>
      </c>
      <c r="BQ308">
        <v>1</v>
      </c>
      <c r="BR308">
        <v>0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 t="s">
        <v>3</v>
      </c>
      <c r="BZ308">
        <v>70</v>
      </c>
      <c r="CA308">
        <v>10</v>
      </c>
      <c r="CE308">
        <v>0</v>
      </c>
      <c r="CF308">
        <v>0</v>
      </c>
      <c r="CG308">
        <v>0</v>
      </c>
      <c r="CM308">
        <v>0</v>
      </c>
      <c r="CN308" t="s">
        <v>3</v>
      </c>
      <c r="CO308">
        <v>0</v>
      </c>
      <c r="CP308">
        <f t="shared" si="256"/>
        <v>197.25</v>
      </c>
      <c r="CQ308">
        <f t="shared" si="257"/>
        <v>65162.05</v>
      </c>
      <c r="CR308">
        <f t="shared" si="258"/>
        <v>7602.23</v>
      </c>
      <c r="CS308">
        <f t="shared" si="259"/>
        <v>3222.98</v>
      </c>
      <c r="CT308">
        <f t="shared" si="260"/>
        <v>3099.54</v>
      </c>
      <c r="CU308">
        <f t="shared" si="261"/>
        <v>0</v>
      </c>
      <c r="CV308">
        <f t="shared" si="262"/>
        <v>16.559999999999999</v>
      </c>
      <c r="CW308">
        <f t="shared" si="263"/>
        <v>0</v>
      </c>
      <c r="CX308">
        <f t="shared" si="264"/>
        <v>0</v>
      </c>
      <c r="CY308">
        <f t="shared" si="265"/>
        <v>5.6420000000000003</v>
      </c>
      <c r="CZ308">
        <f t="shared" si="266"/>
        <v>0.80600000000000005</v>
      </c>
      <c r="DC308" t="s">
        <v>3</v>
      </c>
      <c r="DD308" t="s">
        <v>3</v>
      </c>
      <c r="DE308" t="s">
        <v>3</v>
      </c>
      <c r="DF308" t="s">
        <v>3</v>
      </c>
      <c r="DG308" t="s">
        <v>3</v>
      </c>
      <c r="DH308" t="s">
        <v>3</v>
      </c>
      <c r="DI308" t="s">
        <v>3</v>
      </c>
      <c r="DJ308" t="s">
        <v>3</v>
      </c>
      <c r="DK308" t="s">
        <v>3</v>
      </c>
      <c r="DL308" t="s">
        <v>3</v>
      </c>
      <c r="DM308" t="s">
        <v>3</v>
      </c>
      <c r="DN308">
        <v>0</v>
      </c>
      <c r="DO308">
        <v>0</v>
      </c>
      <c r="DP308">
        <v>1</v>
      </c>
      <c r="DQ308">
        <v>1</v>
      </c>
      <c r="DU308">
        <v>1007</v>
      </c>
      <c r="DV308" t="s">
        <v>248</v>
      </c>
      <c r="DW308" t="s">
        <v>248</v>
      </c>
      <c r="DX308">
        <v>100</v>
      </c>
      <c r="EE308">
        <v>40050625</v>
      </c>
      <c r="EF308">
        <v>1</v>
      </c>
      <c r="EG308" t="s">
        <v>20</v>
      </c>
      <c r="EH308">
        <v>0</v>
      </c>
      <c r="EI308" t="s">
        <v>3</v>
      </c>
      <c r="EJ308">
        <v>4</v>
      </c>
      <c r="EK308">
        <v>0</v>
      </c>
      <c r="EL308" t="s">
        <v>21</v>
      </c>
      <c r="EM308" t="s">
        <v>22</v>
      </c>
      <c r="EO308" t="s">
        <v>3</v>
      </c>
      <c r="EQ308">
        <v>0</v>
      </c>
      <c r="ER308">
        <v>75863.820000000007</v>
      </c>
      <c r="ES308">
        <v>65162.05</v>
      </c>
      <c r="ET308">
        <v>7602.23</v>
      </c>
      <c r="EU308">
        <v>3222.98</v>
      </c>
      <c r="EV308">
        <v>3099.54</v>
      </c>
      <c r="EW308">
        <v>16.559999999999999</v>
      </c>
      <c r="EX308">
        <v>0</v>
      </c>
      <c r="EY308">
        <v>0</v>
      </c>
      <c r="FQ308">
        <v>0</v>
      </c>
      <c r="FR308">
        <f t="shared" si="267"/>
        <v>0</v>
      </c>
      <c r="FS308">
        <v>0</v>
      </c>
      <c r="FX308">
        <v>70</v>
      </c>
      <c r="FY308">
        <v>10</v>
      </c>
      <c r="GA308" t="s">
        <v>3</v>
      </c>
      <c r="GD308">
        <v>0</v>
      </c>
      <c r="GF308">
        <v>2135562757</v>
      </c>
      <c r="GG308">
        <v>2</v>
      </c>
      <c r="GH308">
        <v>1</v>
      </c>
      <c r="GI308">
        <v>-2</v>
      </c>
      <c r="GJ308">
        <v>0</v>
      </c>
      <c r="GK308">
        <f>ROUND(R308*(R12)/100,2)</f>
        <v>9.0500000000000007</v>
      </c>
      <c r="GL308">
        <f t="shared" si="268"/>
        <v>0</v>
      </c>
      <c r="GM308">
        <f t="shared" si="269"/>
        <v>212.75</v>
      </c>
      <c r="GN308">
        <f t="shared" si="270"/>
        <v>0</v>
      </c>
      <c r="GO308">
        <f t="shared" si="271"/>
        <v>0</v>
      </c>
      <c r="GP308">
        <f t="shared" si="272"/>
        <v>212.75</v>
      </c>
      <c r="GR308">
        <v>0</v>
      </c>
      <c r="GS308">
        <v>0</v>
      </c>
      <c r="GT308">
        <v>0</v>
      </c>
      <c r="GU308" t="s">
        <v>3</v>
      </c>
      <c r="GV308">
        <f t="shared" si="273"/>
        <v>0</v>
      </c>
      <c r="GW308">
        <v>1</v>
      </c>
      <c r="GX308">
        <f t="shared" si="274"/>
        <v>0</v>
      </c>
      <c r="HA308">
        <v>0</v>
      </c>
      <c r="HB308">
        <v>0</v>
      </c>
      <c r="HC308">
        <f t="shared" si="275"/>
        <v>0</v>
      </c>
      <c r="IK308">
        <v>0</v>
      </c>
    </row>
    <row r="309" spans="1:245">
      <c r="A309">
        <v>17</v>
      </c>
      <c r="B309">
        <v>1</v>
      </c>
      <c r="C309">
        <f>ROW(SmtRes!A145)</f>
        <v>145</v>
      </c>
      <c r="D309">
        <f>ROW(EtalonRes!A132)</f>
        <v>132</v>
      </c>
      <c r="E309" t="s">
        <v>262</v>
      </c>
      <c r="F309" t="s">
        <v>263</v>
      </c>
      <c r="G309" t="s">
        <v>264</v>
      </c>
      <c r="H309" t="s">
        <v>248</v>
      </c>
      <c r="I309">
        <f>ROUND((2.6*0.15)/100,9)</f>
        <v>3.8999999999999998E-3</v>
      </c>
      <c r="J309">
        <v>0</v>
      </c>
      <c r="O309">
        <f t="shared" si="236"/>
        <v>1095.3699999999999</v>
      </c>
      <c r="P309">
        <f t="shared" si="237"/>
        <v>867.67</v>
      </c>
      <c r="Q309">
        <f t="shared" si="238"/>
        <v>209.57</v>
      </c>
      <c r="R309">
        <f t="shared" si="239"/>
        <v>82.74</v>
      </c>
      <c r="S309">
        <f t="shared" si="240"/>
        <v>18.13</v>
      </c>
      <c r="T309">
        <f t="shared" si="241"/>
        <v>0</v>
      </c>
      <c r="U309">
        <f t="shared" si="242"/>
        <v>9.687599999999999E-2</v>
      </c>
      <c r="V309">
        <f t="shared" si="243"/>
        <v>0</v>
      </c>
      <c r="W309">
        <f t="shared" si="244"/>
        <v>0</v>
      </c>
      <c r="X309">
        <f t="shared" si="245"/>
        <v>12.69</v>
      </c>
      <c r="Y309">
        <f t="shared" si="246"/>
        <v>1.81</v>
      </c>
      <c r="AA309">
        <v>42225948</v>
      </c>
      <c r="AB309">
        <f t="shared" si="247"/>
        <v>280864.57</v>
      </c>
      <c r="AC309">
        <f t="shared" si="248"/>
        <v>222479.25</v>
      </c>
      <c r="AD309">
        <f t="shared" si="249"/>
        <v>53736.02</v>
      </c>
      <c r="AE309">
        <f t="shared" si="250"/>
        <v>21215.13</v>
      </c>
      <c r="AF309">
        <f t="shared" si="251"/>
        <v>4649.3</v>
      </c>
      <c r="AG309">
        <f t="shared" si="252"/>
        <v>0</v>
      </c>
      <c r="AH309">
        <f t="shared" si="253"/>
        <v>24.84</v>
      </c>
      <c r="AI309">
        <f t="shared" si="254"/>
        <v>0</v>
      </c>
      <c r="AJ309">
        <f t="shared" si="255"/>
        <v>0</v>
      </c>
      <c r="AK309">
        <v>280864.57</v>
      </c>
      <c r="AL309">
        <v>222479.25</v>
      </c>
      <c r="AM309">
        <v>53736.02</v>
      </c>
      <c r="AN309">
        <v>21215.13</v>
      </c>
      <c r="AO309">
        <v>4649.3</v>
      </c>
      <c r="AP309">
        <v>0</v>
      </c>
      <c r="AQ309">
        <v>24.84</v>
      </c>
      <c r="AR309">
        <v>0</v>
      </c>
      <c r="AS309">
        <v>0</v>
      </c>
      <c r="AT309">
        <v>70</v>
      </c>
      <c r="AU309">
        <v>10</v>
      </c>
      <c r="AV309">
        <v>1</v>
      </c>
      <c r="AW309">
        <v>1</v>
      </c>
      <c r="AZ309">
        <v>1</v>
      </c>
      <c r="BA309">
        <v>1</v>
      </c>
      <c r="BB309">
        <v>1</v>
      </c>
      <c r="BC309">
        <v>1</v>
      </c>
      <c r="BD309" t="s">
        <v>3</v>
      </c>
      <c r="BE309" t="s">
        <v>3</v>
      </c>
      <c r="BF309" t="s">
        <v>3</v>
      </c>
      <c r="BG309" t="s">
        <v>3</v>
      </c>
      <c r="BH309">
        <v>0</v>
      </c>
      <c r="BI309">
        <v>4</v>
      </c>
      <c r="BJ309" t="s">
        <v>265</v>
      </c>
      <c r="BM309">
        <v>0</v>
      </c>
      <c r="BN309">
        <v>0</v>
      </c>
      <c r="BO309" t="s">
        <v>3</v>
      </c>
      <c r="BP309">
        <v>0</v>
      </c>
      <c r="BQ309">
        <v>1</v>
      </c>
      <c r="BR309">
        <v>0</v>
      </c>
      <c r="BS309">
        <v>1</v>
      </c>
      <c r="BT309">
        <v>1</v>
      </c>
      <c r="BU309">
        <v>1</v>
      </c>
      <c r="BV309">
        <v>1</v>
      </c>
      <c r="BW309">
        <v>1</v>
      </c>
      <c r="BX309">
        <v>1</v>
      </c>
      <c r="BY309" t="s">
        <v>3</v>
      </c>
      <c r="BZ309">
        <v>70</v>
      </c>
      <c r="CA309">
        <v>10</v>
      </c>
      <c r="CE309">
        <v>0</v>
      </c>
      <c r="CF309">
        <v>0</v>
      </c>
      <c r="CG309">
        <v>0</v>
      </c>
      <c r="CM309">
        <v>0</v>
      </c>
      <c r="CN309" t="s">
        <v>3</v>
      </c>
      <c r="CO309">
        <v>0</v>
      </c>
      <c r="CP309">
        <f t="shared" si="256"/>
        <v>1095.3700000000001</v>
      </c>
      <c r="CQ309">
        <f t="shared" si="257"/>
        <v>222479.25</v>
      </c>
      <c r="CR309">
        <f t="shared" si="258"/>
        <v>53736.02</v>
      </c>
      <c r="CS309">
        <f t="shared" si="259"/>
        <v>21215.13</v>
      </c>
      <c r="CT309">
        <f t="shared" si="260"/>
        <v>4649.3</v>
      </c>
      <c r="CU309">
        <f t="shared" si="261"/>
        <v>0</v>
      </c>
      <c r="CV309">
        <f t="shared" si="262"/>
        <v>24.84</v>
      </c>
      <c r="CW309">
        <f t="shared" si="263"/>
        <v>0</v>
      </c>
      <c r="CX309">
        <f t="shared" si="264"/>
        <v>0</v>
      </c>
      <c r="CY309">
        <f t="shared" si="265"/>
        <v>12.690999999999999</v>
      </c>
      <c r="CZ309">
        <f t="shared" si="266"/>
        <v>1.8129999999999997</v>
      </c>
      <c r="DC309" t="s">
        <v>3</v>
      </c>
      <c r="DD309" t="s">
        <v>3</v>
      </c>
      <c r="DE309" t="s">
        <v>3</v>
      </c>
      <c r="DF309" t="s">
        <v>3</v>
      </c>
      <c r="DG309" t="s">
        <v>3</v>
      </c>
      <c r="DH309" t="s">
        <v>3</v>
      </c>
      <c r="DI309" t="s">
        <v>3</v>
      </c>
      <c r="DJ309" t="s">
        <v>3</v>
      </c>
      <c r="DK309" t="s">
        <v>3</v>
      </c>
      <c r="DL309" t="s">
        <v>3</v>
      </c>
      <c r="DM309" t="s">
        <v>3</v>
      </c>
      <c r="DN309">
        <v>0</v>
      </c>
      <c r="DO309">
        <v>0</v>
      </c>
      <c r="DP309">
        <v>1</v>
      </c>
      <c r="DQ309">
        <v>1</v>
      </c>
      <c r="DU309">
        <v>1007</v>
      </c>
      <c r="DV309" t="s">
        <v>248</v>
      </c>
      <c r="DW309" t="s">
        <v>248</v>
      </c>
      <c r="DX309">
        <v>100</v>
      </c>
      <c r="EE309">
        <v>40050625</v>
      </c>
      <c r="EF309">
        <v>1</v>
      </c>
      <c r="EG309" t="s">
        <v>20</v>
      </c>
      <c r="EH309">
        <v>0</v>
      </c>
      <c r="EI309" t="s">
        <v>3</v>
      </c>
      <c r="EJ309">
        <v>4</v>
      </c>
      <c r="EK309">
        <v>0</v>
      </c>
      <c r="EL309" t="s">
        <v>21</v>
      </c>
      <c r="EM309" t="s">
        <v>22</v>
      </c>
      <c r="EO309" t="s">
        <v>3</v>
      </c>
      <c r="EQ309">
        <v>0</v>
      </c>
      <c r="ER309">
        <v>280864.57</v>
      </c>
      <c r="ES309">
        <v>222479.25</v>
      </c>
      <c r="ET309">
        <v>53736.02</v>
      </c>
      <c r="EU309">
        <v>21215.13</v>
      </c>
      <c r="EV309">
        <v>4649.3</v>
      </c>
      <c r="EW309">
        <v>24.84</v>
      </c>
      <c r="EX309">
        <v>0</v>
      </c>
      <c r="EY309">
        <v>0</v>
      </c>
      <c r="FQ309">
        <v>0</v>
      </c>
      <c r="FR309">
        <f t="shared" si="267"/>
        <v>0</v>
      </c>
      <c r="FS309">
        <v>0</v>
      </c>
      <c r="FX309">
        <v>70</v>
      </c>
      <c r="FY309">
        <v>10</v>
      </c>
      <c r="GA309" t="s">
        <v>3</v>
      </c>
      <c r="GD309">
        <v>0</v>
      </c>
      <c r="GF309">
        <v>-967976254</v>
      </c>
      <c r="GG309">
        <v>2</v>
      </c>
      <c r="GH309">
        <v>1</v>
      </c>
      <c r="GI309">
        <v>-2</v>
      </c>
      <c r="GJ309">
        <v>0</v>
      </c>
      <c r="GK309">
        <f>ROUND(R309*(R12)/100,2)</f>
        <v>89.36</v>
      </c>
      <c r="GL309">
        <f t="shared" si="268"/>
        <v>0</v>
      </c>
      <c r="GM309">
        <f t="shared" si="269"/>
        <v>1199.23</v>
      </c>
      <c r="GN309">
        <f t="shared" si="270"/>
        <v>0</v>
      </c>
      <c r="GO309">
        <f t="shared" si="271"/>
        <v>0</v>
      </c>
      <c r="GP309">
        <f t="shared" si="272"/>
        <v>1199.23</v>
      </c>
      <c r="GR309">
        <v>0</v>
      </c>
      <c r="GS309">
        <v>0</v>
      </c>
      <c r="GT309">
        <v>0</v>
      </c>
      <c r="GU309" t="s">
        <v>3</v>
      </c>
      <c r="GV309">
        <f t="shared" si="273"/>
        <v>0</v>
      </c>
      <c r="GW309">
        <v>1</v>
      </c>
      <c r="GX309">
        <f t="shared" si="274"/>
        <v>0</v>
      </c>
      <c r="HA309">
        <v>0</v>
      </c>
      <c r="HB309">
        <v>0</v>
      </c>
      <c r="HC309">
        <f t="shared" si="275"/>
        <v>0</v>
      </c>
      <c r="IK309">
        <v>0</v>
      </c>
    </row>
    <row r="310" spans="1:245">
      <c r="A310">
        <v>17</v>
      </c>
      <c r="B310">
        <v>1</v>
      </c>
      <c r="C310">
        <f>ROW(SmtRes!A156)</f>
        <v>156</v>
      </c>
      <c r="D310">
        <f>ROW(EtalonRes!A143)</f>
        <v>143</v>
      </c>
      <c r="E310" t="s">
        <v>266</v>
      </c>
      <c r="F310" t="s">
        <v>267</v>
      </c>
      <c r="G310" t="s">
        <v>268</v>
      </c>
      <c r="H310" t="s">
        <v>248</v>
      </c>
      <c r="I310">
        <f>ROUND(0.39/100,9)</f>
        <v>3.8999999999999998E-3</v>
      </c>
      <c r="J310">
        <v>0</v>
      </c>
      <c r="O310">
        <f t="shared" si="236"/>
        <v>1399.97</v>
      </c>
      <c r="P310">
        <f t="shared" si="237"/>
        <v>1310.93</v>
      </c>
      <c r="Q310">
        <f t="shared" si="238"/>
        <v>1.0900000000000001</v>
      </c>
      <c r="R310">
        <f t="shared" si="239"/>
        <v>0.52</v>
      </c>
      <c r="S310">
        <f t="shared" si="240"/>
        <v>87.95</v>
      </c>
      <c r="T310">
        <f t="shared" si="241"/>
        <v>0</v>
      </c>
      <c r="U310">
        <f t="shared" si="242"/>
        <v>0.43504499999999996</v>
      </c>
      <c r="V310">
        <f t="shared" si="243"/>
        <v>0</v>
      </c>
      <c r="W310">
        <f t="shared" si="244"/>
        <v>0</v>
      </c>
      <c r="X310">
        <f t="shared" si="245"/>
        <v>61.57</v>
      </c>
      <c r="Y310">
        <f t="shared" si="246"/>
        <v>8.8000000000000007</v>
      </c>
      <c r="AA310">
        <v>42225948</v>
      </c>
      <c r="AB310">
        <f t="shared" si="247"/>
        <v>358966.21</v>
      </c>
      <c r="AC310">
        <f t="shared" si="248"/>
        <v>336136.59</v>
      </c>
      <c r="AD310">
        <f t="shared" si="249"/>
        <v>278.67</v>
      </c>
      <c r="AE310">
        <f t="shared" si="250"/>
        <v>133.27000000000001</v>
      </c>
      <c r="AF310">
        <f t="shared" si="251"/>
        <v>22550.95</v>
      </c>
      <c r="AG310">
        <f t="shared" si="252"/>
        <v>0</v>
      </c>
      <c r="AH310">
        <f t="shared" si="253"/>
        <v>111.55</v>
      </c>
      <c r="AI310">
        <f t="shared" si="254"/>
        <v>0</v>
      </c>
      <c r="AJ310">
        <f t="shared" si="255"/>
        <v>0</v>
      </c>
      <c r="AK310">
        <v>358966.21</v>
      </c>
      <c r="AL310">
        <v>336136.59</v>
      </c>
      <c r="AM310">
        <v>278.67</v>
      </c>
      <c r="AN310">
        <v>133.27000000000001</v>
      </c>
      <c r="AO310">
        <v>22550.95</v>
      </c>
      <c r="AP310">
        <v>0</v>
      </c>
      <c r="AQ310">
        <v>111.55</v>
      </c>
      <c r="AR310">
        <v>0</v>
      </c>
      <c r="AS310">
        <v>0</v>
      </c>
      <c r="AT310">
        <v>70</v>
      </c>
      <c r="AU310">
        <v>10</v>
      </c>
      <c r="AV310">
        <v>1</v>
      </c>
      <c r="AW310">
        <v>1</v>
      </c>
      <c r="AZ310">
        <v>1</v>
      </c>
      <c r="BA310">
        <v>1</v>
      </c>
      <c r="BB310">
        <v>1</v>
      </c>
      <c r="BC310">
        <v>1</v>
      </c>
      <c r="BD310" t="s">
        <v>3</v>
      </c>
      <c r="BE310" t="s">
        <v>3</v>
      </c>
      <c r="BF310" t="s">
        <v>3</v>
      </c>
      <c r="BG310" t="s">
        <v>3</v>
      </c>
      <c r="BH310">
        <v>0</v>
      </c>
      <c r="BI310">
        <v>4</v>
      </c>
      <c r="BJ310" t="s">
        <v>269</v>
      </c>
      <c r="BM310">
        <v>0</v>
      </c>
      <c r="BN310">
        <v>0</v>
      </c>
      <c r="BO310" t="s">
        <v>3</v>
      </c>
      <c r="BP310">
        <v>0</v>
      </c>
      <c r="BQ310">
        <v>1</v>
      </c>
      <c r="BR310">
        <v>0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 t="s">
        <v>3</v>
      </c>
      <c r="BZ310">
        <v>70</v>
      </c>
      <c r="CA310">
        <v>10</v>
      </c>
      <c r="CE310">
        <v>0</v>
      </c>
      <c r="CF310">
        <v>0</v>
      </c>
      <c r="CG310">
        <v>0</v>
      </c>
      <c r="CM310">
        <v>0</v>
      </c>
      <c r="CN310" t="s">
        <v>3</v>
      </c>
      <c r="CO310">
        <v>0</v>
      </c>
      <c r="CP310">
        <f t="shared" si="256"/>
        <v>1399.97</v>
      </c>
      <c r="CQ310">
        <f t="shared" si="257"/>
        <v>336136.59</v>
      </c>
      <c r="CR310">
        <f t="shared" si="258"/>
        <v>278.67</v>
      </c>
      <c r="CS310">
        <f t="shared" si="259"/>
        <v>133.27000000000001</v>
      </c>
      <c r="CT310">
        <f t="shared" si="260"/>
        <v>22550.95</v>
      </c>
      <c r="CU310">
        <f t="shared" si="261"/>
        <v>0</v>
      </c>
      <c r="CV310">
        <f t="shared" si="262"/>
        <v>111.55</v>
      </c>
      <c r="CW310">
        <f t="shared" si="263"/>
        <v>0</v>
      </c>
      <c r="CX310">
        <f t="shared" si="264"/>
        <v>0</v>
      </c>
      <c r="CY310">
        <f t="shared" si="265"/>
        <v>61.564999999999998</v>
      </c>
      <c r="CZ310">
        <f t="shared" si="266"/>
        <v>8.7949999999999999</v>
      </c>
      <c r="DC310" t="s">
        <v>3</v>
      </c>
      <c r="DD310" t="s">
        <v>3</v>
      </c>
      <c r="DE310" t="s">
        <v>3</v>
      </c>
      <c r="DF310" t="s">
        <v>3</v>
      </c>
      <c r="DG310" t="s">
        <v>3</v>
      </c>
      <c r="DH310" t="s">
        <v>3</v>
      </c>
      <c r="DI310" t="s">
        <v>3</v>
      </c>
      <c r="DJ310" t="s">
        <v>3</v>
      </c>
      <c r="DK310" t="s">
        <v>3</v>
      </c>
      <c r="DL310" t="s">
        <v>3</v>
      </c>
      <c r="DM310" t="s">
        <v>3</v>
      </c>
      <c r="DN310">
        <v>0</v>
      </c>
      <c r="DO310">
        <v>0</v>
      </c>
      <c r="DP310">
        <v>1</v>
      </c>
      <c r="DQ310">
        <v>1</v>
      </c>
      <c r="DU310">
        <v>1007</v>
      </c>
      <c r="DV310" t="s">
        <v>248</v>
      </c>
      <c r="DW310" t="s">
        <v>248</v>
      </c>
      <c r="DX310">
        <v>100</v>
      </c>
      <c r="EE310">
        <v>40050625</v>
      </c>
      <c r="EF310">
        <v>1</v>
      </c>
      <c r="EG310" t="s">
        <v>20</v>
      </c>
      <c r="EH310">
        <v>0</v>
      </c>
      <c r="EI310" t="s">
        <v>3</v>
      </c>
      <c r="EJ310">
        <v>4</v>
      </c>
      <c r="EK310">
        <v>0</v>
      </c>
      <c r="EL310" t="s">
        <v>21</v>
      </c>
      <c r="EM310" t="s">
        <v>22</v>
      </c>
      <c r="EO310" t="s">
        <v>3</v>
      </c>
      <c r="EQ310">
        <v>0</v>
      </c>
      <c r="ER310">
        <v>358966.21</v>
      </c>
      <c r="ES310">
        <v>336136.59</v>
      </c>
      <c r="ET310">
        <v>278.67</v>
      </c>
      <c r="EU310">
        <v>133.27000000000001</v>
      </c>
      <c r="EV310">
        <v>22550.95</v>
      </c>
      <c r="EW310">
        <v>111.55</v>
      </c>
      <c r="EX310">
        <v>0</v>
      </c>
      <c r="EY310">
        <v>0</v>
      </c>
      <c r="FQ310">
        <v>0</v>
      </c>
      <c r="FR310">
        <f t="shared" si="267"/>
        <v>0</v>
      </c>
      <c r="FS310">
        <v>0</v>
      </c>
      <c r="FX310">
        <v>70</v>
      </c>
      <c r="FY310">
        <v>10</v>
      </c>
      <c r="GA310" t="s">
        <v>3</v>
      </c>
      <c r="GD310">
        <v>0</v>
      </c>
      <c r="GF310">
        <v>-2080587930</v>
      </c>
      <c r="GG310">
        <v>2</v>
      </c>
      <c r="GH310">
        <v>1</v>
      </c>
      <c r="GI310">
        <v>-2</v>
      </c>
      <c r="GJ310">
        <v>0</v>
      </c>
      <c r="GK310">
        <f>ROUND(R310*(R12)/100,2)</f>
        <v>0.56000000000000005</v>
      </c>
      <c r="GL310">
        <f t="shared" si="268"/>
        <v>0</v>
      </c>
      <c r="GM310">
        <f t="shared" si="269"/>
        <v>1470.9</v>
      </c>
      <c r="GN310">
        <f t="shared" si="270"/>
        <v>0</v>
      </c>
      <c r="GO310">
        <f t="shared" si="271"/>
        <v>0</v>
      </c>
      <c r="GP310">
        <f t="shared" si="272"/>
        <v>1470.9</v>
      </c>
      <c r="GR310">
        <v>0</v>
      </c>
      <c r="GS310">
        <v>0</v>
      </c>
      <c r="GT310">
        <v>0</v>
      </c>
      <c r="GU310" t="s">
        <v>3</v>
      </c>
      <c r="GV310">
        <f t="shared" si="273"/>
        <v>0</v>
      </c>
      <c r="GW310">
        <v>1</v>
      </c>
      <c r="GX310">
        <f t="shared" si="274"/>
        <v>0</v>
      </c>
      <c r="HA310">
        <v>0</v>
      </c>
      <c r="HB310">
        <v>0</v>
      </c>
      <c r="HC310">
        <f t="shared" si="275"/>
        <v>0</v>
      </c>
      <c r="IK310">
        <v>0</v>
      </c>
    </row>
    <row r="311" spans="1:245">
      <c r="A311">
        <v>17</v>
      </c>
      <c r="B311">
        <v>1</v>
      </c>
      <c r="C311">
        <f>ROW(SmtRes!A161)</f>
        <v>161</v>
      </c>
      <c r="D311">
        <f>ROW(EtalonRes!A148)</f>
        <v>148</v>
      </c>
      <c r="E311" t="s">
        <v>270</v>
      </c>
      <c r="F311" t="s">
        <v>271</v>
      </c>
      <c r="G311" t="s">
        <v>272</v>
      </c>
      <c r="H311" t="s">
        <v>18</v>
      </c>
      <c r="I311">
        <f>ROUND(0.44/100,9)</f>
        <v>4.4000000000000003E-3</v>
      </c>
      <c r="J311">
        <v>0</v>
      </c>
      <c r="O311">
        <f t="shared" si="236"/>
        <v>207.88</v>
      </c>
      <c r="P311">
        <f t="shared" si="237"/>
        <v>160.15</v>
      </c>
      <c r="Q311">
        <f t="shared" si="238"/>
        <v>0</v>
      </c>
      <c r="R311">
        <f t="shared" si="239"/>
        <v>0</v>
      </c>
      <c r="S311">
        <f t="shared" si="240"/>
        <v>47.73</v>
      </c>
      <c r="T311">
        <f t="shared" si="241"/>
        <v>0</v>
      </c>
      <c r="U311">
        <f t="shared" si="242"/>
        <v>0.19734000000000002</v>
      </c>
      <c r="V311">
        <f t="shared" si="243"/>
        <v>0</v>
      </c>
      <c r="W311">
        <f t="shared" si="244"/>
        <v>0</v>
      </c>
      <c r="X311">
        <f t="shared" si="245"/>
        <v>33.409999999999997</v>
      </c>
      <c r="Y311">
        <f t="shared" si="246"/>
        <v>4.7699999999999996</v>
      </c>
      <c r="AA311">
        <v>42225948</v>
      </c>
      <c r="AB311">
        <f t="shared" si="247"/>
        <v>47245.440000000002</v>
      </c>
      <c r="AC311">
        <f t="shared" si="248"/>
        <v>36396.67</v>
      </c>
      <c r="AD311">
        <f t="shared" si="249"/>
        <v>0</v>
      </c>
      <c r="AE311">
        <f t="shared" si="250"/>
        <v>0</v>
      </c>
      <c r="AF311">
        <f t="shared" si="251"/>
        <v>10848.77</v>
      </c>
      <c r="AG311">
        <f t="shared" si="252"/>
        <v>0</v>
      </c>
      <c r="AH311">
        <f t="shared" si="253"/>
        <v>44.85</v>
      </c>
      <c r="AI311">
        <f t="shared" si="254"/>
        <v>0</v>
      </c>
      <c r="AJ311">
        <f t="shared" si="255"/>
        <v>0</v>
      </c>
      <c r="AK311">
        <v>47245.440000000002</v>
      </c>
      <c r="AL311">
        <v>36396.67</v>
      </c>
      <c r="AM311">
        <v>0</v>
      </c>
      <c r="AN311">
        <v>0</v>
      </c>
      <c r="AO311">
        <v>10848.77</v>
      </c>
      <c r="AP311">
        <v>0</v>
      </c>
      <c r="AQ311">
        <v>44.85</v>
      </c>
      <c r="AR311">
        <v>0</v>
      </c>
      <c r="AS311">
        <v>0</v>
      </c>
      <c r="AT311">
        <v>70</v>
      </c>
      <c r="AU311">
        <v>10</v>
      </c>
      <c r="AV311">
        <v>1</v>
      </c>
      <c r="AW311">
        <v>1</v>
      </c>
      <c r="AZ311">
        <v>1</v>
      </c>
      <c r="BA311">
        <v>1</v>
      </c>
      <c r="BB311">
        <v>1</v>
      </c>
      <c r="BC311">
        <v>1</v>
      </c>
      <c r="BD311" t="s">
        <v>3</v>
      </c>
      <c r="BE311" t="s">
        <v>3</v>
      </c>
      <c r="BF311" t="s">
        <v>3</v>
      </c>
      <c r="BG311" t="s">
        <v>3</v>
      </c>
      <c r="BH311">
        <v>0</v>
      </c>
      <c r="BI311">
        <v>4</v>
      </c>
      <c r="BJ311" t="s">
        <v>273</v>
      </c>
      <c r="BM311">
        <v>0</v>
      </c>
      <c r="BN311">
        <v>0</v>
      </c>
      <c r="BO311" t="s">
        <v>3</v>
      </c>
      <c r="BP311">
        <v>0</v>
      </c>
      <c r="BQ311">
        <v>1</v>
      </c>
      <c r="BR311">
        <v>0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 t="s">
        <v>3</v>
      </c>
      <c r="BZ311">
        <v>70</v>
      </c>
      <c r="CA311">
        <v>10</v>
      </c>
      <c r="CE311">
        <v>0</v>
      </c>
      <c r="CF311">
        <v>0</v>
      </c>
      <c r="CG311">
        <v>0</v>
      </c>
      <c r="CM311">
        <v>0</v>
      </c>
      <c r="CN311" t="s">
        <v>3</v>
      </c>
      <c r="CO311">
        <v>0</v>
      </c>
      <c r="CP311">
        <f t="shared" si="256"/>
        <v>207.88</v>
      </c>
      <c r="CQ311">
        <f t="shared" si="257"/>
        <v>36396.67</v>
      </c>
      <c r="CR311">
        <f t="shared" si="258"/>
        <v>0</v>
      </c>
      <c r="CS311">
        <f t="shared" si="259"/>
        <v>0</v>
      </c>
      <c r="CT311">
        <f t="shared" si="260"/>
        <v>10848.77</v>
      </c>
      <c r="CU311">
        <f t="shared" si="261"/>
        <v>0</v>
      </c>
      <c r="CV311">
        <f t="shared" si="262"/>
        <v>44.85</v>
      </c>
      <c r="CW311">
        <f t="shared" si="263"/>
        <v>0</v>
      </c>
      <c r="CX311">
        <f t="shared" si="264"/>
        <v>0</v>
      </c>
      <c r="CY311">
        <f t="shared" si="265"/>
        <v>33.411000000000001</v>
      </c>
      <c r="CZ311">
        <f t="shared" si="266"/>
        <v>4.7729999999999997</v>
      </c>
      <c r="DC311" t="s">
        <v>3</v>
      </c>
      <c r="DD311" t="s">
        <v>3</v>
      </c>
      <c r="DE311" t="s">
        <v>3</v>
      </c>
      <c r="DF311" t="s">
        <v>3</v>
      </c>
      <c r="DG311" t="s">
        <v>3</v>
      </c>
      <c r="DH311" t="s">
        <v>3</v>
      </c>
      <c r="DI311" t="s">
        <v>3</v>
      </c>
      <c r="DJ311" t="s">
        <v>3</v>
      </c>
      <c r="DK311" t="s">
        <v>3</v>
      </c>
      <c r="DL311" t="s">
        <v>3</v>
      </c>
      <c r="DM311" t="s">
        <v>3</v>
      </c>
      <c r="DN311">
        <v>0</v>
      </c>
      <c r="DO311">
        <v>0</v>
      </c>
      <c r="DP311">
        <v>1</v>
      </c>
      <c r="DQ311">
        <v>1</v>
      </c>
      <c r="DU311">
        <v>1005</v>
      </c>
      <c r="DV311" t="s">
        <v>18</v>
      </c>
      <c r="DW311" t="s">
        <v>18</v>
      </c>
      <c r="DX311">
        <v>100</v>
      </c>
      <c r="EE311">
        <v>40050625</v>
      </c>
      <c r="EF311">
        <v>1</v>
      </c>
      <c r="EG311" t="s">
        <v>20</v>
      </c>
      <c r="EH311">
        <v>0</v>
      </c>
      <c r="EI311" t="s">
        <v>3</v>
      </c>
      <c r="EJ311">
        <v>4</v>
      </c>
      <c r="EK311">
        <v>0</v>
      </c>
      <c r="EL311" t="s">
        <v>21</v>
      </c>
      <c r="EM311" t="s">
        <v>22</v>
      </c>
      <c r="EO311" t="s">
        <v>3</v>
      </c>
      <c r="EQ311">
        <v>0</v>
      </c>
      <c r="ER311">
        <v>47245.440000000002</v>
      </c>
      <c r="ES311">
        <v>36396.67</v>
      </c>
      <c r="ET311">
        <v>0</v>
      </c>
      <c r="EU311">
        <v>0</v>
      </c>
      <c r="EV311">
        <v>10848.77</v>
      </c>
      <c r="EW311">
        <v>44.85</v>
      </c>
      <c r="EX311">
        <v>0</v>
      </c>
      <c r="EY311">
        <v>0</v>
      </c>
      <c r="FQ311">
        <v>0</v>
      </c>
      <c r="FR311">
        <f t="shared" si="267"/>
        <v>0</v>
      </c>
      <c r="FS311">
        <v>0</v>
      </c>
      <c r="FX311">
        <v>70</v>
      </c>
      <c r="FY311">
        <v>10</v>
      </c>
      <c r="GA311" t="s">
        <v>3</v>
      </c>
      <c r="GD311">
        <v>0</v>
      </c>
      <c r="GF311">
        <v>-337502216</v>
      </c>
      <c r="GG311">
        <v>2</v>
      </c>
      <c r="GH311">
        <v>1</v>
      </c>
      <c r="GI311">
        <v>-2</v>
      </c>
      <c r="GJ311">
        <v>0</v>
      </c>
      <c r="GK311">
        <f>ROUND(R311*(R12)/100,2)</f>
        <v>0</v>
      </c>
      <c r="GL311">
        <f t="shared" si="268"/>
        <v>0</v>
      </c>
      <c r="GM311">
        <f t="shared" si="269"/>
        <v>246.06</v>
      </c>
      <c r="GN311">
        <f t="shared" si="270"/>
        <v>0</v>
      </c>
      <c r="GO311">
        <f t="shared" si="271"/>
        <v>0</v>
      </c>
      <c r="GP311">
        <f t="shared" si="272"/>
        <v>246.06</v>
      </c>
      <c r="GR311">
        <v>0</v>
      </c>
      <c r="GS311">
        <v>0</v>
      </c>
      <c r="GT311">
        <v>0</v>
      </c>
      <c r="GU311" t="s">
        <v>3</v>
      </c>
      <c r="GV311">
        <f t="shared" si="273"/>
        <v>0</v>
      </c>
      <c r="GW311">
        <v>1</v>
      </c>
      <c r="GX311">
        <f t="shared" si="274"/>
        <v>0</v>
      </c>
      <c r="HA311">
        <v>0</v>
      </c>
      <c r="HB311">
        <v>0</v>
      </c>
      <c r="HC311">
        <f t="shared" si="275"/>
        <v>0</v>
      </c>
      <c r="IK311">
        <v>0</v>
      </c>
    </row>
    <row r="312" spans="1:245">
      <c r="A312">
        <v>17</v>
      </c>
      <c r="B312">
        <v>1</v>
      </c>
      <c r="C312">
        <f>ROW(SmtRes!A167)</f>
        <v>167</v>
      </c>
      <c r="D312">
        <f>ROW(EtalonRes!A154)</f>
        <v>154</v>
      </c>
      <c r="E312" t="s">
        <v>274</v>
      </c>
      <c r="F312" t="s">
        <v>275</v>
      </c>
      <c r="G312" t="s">
        <v>276</v>
      </c>
      <c r="H312" t="s">
        <v>18</v>
      </c>
      <c r="I312">
        <f>ROUND(3.5/100,9)</f>
        <v>3.5000000000000003E-2</v>
      </c>
      <c r="J312">
        <v>0</v>
      </c>
      <c r="O312">
        <f t="shared" si="236"/>
        <v>417.27</v>
      </c>
      <c r="P312">
        <f t="shared" si="237"/>
        <v>291.17</v>
      </c>
      <c r="Q312">
        <f t="shared" si="238"/>
        <v>0</v>
      </c>
      <c r="R312">
        <f t="shared" si="239"/>
        <v>0</v>
      </c>
      <c r="S312">
        <f t="shared" si="240"/>
        <v>126.1</v>
      </c>
      <c r="T312">
        <f t="shared" si="241"/>
        <v>0</v>
      </c>
      <c r="U312">
        <f t="shared" si="242"/>
        <v>0.55754999999999999</v>
      </c>
      <c r="V312">
        <f t="shared" si="243"/>
        <v>0</v>
      </c>
      <c r="W312">
        <f t="shared" si="244"/>
        <v>0</v>
      </c>
      <c r="X312">
        <f t="shared" si="245"/>
        <v>88.27</v>
      </c>
      <c r="Y312">
        <f t="shared" si="246"/>
        <v>12.61</v>
      </c>
      <c r="AA312">
        <v>42225948</v>
      </c>
      <c r="AB312">
        <f t="shared" si="247"/>
        <v>11921.85</v>
      </c>
      <c r="AC312">
        <f t="shared" si="248"/>
        <v>8319.0400000000009</v>
      </c>
      <c r="AD312">
        <f t="shared" si="249"/>
        <v>0</v>
      </c>
      <c r="AE312">
        <f t="shared" si="250"/>
        <v>0</v>
      </c>
      <c r="AF312">
        <f t="shared" si="251"/>
        <v>3602.81</v>
      </c>
      <c r="AG312">
        <f t="shared" si="252"/>
        <v>0</v>
      </c>
      <c r="AH312">
        <f t="shared" si="253"/>
        <v>15.93</v>
      </c>
      <c r="AI312">
        <f t="shared" si="254"/>
        <v>0</v>
      </c>
      <c r="AJ312">
        <f t="shared" si="255"/>
        <v>0</v>
      </c>
      <c r="AK312">
        <v>11921.85</v>
      </c>
      <c r="AL312">
        <v>8319.0400000000009</v>
      </c>
      <c r="AM312">
        <v>0</v>
      </c>
      <c r="AN312">
        <v>0</v>
      </c>
      <c r="AO312">
        <v>3602.81</v>
      </c>
      <c r="AP312">
        <v>0</v>
      </c>
      <c r="AQ312">
        <v>15.93</v>
      </c>
      <c r="AR312">
        <v>0</v>
      </c>
      <c r="AS312">
        <v>0</v>
      </c>
      <c r="AT312">
        <v>70</v>
      </c>
      <c r="AU312">
        <v>10</v>
      </c>
      <c r="AV312">
        <v>1</v>
      </c>
      <c r="AW312">
        <v>1</v>
      </c>
      <c r="AZ312">
        <v>1</v>
      </c>
      <c r="BA312">
        <v>1</v>
      </c>
      <c r="BB312">
        <v>1</v>
      </c>
      <c r="BC312">
        <v>1</v>
      </c>
      <c r="BD312" t="s">
        <v>3</v>
      </c>
      <c r="BE312" t="s">
        <v>3</v>
      </c>
      <c r="BF312" t="s">
        <v>3</v>
      </c>
      <c r="BG312" t="s">
        <v>3</v>
      </c>
      <c r="BH312">
        <v>0</v>
      </c>
      <c r="BI312">
        <v>4</v>
      </c>
      <c r="BJ312" t="s">
        <v>277</v>
      </c>
      <c r="BM312">
        <v>0</v>
      </c>
      <c r="BN312">
        <v>0</v>
      </c>
      <c r="BO312" t="s">
        <v>3</v>
      </c>
      <c r="BP312">
        <v>0</v>
      </c>
      <c r="BQ312">
        <v>1</v>
      </c>
      <c r="BR312">
        <v>0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 t="s">
        <v>3</v>
      </c>
      <c r="BZ312">
        <v>70</v>
      </c>
      <c r="CA312">
        <v>10</v>
      </c>
      <c r="CE312">
        <v>0</v>
      </c>
      <c r="CF312">
        <v>0</v>
      </c>
      <c r="CG312">
        <v>0</v>
      </c>
      <c r="CM312">
        <v>0</v>
      </c>
      <c r="CN312" t="s">
        <v>3</v>
      </c>
      <c r="CO312">
        <v>0</v>
      </c>
      <c r="CP312">
        <f t="shared" si="256"/>
        <v>417.27</v>
      </c>
      <c r="CQ312">
        <f t="shared" si="257"/>
        <v>8319.0400000000009</v>
      </c>
      <c r="CR312">
        <f t="shared" si="258"/>
        <v>0</v>
      </c>
      <c r="CS312">
        <f t="shared" si="259"/>
        <v>0</v>
      </c>
      <c r="CT312">
        <f t="shared" si="260"/>
        <v>3602.81</v>
      </c>
      <c r="CU312">
        <f t="shared" si="261"/>
        <v>0</v>
      </c>
      <c r="CV312">
        <f t="shared" si="262"/>
        <v>15.93</v>
      </c>
      <c r="CW312">
        <f t="shared" si="263"/>
        <v>0</v>
      </c>
      <c r="CX312">
        <f t="shared" si="264"/>
        <v>0</v>
      </c>
      <c r="CY312">
        <f t="shared" si="265"/>
        <v>88.27</v>
      </c>
      <c r="CZ312">
        <f t="shared" si="266"/>
        <v>12.61</v>
      </c>
      <c r="DC312" t="s">
        <v>3</v>
      </c>
      <c r="DD312" t="s">
        <v>3</v>
      </c>
      <c r="DE312" t="s">
        <v>3</v>
      </c>
      <c r="DF312" t="s">
        <v>3</v>
      </c>
      <c r="DG312" t="s">
        <v>3</v>
      </c>
      <c r="DH312" t="s">
        <v>3</v>
      </c>
      <c r="DI312" t="s">
        <v>3</v>
      </c>
      <c r="DJ312" t="s">
        <v>3</v>
      </c>
      <c r="DK312" t="s">
        <v>3</v>
      </c>
      <c r="DL312" t="s">
        <v>3</v>
      </c>
      <c r="DM312" t="s">
        <v>3</v>
      </c>
      <c r="DN312">
        <v>0</v>
      </c>
      <c r="DO312">
        <v>0</v>
      </c>
      <c r="DP312">
        <v>1</v>
      </c>
      <c r="DQ312">
        <v>1</v>
      </c>
      <c r="DU312">
        <v>1005</v>
      </c>
      <c r="DV312" t="s">
        <v>18</v>
      </c>
      <c r="DW312" t="s">
        <v>18</v>
      </c>
      <c r="DX312">
        <v>100</v>
      </c>
      <c r="EE312">
        <v>40050625</v>
      </c>
      <c r="EF312">
        <v>1</v>
      </c>
      <c r="EG312" t="s">
        <v>20</v>
      </c>
      <c r="EH312">
        <v>0</v>
      </c>
      <c r="EI312" t="s">
        <v>3</v>
      </c>
      <c r="EJ312">
        <v>4</v>
      </c>
      <c r="EK312">
        <v>0</v>
      </c>
      <c r="EL312" t="s">
        <v>21</v>
      </c>
      <c r="EM312" t="s">
        <v>22</v>
      </c>
      <c r="EO312" t="s">
        <v>3</v>
      </c>
      <c r="EQ312">
        <v>0</v>
      </c>
      <c r="ER312">
        <v>11921.85</v>
      </c>
      <c r="ES312">
        <v>8319.0400000000009</v>
      </c>
      <c r="ET312">
        <v>0</v>
      </c>
      <c r="EU312">
        <v>0</v>
      </c>
      <c r="EV312">
        <v>3602.81</v>
      </c>
      <c r="EW312">
        <v>15.93</v>
      </c>
      <c r="EX312">
        <v>0</v>
      </c>
      <c r="EY312">
        <v>0</v>
      </c>
      <c r="FQ312">
        <v>0</v>
      </c>
      <c r="FR312">
        <f t="shared" si="267"/>
        <v>0</v>
      </c>
      <c r="FS312">
        <v>0</v>
      </c>
      <c r="FX312">
        <v>70</v>
      </c>
      <c r="FY312">
        <v>10</v>
      </c>
      <c r="GA312" t="s">
        <v>3</v>
      </c>
      <c r="GD312">
        <v>0</v>
      </c>
      <c r="GF312">
        <v>-251885060</v>
      </c>
      <c r="GG312">
        <v>2</v>
      </c>
      <c r="GH312">
        <v>1</v>
      </c>
      <c r="GI312">
        <v>-2</v>
      </c>
      <c r="GJ312">
        <v>0</v>
      </c>
      <c r="GK312">
        <f>ROUND(R312*(R12)/100,2)</f>
        <v>0</v>
      </c>
      <c r="GL312">
        <f t="shared" si="268"/>
        <v>0</v>
      </c>
      <c r="GM312">
        <f t="shared" si="269"/>
        <v>518.15</v>
      </c>
      <c r="GN312">
        <f t="shared" si="270"/>
        <v>0</v>
      </c>
      <c r="GO312">
        <f t="shared" si="271"/>
        <v>0</v>
      </c>
      <c r="GP312">
        <f t="shared" si="272"/>
        <v>518.15</v>
      </c>
      <c r="GR312">
        <v>0</v>
      </c>
      <c r="GS312">
        <v>0</v>
      </c>
      <c r="GT312">
        <v>0</v>
      </c>
      <c r="GU312" t="s">
        <v>3</v>
      </c>
      <c r="GV312">
        <f t="shared" si="273"/>
        <v>0</v>
      </c>
      <c r="GW312">
        <v>1</v>
      </c>
      <c r="GX312">
        <f t="shared" si="274"/>
        <v>0</v>
      </c>
      <c r="HA312">
        <v>0</v>
      </c>
      <c r="HB312">
        <v>0</v>
      </c>
      <c r="HC312">
        <f t="shared" si="275"/>
        <v>0</v>
      </c>
      <c r="IK312">
        <v>0</v>
      </c>
    </row>
    <row r="313" spans="1:245">
      <c r="A313">
        <v>17</v>
      </c>
      <c r="B313">
        <v>1</v>
      </c>
      <c r="C313">
        <f>ROW(SmtRes!A169)</f>
        <v>169</v>
      </c>
      <c r="D313">
        <f>ROW(EtalonRes!A156)</f>
        <v>156</v>
      </c>
      <c r="E313" t="s">
        <v>278</v>
      </c>
      <c r="F313" t="s">
        <v>279</v>
      </c>
      <c r="G313" t="s">
        <v>280</v>
      </c>
      <c r="H313" t="s">
        <v>281</v>
      </c>
      <c r="I313">
        <v>0.86399999999999999</v>
      </c>
      <c r="J313">
        <v>0</v>
      </c>
      <c r="O313">
        <f t="shared" si="236"/>
        <v>90107.15</v>
      </c>
      <c r="P313">
        <f t="shared" si="237"/>
        <v>45993.760000000002</v>
      </c>
      <c r="Q313">
        <f t="shared" si="238"/>
        <v>0</v>
      </c>
      <c r="R313">
        <f t="shared" si="239"/>
        <v>0</v>
      </c>
      <c r="S313">
        <f t="shared" si="240"/>
        <v>44113.39</v>
      </c>
      <c r="T313">
        <f t="shared" si="241"/>
        <v>0</v>
      </c>
      <c r="U313">
        <f t="shared" si="242"/>
        <v>196.7328</v>
      </c>
      <c r="V313">
        <f t="shared" si="243"/>
        <v>0</v>
      </c>
      <c r="W313">
        <f t="shared" si="244"/>
        <v>0</v>
      </c>
      <c r="X313">
        <f t="shared" si="245"/>
        <v>30879.37</v>
      </c>
      <c r="Y313">
        <f t="shared" si="246"/>
        <v>4411.34</v>
      </c>
      <c r="AA313">
        <v>42225948</v>
      </c>
      <c r="AB313">
        <f t="shared" si="247"/>
        <v>104290.69</v>
      </c>
      <c r="AC313">
        <f t="shared" si="248"/>
        <v>53233.52</v>
      </c>
      <c r="AD313">
        <f t="shared" si="249"/>
        <v>0</v>
      </c>
      <c r="AE313">
        <f t="shared" si="250"/>
        <v>0</v>
      </c>
      <c r="AF313">
        <f t="shared" si="251"/>
        <v>51057.17</v>
      </c>
      <c r="AG313">
        <f t="shared" si="252"/>
        <v>0</v>
      </c>
      <c r="AH313">
        <f t="shared" si="253"/>
        <v>227.7</v>
      </c>
      <c r="AI313">
        <f t="shared" si="254"/>
        <v>0</v>
      </c>
      <c r="AJ313">
        <f t="shared" si="255"/>
        <v>0</v>
      </c>
      <c r="AK313">
        <v>104290.69</v>
      </c>
      <c r="AL313">
        <v>53233.52</v>
      </c>
      <c r="AM313">
        <v>0</v>
      </c>
      <c r="AN313">
        <v>0</v>
      </c>
      <c r="AO313">
        <v>51057.17</v>
      </c>
      <c r="AP313">
        <v>0</v>
      </c>
      <c r="AQ313">
        <v>227.7</v>
      </c>
      <c r="AR313">
        <v>0</v>
      </c>
      <c r="AS313">
        <v>0</v>
      </c>
      <c r="AT313">
        <v>70</v>
      </c>
      <c r="AU313">
        <v>10</v>
      </c>
      <c r="AV313">
        <v>1</v>
      </c>
      <c r="AW313">
        <v>1</v>
      </c>
      <c r="AZ313">
        <v>1</v>
      </c>
      <c r="BA313">
        <v>1</v>
      </c>
      <c r="BB313">
        <v>1</v>
      </c>
      <c r="BC313">
        <v>1</v>
      </c>
      <c r="BD313" t="s">
        <v>3</v>
      </c>
      <c r="BE313" t="s">
        <v>3</v>
      </c>
      <c r="BF313" t="s">
        <v>3</v>
      </c>
      <c r="BG313" t="s">
        <v>3</v>
      </c>
      <c r="BH313">
        <v>0</v>
      </c>
      <c r="BI313">
        <v>4</v>
      </c>
      <c r="BJ313" t="s">
        <v>282</v>
      </c>
      <c r="BM313">
        <v>0</v>
      </c>
      <c r="BN313">
        <v>0</v>
      </c>
      <c r="BO313" t="s">
        <v>3</v>
      </c>
      <c r="BP313">
        <v>0</v>
      </c>
      <c r="BQ313">
        <v>1</v>
      </c>
      <c r="BR313">
        <v>0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 t="s">
        <v>3</v>
      </c>
      <c r="BZ313">
        <v>70</v>
      </c>
      <c r="CA313">
        <v>10</v>
      </c>
      <c r="CE313">
        <v>0</v>
      </c>
      <c r="CF313">
        <v>0</v>
      </c>
      <c r="CG313">
        <v>0</v>
      </c>
      <c r="CM313">
        <v>0</v>
      </c>
      <c r="CN313" t="s">
        <v>3</v>
      </c>
      <c r="CO313">
        <v>0</v>
      </c>
      <c r="CP313">
        <f t="shared" si="256"/>
        <v>90107.15</v>
      </c>
      <c r="CQ313">
        <f t="shared" si="257"/>
        <v>53233.52</v>
      </c>
      <c r="CR313">
        <f t="shared" si="258"/>
        <v>0</v>
      </c>
      <c r="CS313">
        <f t="shared" si="259"/>
        <v>0</v>
      </c>
      <c r="CT313">
        <f t="shared" si="260"/>
        <v>51057.17</v>
      </c>
      <c r="CU313">
        <f t="shared" si="261"/>
        <v>0</v>
      </c>
      <c r="CV313">
        <f t="shared" si="262"/>
        <v>227.7</v>
      </c>
      <c r="CW313">
        <f t="shared" si="263"/>
        <v>0</v>
      </c>
      <c r="CX313">
        <f t="shared" si="264"/>
        <v>0</v>
      </c>
      <c r="CY313">
        <f t="shared" si="265"/>
        <v>30879.373</v>
      </c>
      <c r="CZ313">
        <f t="shared" si="266"/>
        <v>4411.3389999999999</v>
      </c>
      <c r="DC313" t="s">
        <v>3</v>
      </c>
      <c r="DD313" t="s">
        <v>3</v>
      </c>
      <c r="DE313" t="s">
        <v>3</v>
      </c>
      <c r="DF313" t="s">
        <v>3</v>
      </c>
      <c r="DG313" t="s">
        <v>3</v>
      </c>
      <c r="DH313" t="s">
        <v>3</v>
      </c>
      <c r="DI313" t="s">
        <v>3</v>
      </c>
      <c r="DJ313" t="s">
        <v>3</v>
      </c>
      <c r="DK313" t="s">
        <v>3</v>
      </c>
      <c r="DL313" t="s">
        <v>3</v>
      </c>
      <c r="DM313" t="s">
        <v>3</v>
      </c>
      <c r="DN313">
        <v>0</v>
      </c>
      <c r="DO313">
        <v>0</v>
      </c>
      <c r="DP313">
        <v>1</v>
      </c>
      <c r="DQ313">
        <v>1</v>
      </c>
      <c r="DU313">
        <v>1009</v>
      </c>
      <c r="DV313" t="s">
        <v>281</v>
      </c>
      <c r="DW313" t="s">
        <v>281</v>
      </c>
      <c r="DX313">
        <v>1000</v>
      </c>
      <c r="EE313">
        <v>40050625</v>
      </c>
      <c r="EF313">
        <v>1</v>
      </c>
      <c r="EG313" t="s">
        <v>20</v>
      </c>
      <c r="EH313">
        <v>0</v>
      </c>
      <c r="EI313" t="s">
        <v>3</v>
      </c>
      <c r="EJ313">
        <v>4</v>
      </c>
      <c r="EK313">
        <v>0</v>
      </c>
      <c r="EL313" t="s">
        <v>21</v>
      </c>
      <c r="EM313" t="s">
        <v>22</v>
      </c>
      <c r="EO313" t="s">
        <v>3</v>
      </c>
      <c r="EQ313">
        <v>0</v>
      </c>
      <c r="ER313">
        <v>104290.69</v>
      </c>
      <c r="ES313">
        <v>53233.52</v>
      </c>
      <c r="ET313">
        <v>0</v>
      </c>
      <c r="EU313">
        <v>0</v>
      </c>
      <c r="EV313">
        <v>51057.17</v>
      </c>
      <c r="EW313">
        <v>227.7</v>
      </c>
      <c r="EX313">
        <v>0</v>
      </c>
      <c r="EY313">
        <v>0</v>
      </c>
      <c r="FQ313">
        <v>0</v>
      </c>
      <c r="FR313">
        <f t="shared" si="267"/>
        <v>0</v>
      </c>
      <c r="FS313">
        <v>0</v>
      </c>
      <c r="FX313">
        <v>70</v>
      </c>
      <c r="FY313">
        <v>10</v>
      </c>
      <c r="GA313" t="s">
        <v>3</v>
      </c>
      <c r="GD313">
        <v>0</v>
      </c>
      <c r="GF313">
        <v>1881324607</v>
      </c>
      <c r="GG313">
        <v>2</v>
      </c>
      <c r="GH313">
        <v>1</v>
      </c>
      <c r="GI313">
        <v>-2</v>
      </c>
      <c r="GJ313">
        <v>0</v>
      </c>
      <c r="GK313">
        <f>ROUND(R313*(R12)/100,2)</f>
        <v>0</v>
      </c>
      <c r="GL313">
        <f t="shared" si="268"/>
        <v>0</v>
      </c>
      <c r="GM313">
        <f t="shared" si="269"/>
        <v>125397.86</v>
      </c>
      <c r="GN313">
        <f t="shared" si="270"/>
        <v>0</v>
      </c>
      <c r="GO313">
        <f t="shared" si="271"/>
        <v>0</v>
      </c>
      <c r="GP313">
        <f t="shared" si="272"/>
        <v>125397.86</v>
      </c>
      <c r="GR313">
        <v>0</v>
      </c>
      <c r="GS313">
        <v>0</v>
      </c>
      <c r="GT313">
        <v>0</v>
      </c>
      <c r="GU313" t="s">
        <v>3</v>
      </c>
      <c r="GV313">
        <f t="shared" si="273"/>
        <v>0</v>
      </c>
      <c r="GW313">
        <v>1</v>
      </c>
      <c r="GX313">
        <f t="shared" si="274"/>
        <v>0</v>
      </c>
      <c r="HA313">
        <v>0</v>
      </c>
      <c r="HB313">
        <v>0</v>
      </c>
      <c r="HC313">
        <f t="shared" si="275"/>
        <v>0</v>
      </c>
      <c r="IK313">
        <v>0</v>
      </c>
    </row>
    <row r="314" spans="1:245">
      <c r="A314">
        <v>17</v>
      </c>
      <c r="B314">
        <v>1</v>
      </c>
      <c r="C314">
        <f>ROW(SmtRes!A175)</f>
        <v>175</v>
      </c>
      <c r="D314">
        <f>ROW(EtalonRes!A160)</f>
        <v>160</v>
      </c>
      <c r="E314" t="s">
        <v>283</v>
      </c>
      <c r="F314" t="s">
        <v>284</v>
      </c>
      <c r="G314" t="s">
        <v>285</v>
      </c>
      <c r="H314" t="s">
        <v>281</v>
      </c>
      <c r="I314">
        <v>0.94499999999999995</v>
      </c>
      <c r="J314">
        <v>0</v>
      </c>
      <c r="O314">
        <f t="shared" si="236"/>
        <v>63484.19</v>
      </c>
      <c r="P314">
        <f t="shared" si="237"/>
        <v>53446.32</v>
      </c>
      <c r="Q314">
        <f t="shared" si="238"/>
        <v>1131.52</v>
      </c>
      <c r="R314">
        <f t="shared" si="239"/>
        <v>1.04</v>
      </c>
      <c r="S314">
        <f t="shared" si="240"/>
        <v>8906.35</v>
      </c>
      <c r="T314">
        <f t="shared" si="241"/>
        <v>0</v>
      </c>
      <c r="U314">
        <f t="shared" si="242"/>
        <v>34.123950000000001</v>
      </c>
      <c r="V314">
        <f t="shared" si="243"/>
        <v>0</v>
      </c>
      <c r="W314">
        <f t="shared" si="244"/>
        <v>0</v>
      </c>
      <c r="X314">
        <f t="shared" si="245"/>
        <v>6234.45</v>
      </c>
      <c r="Y314">
        <f t="shared" si="246"/>
        <v>890.64</v>
      </c>
      <c r="AA314">
        <v>42225948</v>
      </c>
      <c r="AB314">
        <f t="shared" si="247"/>
        <v>67179.039999999994</v>
      </c>
      <c r="AC314">
        <f t="shared" si="248"/>
        <v>56556.95</v>
      </c>
      <c r="AD314">
        <f t="shared" si="249"/>
        <v>1197.3800000000001</v>
      </c>
      <c r="AE314">
        <f t="shared" si="250"/>
        <v>1.1000000000000001</v>
      </c>
      <c r="AF314">
        <f t="shared" si="251"/>
        <v>9424.7099999999991</v>
      </c>
      <c r="AG314">
        <f t="shared" si="252"/>
        <v>0</v>
      </c>
      <c r="AH314">
        <f t="shared" si="253"/>
        <v>36.11</v>
      </c>
      <c r="AI314">
        <f t="shared" si="254"/>
        <v>0</v>
      </c>
      <c r="AJ314">
        <f t="shared" si="255"/>
        <v>0</v>
      </c>
      <c r="AK314">
        <v>67179.039999999994</v>
      </c>
      <c r="AL314">
        <v>56556.95</v>
      </c>
      <c r="AM314">
        <v>1197.3800000000001</v>
      </c>
      <c r="AN314">
        <v>1.1000000000000001</v>
      </c>
      <c r="AO314">
        <v>9424.7099999999991</v>
      </c>
      <c r="AP314">
        <v>0</v>
      </c>
      <c r="AQ314">
        <v>36.11</v>
      </c>
      <c r="AR314">
        <v>0</v>
      </c>
      <c r="AS314">
        <v>0</v>
      </c>
      <c r="AT314">
        <v>70</v>
      </c>
      <c r="AU314">
        <v>10</v>
      </c>
      <c r="AV314">
        <v>1</v>
      </c>
      <c r="AW314">
        <v>1</v>
      </c>
      <c r="AZ314">
        <v>1</v>
      </c>
      <c r="BA314">
        <v>1</v>
      </c>
      <c r="BB314">
        <v>1</v>
      </c>
      <c r="BC314">
        <v>1</v>
      </c>
      <c r="BD314" t="s">
        <v>3</v>
      </c>
      <c r="BE314" t="s">
        <v>3</v>
      </c>
      <c r="BF314" t="s">
        <v>3</v>
      </c>
      <c r="BG314" t="s">
        <v>3</v>
      </c>
      <c r="BH314">
        <v>0</v>
      </c>
      <c r="BI314">
        <v>4</v>
      </c>
      <c r="BJ314" t="s">
        <v>286</v>
      </c>
      <c r="BM314">
        <v>0</v>
      </c>
      <c r="BN314">
        <v>0</v>
      </c>
      <c r="BO314" t="s">
        <v>3</v>
      </c>
      <c r="BP314">
        <v>0</v>
      </c>
      <c r="BQ314">
        <v>1</v>
      </c>
      <c r="BR314">
        <v>0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 t="s">
        <v>3</v>
      </c>
      <c r="BZ314">
        <v>70</v>
      </c>
      <c r="CA314">
        <v>10</v>
      </c>
      <c r="CE314">
        <v>0</v>
      </c>
      <c r="CF314">
        <v>0</v>
      </c>
      <c r="CG314">
        <v>0</v>
      </c>
      <c r="CM314">
        <v>0</v>
      </c>
      <c r="CN314" t="s">
        <v>3</v>
      </c>
      <c r="CO314">
        <v>0</v>
      </c>
      <c r="CP314">
        <f t="shared" si="256"/>
        <v>63484.189999999995</v>
      </c>
      <c r="CQ314">
        <f t="shared" si="257"/>
        <v>56556.95</v>
      </c>
      <c r="CR314">
        <f t="shared" si="258"/>
        <v>1197.3800000000001</v>
      </c>
      <c r="CS314">
        <f t="shared" si="259"/>
        <v>1.1000000000000001</v>
      </c>
      <c r="CT314">
        <f t="shared" si="260"/>
        <v>9424.7099999999991</v>
      </c>
      <c r="CU314">
        <f t="shared" si="261"/>
        <v>0</v>
      </c>
      <c r="CV314">
        <f t="shared" si="262"/>
        <v>36.11</v>
      </c>
      <c r="CW314">
        <f t="shared" si="263"/>
        <v>0</v>
      </c>
      <c r="CX314">
        <f t="shared" si="264"/>
        <v>0</v>
      </c>
      <c r="CY314">
        <f t="shared" si="265"/>
        <v>6234.4449999999997</v>
      </c>
      <c r="CZ314">
        <f t="shared" si="266"/>
        <v>890.63499999999999</v>
      </c>
      <c r="DC314" t="s">
        <v>3</v>
      </c>
      <c r="DD314" t="s">
        <v>3</v>
      </c>
      <c r="DE314" t="s">
        <v>3</v>
      </c>
      <c r="DF314" t="s">
        <v>3</v>
      </c>
      <c r="DG314" t="s">
        <v>3</v>
      </c>
      <c r="DH314" t="s">
        <v>3</v>
      </c>
      <c r="DI314" t="s">
        <v>3</v>
      </c>
      <c r="DJ314" t="s">
        <v>3</v>
      </c>
      <c r="DK314" t="s">
        <v>3</v>
      </c>
      <c r="DL314" t="s">
        <v>3</v>
      </c>
      <c r="DM314" t="s">
        <v>3</v>
      </c>
      <c r="DN314">
        <v>0</v>
      </c>
      <c r="DO314">
        <v>0</v>
      </c>
      <c r="DP314">
        <v>1</v>
      </c>
      <c r="DQ314">
        <v>1</v>
      </c>
      <c r="DU314">
        <v>1009</v>
      </c>
      <c r="DV314" t="s">
        <v>281</v>
      </c>
      <c r="DW314" t="s">
        <v>281</v>
      </c>
      <c r="DX314">
        <v>1000</v>
      </c>
      <c r="EE314">
        <v>40050625</v>
      </c>
      <c r="EF314">
        <v>1</v>
      </c>
      <c r="EG314" t="s">
        <v>20</v>
      </c>
      <c r="EH314">
        <v>0</v>
      </c>
      <c r="EI314" t="s">
        <v>3</v>
      </c>
      <c r="EJ314">
        <v>4</v>
      </c>
      <c r="EK314">
        <v>0</v>
      </c>
      <c r="EL314" t="s">
        <v>21</v>
      </c>
      <c r="EM314" t="s">
        <v>22</v>
      </c>
      <c r="EO314" t="s">
        <v>3</v>
      </c>
      <c r="EQ314">
        <v>0</v>
      </c>
      <c r="ER314">
        <v>67179.039999999994</v>
      </c>
      <c r="ES314">
        <v>56556.95</v>
      </c>
      <c r="ET314">
        <v>1197.3800000000001</v>
      </c>
      <c r="EU314">
        <v>1.1000000000000001</v>
      </c>
      <c r="EV314">
        <v>9424.7099999999991</v>
      </c>
      <c r="EW314">
        <v>36.11</v>
      </c>
      <c r="EX314">
        <v>0</v>
      </c>
      <c r="EY314">
        <v>0</v>
      </c>
      <c r="FQ314">
        <v>0</v>
      </c>
      <c r="FR314">
        <f t="shared" si="267"/>
        <v>0</v>
      </c>
      <c r="FS314">
        <v>0</v>
      </c>
      <c r="FX314">
        <v>70</v>
      </c>
      <c r="FY314">
        <v>10</v>
      </c>
      <c r="GA314" t="s">
        <v>3</v>
      </c>
      <c r="GD314">
        <v>0</v>
      </c>
      <c r="GF314">
        <v>861890752</v>
      </c>
      <c r="GG314">
        <v>2</v>
      </c>
      <c r="GH314">
        <v>1</v>
      </c>
      <c r="GI314">
        <v>-2</v>
      </c>
      <c r="GJ314">
        <v>0</v>
      </c>
      <c r="GK314">
        <f>ROUND(R314*(R12)/100,2)</f>
        <v>1.1200000000000001</v>
      </c>
      <c r="GL314">
        <f t="shared" si="268"/>
        <v>0</v>
      </c>
      <c r="GM314">
        <f t="shared" si="269"/>
        <v>70610.399999999994</v>
      </c>
      <c r="GN314">
        <f t="shared" si="270"/>
        <v>0</v>
      </c>
      <c r="GO314">
        <f t="shared" si="271"/>
        <v>0</v>
      </c>
      <c r="GP314">
        <f t="shared" si="272"/>
        <v>70610.399999999994</v>
      </c>
      <c r="GR314">
        <v>0</v>
      </c>
      <c r="GS314">
        <v>0</v>
      </c>
      <c r="GT314">
        <v>0</v>
      </c>
      <c r="GU314" t="s">
        <v>3</v>
      </c>
      <c r="GV314">
        <f t="shared" si="273"/>
        <v>0</v>
      </c>
      <c r="GW314">
        <v>1</v>
      </c>
      <c r="GX314">
        <f t="shared" si="274"/>
        <v>0</v>
      </c>
      <c r="HA314">
        <v>0</v>
      </c>
      <c r="HB314">
        <v>0</v>
      </c>
      <c r="HC314">
        <f t="shared" si="275"/>
        <v>0</v>
      </c>
      <c r="IK314">
        <v>0</v>
      </c>
    </row>
    <row r="315" spans="1:245">
      <c r="A315">
        <v>18</v>
      </c>
      <c r="B315">
        <v>1</v>
      </c>
      <c r="C315">
        <v>172</v>
      </c>
      <c r="E315" t="s">
        <v>287</v>
      </c>
      <c r="F315" t="s">
        <v>288</v>
      </c>
      <c r="G315" t="s">
        <v>289</v>
      </c>
      <c r="H315" t="s">
        <v>281</v>
      </c>
      <c r="I315">
        <f>I314*J315</f>
        <v>0.61147099999999999</v>
      </c>
      <c r="J315">
        <v>0.64705925925925933</v>
      </c>
      <c r="O315">
        <f t="shared" si="236"/>
        <v>20068.400000000001</v>
      </c>
      <c r="P315">
        <f t="shared" si="237"/>
        <v>20068.400000000001</v>
      </c>
      <c r="Q315">
        <f t="shared" si="238"/>
        <v>0</v>
      </c>
      <c r="R315">
        <f t="shared" si="239"/>
        <v>0</v>
      </c>
      <c r="S315">
        <f t="shared" si="240"/>
        <v>0</v>
      </c>
      <c r="T315">
        <f t="shared" si="241"/>
        <v>0</v>
      </c>
      <c r="U315">
        <f t="shared" si="242"/>
        <v>0</v>
      </c>
      <c r="V315">
        <f t="shared" si="243"/>
        <v>0</v>
      </c>
      <c r="W315">
        <f t="shared" si="244"/>
        <v>0</v>
      </c>
      <c r="X315">
        <f t="shared" si="245"/>
        <v>0</v>
      </c>
      <c r="Y315">
        <f t="shared" si="246"/>
        <v>0</v>
      </c>
      <c r="AA315">
        <v>42225948</v>
      </c>
      <c r="AB315">
        <f t="shared" si="247"/>
        <v>32819.879999999997</v>
      </c>
      <c r="AC315">
        <f t="shared" si="248"/>
        <v>32819.879999999997</v>
      </c>
      <c r="AD315">
        <f t="shared" si="249"/>
        <v>0</v>
      </c>
      <c r="AE315">
        <f t="shared" si="250"/>
        <v>0</v>
      </c>
      <c r="AF315">
        <f t="shared" si="251"/>
        <v>0</v>
      </c>
      <c r="AG315">
        <f t="shared" si="252"/>
        <v>0</v>
      </c>
      <c r="AH315">
        <f t="shared" si="253"/>
        <v>0</v>
      </c>
      <c r="AI315">
        <f t="shared" si="254"/>
        <v>0</v>
      </c>
      <c r="AJ315">
        <f t="shared" si="255"/>
        <v>0</v>
      </c>
      <c r="AK315">
        <v>32819.879999999997</v>
      </c>
      <c r="AL315">
        <v>32819.879999999997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70</v>
      </c>
      <c r="AU315">
        <v>10</v>
      </c>
      <c r="AV315">
        <v>1</v>
      </c>
      <c r="AW315">
        <v>1</v>
      </c>
      <c r="AZ315">
        <v>1</v>
      </c>
      <c r="BA315">
        <v>1</v>
      </c>
      <c r="BB315">
        <v>1</v>
      </c>
      <c r="BC315">
        <v>1</v>
      </c>
      <c r="BD315" t="s">
        <v>3</v>
      </c>
      <c r="BE315" t="s">
        <v>3</v>
      </c>
      <c r="BF315" t="s">
        <v>3</v>
      </c>
      <c r="BG315" t="s">
        <v>3</v>
      </c>
      <c r="BH315">
        <v>3</v>
      </c>
      <c r="BI315">
        <v>4</v>
      </c>
      <c r="BJ315" t="s">
        <v>290</v>
      </c>
      <c r="BM315">
        <v>0</v>
      </c>
      <c r="BN315">
        <v>0</v>
      </c>
      <c r="BO315" t="s">
        <v>3</v>
      </c>
      <c r="BP315">
        <v>0</v>
      </c>
      <c r="BQ315">
        <v>1</v>
      </c>
      <c r="BR315">
        <v>0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 t="s">
        <v>3</v>
      </c>
      <c r="BZ315">
        <v>70</v>
      </c>
      <c r="CA315">
        <v>10</v>
      </c>
      <c r="CE315">
        <v>0</v>
      </c>
      <c r="CF315">
        <v>0</v>
      </c>
      <c r="CG315">
        <v>0</v>
      </c>
      <c r="CM315">
        <v>0</v>
      </c>
      <c r="CN315" t="s">
        <v>3</v>
      </c>
      <c r="CO315">
        <v>0</v>
      </c>
      <c r="CP315">
        <f t="shared" si="256"/>
        <v>20068.400000000001</v>
      </c>
      <c r="CQ315">
        <f t="shared" si="257"/>
        <v>32819.879999999997</v>
      </c>
      <c r="CR315">
        <f t="shared" si="258"/>
        <v>0</v>
      </c>
      <c r="CS315">
        <f t="shared" si="259"/>
        <v>0</v>
      </c>
      <c r="CT315">
        <f t="shared" si="260"/>
        <v>0</v>
      </c>
      <c r="CU315">
        <f t="shared" si="261"/>
        <v>0</v>
      </c>
      <c r="CV315">
        <f t="shared" si="262"/>
        <v>0</v>
      </c>
      <c r="CW315">
        <f t="shared" si="263"/>
        <v>0</v>
      </c>
      <c r="CX315">
        <f t="shared" si="264"/>
        <v>0</v>
      </c>
      <c r="CY315">
        <f t="shared" si="265"/>
        <v>0</v>
      </c>
      <c r="CZ315">
        <f t="shared" si="266"/>
        <v>0</v>
      </c>
      <c r="DC315" t="s">
        <v>3</v>
      </c>
      <c r="DD315" t="s">
        <v>3</v>
      </c>
      <c r="DE315" t="s">
        <v>3</v>
      </c>
      <c r="DF315" t="s">
        <v>3</v>
      </c>
      <c r="DG315" t="s">
        <v>3</v>
      </c>
      <c r="DH315" t="s">
        <v>3</v>
      </c>
      <c r="DI315" t="s">
        <v>3</v>
      </c>
      <c r="DJ315" t="s">
        <v>3</v>
      </c>
      <c r="DK315" t="s">
        <v>3</v>
      </c>
      <c r="DL315" t="s">
        <v>3</v>
      </c>
      <c r="DM315" t="s">
        <v>3</v>
      </c>
      <c r="DN315">
        <v>0</v>
      </c>
      <c r="DO315">
        <v>0</v>
      </c>
      <c r="DP315">
        <v>1</v>
      </c>
      <c r="DQ315">
        <v>1</v>
      </c>
      <c r="DU315">
        <v>1009</v>
      </c>
      <c r="DV315" t="s">
        <v>281</v>
      </c>
      <c r="DW315" t="s">
        <v>281</v>
      </c>
      <c r="DX315">
        <v>1000</v>
      </c>
      <c r="EE315">
        <v>40050625</v>
      </c>
      <c r="EF315">
        <v>1</v>
      </c>
      <c r="EG315" t="s">
        <v>20</v>
      </c>
      <c r="EH315">
        <v>0</v>
      </c>
      <c r="EI315" t="s">
        <v>3</v>
      </c>
      <c r="EJ315">
        <v>4</v>
      </c>
      <c r="EK315">
        <v>0</v>
      </c>
      <c r="EL315" t="s">
        <v>21</v>
      </c>
      <c r="EM315" t="s">
        <v>22</v>
      </c>
      <c r="EO315" t="s">
        <v>3</v>
      </c>
      <c r="EQ315">
        <v>0</v>
      </c>
      <c r="ER315">
        <v>32819.879999999997</v>
      </c>
      <c r="ES315">
        <v>32819.879999999997</v>
      </c>
      <c r="ET315">
        <v>0</v>
      </c>
      <c r="EU315">
        <v>0</v>
      </c>
      <c r="EV315">
        <v>0</v>
      </c>
      <c r="EW315">
        <v>0</v>
      </c>
      <c r="EX315">
        <v>0</v>
      </c>
      <c r="FQ315">
        <v>0</v>
      </c>
      <c r="FR315">
        <f t="shared" si="267"/>
        <v>0</v>
      </c>
      <c r="FS315">
        <v>0</v>
      </c>
      <c r="FX315">
        <v>70</v>
      </c>
      <c r="FY315">
        <v>10</v>
      </c>
      <c r="GA315" t="s">
        <v>3</v>
      </c>
      <c r="GD315">
        <v>0</v>
      </c>
      <c r="GF315">
        <v>-1290471652</v>
      </c>
      <c r="GG315">
        <v>2</v>
      </c>
      <c r="GH315">
        <v>1</v>
      </c>
      <c r="GI315">
        <v>-2</v>
      </c>
      <c r="GJ315">
        <v>0</v>
      </c>
      <c r="GK315">
        <f>ROUND(R315*(R12)/100,2)</f>
        <v>0</v>
      </c>
      <c r="GL315">
        <f t="shared" si="268"/>
        <v>0</v>
      </c>
      <c r="GM315">
        <f t="shared" si="269"/>
        <v>20068.400000000001</v>
      </c>
      <c r="GN315">
        <f t="shared" si="270"/>
        <v>0</v>
      </c>
      <c r="GO315">
        <f t="shared" si="271"/>
        <v>0</v>
      </c>
      <c r="GP315">
        <f t="shared" si="272"/>
        <v>20068.400000000001</v>
      </c>
      <c r="GR315">
        <v>0</v>
      </c>
      <c r="GS315">
        <v>0</v>
      </c>
      <c r="GT315">
        <v>0</v>
      </c>
      <c r="GU315" t="s">
        <v>3</v>
      </c>
      <c r="GV315">
        <f t="shared" si="273"/>
        <v>0</v>
      </c>
      <c r="GW315">
        <v>1</v>
      </c>
      <c r="GX315">
        <f t="shared" si="274"/>
        <v>0</v>
      </c>
      <c r="HA315">
        <v>0</v>
      </c>
      <c r="HB315">
        <v>0</v>
      </c>
      <c r="HC315">
        <f t="shared" si="275"/>
        <v>0</v>
      </c>
      <c r="IK315">
        <v>0</v>
      </c>
    </row>
    <row r="316" spans="1:245">
      <c r="A316">
        <v>18</v>
      </c>
      <c r="B316">
        <v>1</v>
      </c>
      <c r="C316">
        <v>173</v>
      </c>
      <c r="E316" t="s">
        <v>291</v>
      </c>
      <c r="F316" t="s">
        <v>292</v>
      </c>
      <c r="G316" t="s">
        <v>293</v>
      </c>
      <c r="H316" t="s">
        <v>281</v>
      </c>
      <c r="I316">
        <f>I314*J316</f>
        <v>0.33352900000000002</v>
      </c>
      <c r="J316">
        <v>0.35294074074074078</v>
      </c>
      <c r="O316">
        <f t="shared" si="236"/>
        <v>12763.67</v>
      </c>
      <c r="P316">
        <f t="shared" si="237"/>
        <v>12763.67</v>
      </c>
      <c r="Q316">
        <f t="shared" si="238"/>
        <v>0</v>
      </c>
      <c r="R316">
        <f t="shared" si="239"/>
        <v>0</v>
      </c>
      <c r="S316">
        <f t="shared" si="240"/>
        <v>0</v>
      </c>
      <c r="T316">
        <f t="shared" si="241"/>
        <v>0</v>
      </c>
      <c r="U316">
        <f t="shared" si="242"/>
        <v>0</v>
      </c>
      <c r="V316">
        <f t="shared" si="243"/>
        <v>0</v>
      </c>
      <c r="W316">
        <f t="shared" si="244"/>
        <v>0</v>
      </c>
      <c r="X316">
        <f t="shared" si="245"/>
        <v>0</v>
      </c>
      <c r="Y316">
        <f t="shared" si="246"/>
        <v>0</v>
      </c>
      <c r="AA316">
        <v>42225948</v>
      </c>
      <c r="AB316">
        <f t="shared" si="247"/>
        <v>38268.54</v>
      </c>
      <c r="AC316">
        <f t="shared" si="248"/>
        <v>38268.54</v>
      </c>
      <c r="AD316">
        <f t="shared" si="249"/>
        <v>0</v>
      </c>
      <c r="AE316">
        <f t="shared" si="250"/>
        <v>0</v>
      </c>
      <c r="AF316">
        <f t="shared" si="251"/>
        <v>0</v>
      </c>
      <c r="AG316">
        <f t="shared" si="252"/>
        <v>0</v>
      </c>
      <c r="AH316">
        <f t="shared" si="253"/>
        <v>0</v>
      </c>
      <c r="AI316">
        <f t="shared" si="254"/>
        <v>0</v>
      </c>
      <c r="AJ316">
        <f t="shared" si="255"/>
        <v>0</v>
      </c>
      <c r="AK316">
        <v>38268.54</v>
      </c>
      <c r="AL316">
        <v>38268.54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70</v>
      </c>
      <c r="AU316">
        <v>10</v>
      </c>
      <c r="AV316">
        <v>1</v>
      </c>
      <c r="AW316">
        <v>1</v>
      </c>
      <c r="AZ316">
        <v>1</v>
      </c>
      <c r="BA316">
        <v>1</v>
      </c>
      <c r="BB316">
        <v>1</v>
      </c>
      <c r="BC316">
        <v>1</v>
      </c>
      <c r="BD316" t="s">
        <v>3</v>
      </c>
      <c r="BE316" t="s">
        <v>3</v>
      </c>
      <c r="BF316" t="s">
        <v>3</v>
      </c>
      <c r="BG316" t="s">
        <v>3</v>
      </c>
      <c r="BH316">
        <v>3</v>
      </c>
      <c r="BI316">
        <v>4</v>
      </c>
      <c r="BJ316" t="s">
        <v>294</v>
      </c>
      <c r="BM316">
        <v>0</v>
      </c>
      <c r="BN316">
        <v>0</v>
      </c>
      <c r="BO316" t="s">
        <v>3</v>
      </c>
      <c r="BP316">
        <v>0</v>
      </c>
      <c r="BQ316">
        <v>1</v>
      </c>
      <c r="BR316">
        <v>0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 t="s">
        <v>3</v>
      </c>
      <c r="BZ316">
        <v>70</v>
      </c>
      <c r="CA316">
        <v>10</v>
      </c>
      <c r="CE316">
        <v>0</v>
      </c>
      <c r="CF316">
        <v>0</v>
      </c>
      <c r="CG316">
        <v>0</v>
      </c>
      <c r="CM316">
        <v>0</v>
      </c>
      <c r="CN316" t="s">
        <v>3</v>
      </c>
      <c r="CO316">
        <v>0</v>
      </c>
      <c r="CP316">
        <f t="shared" si="256"/>
        <v>12763.67</v>
      </c>
      <c r="CQ316">
        <f t="shared" si="257"/>
        <v>38268.54</v>
      </c>
      <c r="CR316">
        <f t="shared" si="258"/>
        <v>0</v>
      </c>
      <c r="CS316">
        <f t="shared" si="259"/>
        <v>0</v>
      </c>
      <c r="CT316">
        <f t="shared" si="260"/>
        <v>0</v>
      </c>
      <c r="CU316">
        <f t="shared" si="261"/>
        <v>0</v>
      </c>
      <c r="CV316">
        <f t="shared" si="262"/>
        <v>0</v>
      </c>
      <c r="CW316">
        <f t="shared" si="263"/>
        <v>0</v>
      </c>
      <c r="CX316">
        <f t="shared" si="264"/>
        <v>0</v>
      </c>
      <c r="CY316">
        <f t="shared" si="265"/>
        <v>0</v>
      </c>
      <c r="CZ316">
        <f t="shared" si="266"/>
        <v>0</v>
      </c>
      <c r="DC316" t="s">
        <v>3</v>
      </c>
      <c r="DD316" t="s">
        <v>3</v>
      </c>
      <c r="DE316" t="s">
        <v>3</v>
      </c>
      <c r="DF316" t="s">
        <v>3</v>
      </c>
      <c r="DG316" t="s">
        <v>3</v>
      </c>
      <c r="DH316" t="s">
        <v>3</v>
      </c>
      <c r="DI316" t="s">
        <v>3</v>
      </c>
      <c r="DJ316" t="s">
        <v>3</v>
      </c>
      <c r="DK316" t="s">
        <v>3</v>
      </c>
      <c r="DL316" t="s">
        <v>3</v>
      </c>
      <c r="DM316" t="s">
        <v>3</v>
      </c>
      <c r="DN316">
        <v>0</v>
      </c>
      <c r="DO316">
        <v>0</v>
      </c>
      <c r="DP316">
        <v>1</v>
      </c>
      <c r="DQ316">
        <v>1</v>
      </c>
      <c r="DU316">
        <v>1009</v>
      </c>
      <c r="DV316" t="s">
        <v>281</v>
      </c>
      <c r="DW316" t="s">
        <v>281</v>
      </c>
      <c r="DX316">
        <v>1000</v>
      </c>
      <c r="EE316">
        <v>40050625</v>
      </c>
      <c r="EF316">
        <v>1</v>
      </c>
      <c r="EG316" t="s">
        <v>20</v>
      </c>
      <c r="EH316">
        <v>0</v>
      </c>
      <c r="EI316" t="s">
        <v>3</v>
      </c>
      <c r="EJ316">
        <v>4</v>
      </c>
      <c r="EK316">
        <v>0</v>
      </c>
      <c r="EL316" t="s">
        <v>21</v>
      </c>
      <c r="EM316" t="s">
        <v>22</v>
      </c>
      <c r="EO316" t="s">
        <v>3</v>
      </c>
      <c r="EQ316">
        <v>0</v>
      </c>
      <c r="ER316">
        <v>38268.54</v>
      </c>
      <c r="ES316">
        <v>38268.54</v>
      </c>
      <c r="ET316">
        <v>0</v>
      </c>
      <c r="EU316">
        <v>0</v>
      </c>
      <c r="EV316">
        <v>0</v>
      </c>
      <c r="EW316">
        <v>0</v>
      </c>
      <c r="EX316">
        <v>0</v>
      </c>
      <c r="FQ316">
        <v>0</v>
      </c>
      <c r="FR316">
        <f t="shared" si="267"/>
        <v>0</v>
      </c>
      <c r="FS316">
        <v>0</v>
      </c>
      <c r="FX316">
        <v>70</v>
      </c>
      <c r="FY316">
        <v>10</v>
      </c>
      <c r="GA316" t="s">
        <v>3</v>
      </c>
      <c r="GD316">
        <v>0</v>
      </c>
      <c r="GF316">
        <v>326158175</v>
      </c>
      <c r="GG316">
        <v>2</v>
      </c>
      <c r="GH316">
        <v>1</v>
      </c>
      <c r="GI316">
        <v>-2</v>
      </c>
      <c r="GJ316">
        <v>0</v>
      </c>
      <c r="GK316">
        <f>ROUND(R316*(R12)/100,2)</f>
        <v>0</v>
      </c>
      <c r="GL316">
        <f t="shared" si="268"/>
        <v>0</v>
      </c>
      <c r="GM316">
        <f t="shared" si="269"/>
        <v>12763.67</v>
      </c>
      <c r="GN316">
        <f t="shared" si="270"/>
        <v>0</v>
      </c>
      <c r="GO316">
        <f t="shared" si="271"/>
        <v>0</v>
      </c>
      <c r="GP316">
        <f t="shared" si="272"/>
        <v>12763.67</v>
      </c>
      <c r="GR316">
        <v>0</v>
      </c>
      <c r="GS316">
        <v>0</v>
      </c>
      <c r="GT316">
        <v>0</v>
      </c>
      <c r="GU316" t="s">
        <v>3</v>
      </c>
      <c r="GV316">
        <f t="shared" si="273"/>
        <v>0</v>
      </c>
      <c r="GW316">
        <v>1</v>
      </c>
      <c r="GX316">
        <f t="shared" si="274"/>
        <v>0</v>
      </c>
      <c r="HA316">
        <v>0</v>
      </c>
      <c r="HB316">
        <v>0</v>
      </c>
      <c r="HC316">
        <f t="shared" si="275"/>
        <v>0</v>
      </c>
      <c r="IK316">
        <v>0</v>
      </c>
    </row>
    <row r="317" spans="1:245">
      <c r="A317">
        <v>17</v>
      </c>
      <c r="B317">
        <v>1</v>
      </c>
      <c r="C317">
        <f>ROW(SmtRes!A181)</f>
        <v>181</v>
      </c>
      <c r="D317">
        <f>ROW(EtalonRes!A165)</f>
        <v>165</v>
      </c>
      <c r="E317" t="s">
        <v>295</v>
      </c>
      <c r="F317" t="s">
        <v>296</v>
      </c>
      <c r="G317" t="s">
        <v>297</v>
      </c>
      <c r="H317" t="s">
        <v>18</v>
      </c>
      <c r="I317">
        <f>ROUND(32.4/100,9)</f>
        <v>0.32400000000000001</v>
      </c>
      <c r="J317">
        <v>0</v>
      </c>
      <c r="O317">
        <f t="shared" si="236"/>
        <v>12581.29</v>
      </c>
      <c r="P317">
        <f t="shared" si="237"/>
        <v>10169.24</v>
      </c>
      <c r="Q317">
        <f t="shared" si="238"/>
        <v>12.68</v>
      </c>
      <c r="R317">
        <f t="shared" si="239"/>
        <v>1.67</v>
      </c>
      <c r="S317">
        <f t="shared" si="240"/>
        <v>2399.37</v>
      </c>
      <c r="T317">
        <f t="shared" si="241"/>
        <v>0</v>
      </c>
      <c r="U317">
        <f t="shared" si="242"/>
        <v>11.139120000000002</v>
      </c>
      <c r="V317">
        <f t="shared" si="243"/>
        <v>0</v>
      </c>
      <c r="W317">
        <f t="shared" si="244"/>
        <v>0</v>
      </c>
      <c r="X317">
        <f t="shared" si="245"/>
        <v>1679.56</v>
      </c>
      <c r="Y317">
        <f t="shared" si="246"/>
        <v>239.94</v>
      </c>
      <c r="AA317">
        <v>42225948</v>
      </c>
      <c r="AB317">
        <f t="shared" si="247"/>
        <v>38831.129999999997</v>
      </c>
      <c r="AC317">
        <f t="shared" si="248"/>
        <v>31386.55</v>
      </c>
      <c r="AD317">
        <f t="shared" si="249"/>
        <v>39.130000000000003</v>
      </c>
      <c r="AE317">
        <f t="shared" si="250"/>
        <v>5.15</v>
      </c>
      <c r="AF317">
        <f t="shared" si="251"/>
        <v>7405.45</v>
      </c>
      <c r="AG317">
        <f t="shared" si="252"/>
        <v>0</v>
      </c>
      <c r="AH317">
        <f t="shared" si="253"/>
        <v>34.380000000000003</v>
      </c>
      <c r="AI317">
        <f t="shared" si="254"/>
        <v>0</v>
      </c>
      <c r="AJ317">
        <f t="shared" si="255"/>
        <v>0</v>
      </c>
      <c r="AK317">
        <v>38831.129999999997</v>
      </c>
      <c r="AL317">
        <v>31386.55</v>
      </c>
      <c r="AM317">
        <v>39.130000000000003</v>
      </c>
      <c r="AN317">
        <v>5.15</v>
      </c>
      <c r="AO317">
        <v>7405.45</v>
      </c>
      <c r="AP317">
        <v>0</v>
      </c>
      <c r="AQ317">
        <v>34.380000000000003</v>
      </c>
      <c r="AR317">
        <v>0</v>
      </c>
      <c r="AS317">
        <v>0</v>
      </c>
      <c r="AT317">
        <v>70</v>
      </c>
      <c r="AU317">
        <v>10</v>
      </c>
      <c r="AV317">
        <v>1</v>
      </c>
      <c r="AW317">
        <v>1</v>
      </c>
      <c r="AZ317">
        <v>1</v>
      </c>
      <c r="BA317">
        <v>1</v>
      </c>
      <c r="BB317">
        <v>1</v>
      </c>
      <c r="BC317">
        <v>1</v>
      </c>
      <c r="BD317" t="s">
        <v>3</v>
      </c>
      <c r="BE317" t="s">
        <v>3</v>
      </c>
      <c r="BF317" t="s">
        <v>3</v>
      </c>
      <c r="BG317" t="s">
        <v>3</v>
      </c>
      <c r="BH317">
        <v>0</v>
      </c>
      <c r="BI317">
        <v>4</v>
      </c>
      <c r="BJ317" t="s">
        <v>298</v>
      </c>
      <c r="BM317">
        <v>0</v>
      </c>
      <c r="BN317">
        <v>0</v>
      </c>
      <c r="BO317" t="s">
        <v>3</v>
      </c>
      <c r="BP317">
        <v>0</v>
      </c>
      <c r="BQ317">
        <v>1</v>
      </c>
      <c r="BR317">
        <v>0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 t="s">
        <v>3</v>
      </c>
      <c r="BZ317">
        <v>70</v>
      </c>
      <c r="CA317">
        <v>10</v>
      </c>
      <c r="CE317">
        <v>0</v>
      </c>
      <c r="CF317">
        <v>0</v>
      </c>
      <c r="CG317">
        <v>0</v>
      </c>
      <c r="CM317">
        <v>0</v>
      </c>
      <c r="CN317" t="s">
        <v>3</v>
      </c>
      <c r="CO317">
        <v>0</v>
      </c>
      <c r="CP317">
        <f t="shared" si="256"/>
        <v>12581.29</v>
      </c>
      <c r="CQ317">
        <f t="shared" si="257"/>
        <v>31386.55</v>
      </c>
      <c r="CR317">
        <f t="shared" si="258"/>
        <v>39.130000000000003</v>
      </c>
      <c r="CS317">
        <f t="shared" si="259"/>
        <v>5.15</v>
      </c>
      <c r="CT317">
        <f t="shared" si="260"/>
        <v>7405.45</v>
      </c>
      <c r="CU317">
        <f t="shared" si="261"/>
        <v>0</v>
      </c>
      <c r="CV317">
        <f t="shared" si="262"/>
        <v>34.380000000000003</v>
      </c>
      <c r="CW317">
        <f t="shared" si="263"/>
        <v>0</v>
      </c>
      <c r="CX317">
        <f t="shared" si="264"/>
        <v>0</v>
      </c>
      <c r="CY317">
        <f t="shared" si="265"/>
        <v>1679.559</v>
      </c>
      <c r="CZ317">
        <f t="shared" si="266"/>
        <v>239.93699999999998</v>
      </c>
      <c r="DC317" t="s">
        <v>3</v>
      </c>
      <c r="DD317" t="s">
        <v>3</v>
      </c>
      <c r="DE317" t="s">
        <v>3</v>
      </c>
      <c r="DF317" t="s">
        <v>3</v>
      </c>
      <c r="DG317" t="s">
        <v>3</v>
      </c>
      <c r="DH317" t="s">
        <v>3</v>
      </c>
      <c r="DI317" t="s">
        <v>3</v>
      </c>
      <c r="DJ317" t="s">
        <v>3</v>
      </c>
      <c r="DK317" t="s">
        <v>3</v>
      </c>
      <c r="DL317" t="s">
        <v>3</v>
      </c>
      <c r="DM317" t="s">
        <v>3</v>
      </c>
      <c r="DN317">
        <v>0</v>
      </c>
      <c r="DO317">
        <v>0</v>
      </c>
      <c r="DP317">
        <v>1</v>
      </c>
      <c r="DQ317">
        <v>1</v>
      </c>
      <c r="DU317">
        <v>1005</v>
      </c>
      <c r="DV317" t="s">
        <v>18</v>
      </c>
      <c r="DW317" t="s">
        <v>18</v>
      </c>
      <c r="DX317">
        <v>100</v>
      </c>
      <c r="EE317">
        <v>40050625</v>
      </c>
      <c r="EF317">
        <v>1</v>
      </c>
      <c r="EG317" t="s">
        <v>20</v>
      </c>
      <c r="EH317">
        <v>0</v>
      </c>
      <c r="EI317" t="s">
        <v>3</v>
      </c>
      <c r="EJ317">
        <v>4</v>
      </c>
      <c r="EK317">
        <v>0</v>
      </c>
      <c r="EL317" t="s">
        <v>21</v>
      </c>
      <c r="EM317" t="s">
        <v>22</v>
      </c>
      <c r="EO317" t="s">
        <v>3</v>
      </c>
      <c r="EQ317">
        <v>0</v>
      </c>
      <c r="ER317">
        <v>38831.129999999997</v>
      </c>
      <c r="ES317">
        <v>31386.55</v>
      </c>
      <c r="ET317">
        <v>39.130000000000003</v>
      </c>
      <c r="EU317">
        <v>5.15</v>
      </c>
      <c r="EV317">
        <v>7405.45</v>
      </c>
      <c r="EW317">
        <v>34.380000000000003</v>
      </c>
      <c r="EX317">
        <v>0</v>
      </c>
      <c r="EY317">
        <v>0</v>
      </c>
      <c r="FQ317">
        <v>0</v>
      </c>
      <c r="FR317">
        <f t="shared" si="267"/>
        <v>0</v>
      </c>
      <c r="FS317">
        <v>0</v>
      </c>
      <c r="FX317">
        <v>70</v>
      </c>
      <c r="FY317">
        <v>10</v>
      </c>
      <c r="GA317" t="s">
        <v>3</v>
      </c>
      <c r="GD317">
        <v>0</v>
      </c>
      <c r="GF317">
        <v>-1634628874</v>
      </c>
      <c r="GG317">
        <v>2</v>
      </c>
      <c r="GH317">
        <v>1</v>
      </c>
      <c r="GI317">
        <v>-2</v>
      </c>
      <c r="GJ317">
        <v>0</v>
      </c>
      <c r="GK317">
        <f>ROUND(R317*(R12)/100,2)</f>
        <v>1.8</v>
      </c>
      <c r="GL317">
        <f t="shared" si="268"/>
        <v>0</v>
      </c>
      <c r="GM317">
        <f t="shared" si="269"/>
        <v>14502.59</v>
      </c>
      <c r="GN317">
        <f t="shared" si="270"/>
        <v>0</v>
      </c>
      <c r="GO317">
        <f t="shared" si="271"/>
        <v>0</v>
      </c>
      <c r="GP317">
        <f t="shared" si="272"/>
        <v>14502.59</v>
      </c>
      <c r="GR317">
        <v>0</v>
      </c>
      <c r="GS317">
        <v>0</v>
      </c>
      <c r="GT317">
        <v>0</v>
      </c>
      <c r="GU317" t="s">
        <v>3</v>
      </c>
      <c r="GV317">
        <f t="shared" si="273"/>
        <v>0</v>
      </c>
      <c r="GW317">
        <v>1</v>
      </c>
      <c r="GX317">
        <f t="shared" si="274"/>
        <v>0</v>
      </c>
      <c r="HA317">
        <v>0</v>
      </c>
      <c r="HB317">
        <v>0</v>
      </c>
      <c r="HC317">
        <f t="shared" si="275"/>
        <v>0</v>
      </c>
      <c r="IK317">
        <v>0</v>
      </c>
    </row>
    <row r="318" spans="1:245">
      <c r="A318">
        <v>18</v>
      </c>
      <c r="B318">
        <v>1</v>
      </c>
      <c r="C318">
        <v>179</v>
      </c>
      <c r="E318" t="s">
        <v>299</v>
      </c>
      <c r="F318" t="s">
        <v>300</v>
      </c>
      <c r="G318" t="s">
        <v>301</v>
      </c>
      <c r="H318" t="s">
        <v>302</v>
      </c>
      <c r="I318">
        <f>I317*J318</f>
        <v>-33.048000000000002</v>
      </c>
      <c r="J318">
        <v>-102</v>
      </c>
      <c r="O318">
        <f t="shared" si="236"/>
        <v>-10131.86</v>
      </c>
      <c r="P318">
        <f t="shared" si="237"/>
        <v>-10131.86</v>
      </c>
      <c r="Q318">
        <f t="shared" si="238"/>
        <v>0</v>
      </c>
      <c r="R318">
        <f t="shared" si="239"/>
        <v>0</v>
      </c>
      <c r="S318">
        <f t="shared" si="240"/>
        <v>0</v>
      </c>
      <c r="T318">
        <f t="shared" si="241"/>
        <v>0</v>
      </c>
      <c r="U318">
        <f t="shared" si="242"/>
        <v>0</v>
      </c>
      <c r="V318">
        <f t="shared" si="243"/>
        <v>0</v>
      </c>
      <c r="W318">
        <f t="shared" si="244"/>
        <v>0</v>
      </c>
      <c r="X318">
        <f t="shared" si="245"/>
        <v>0</v>
      </c>
      <c r="Y318">
        <f t="shared" si="246"/>
        <v>0</v>
      </c>
      <c r="AA318">
        <v>42225948</v>
      </c>
      <c r="AB318">
        <f t="shared" si="247"/>
        <v>306.58</v>
      </c>
      <c r="AC318">
        <f t="shared" si="248"/>
        <v>306.58</v>
      </c>
      <c r="AD318">
        <f t="shared" si="249"/>
        <v>0</v>
      </c>
      <c r="AE318">
        <f t="shared" si="250"/>
        <v>0</v>
      </c>
      <c r="AF318">
        <f t="shared" si="251"/>
        <v>0</v>
      </c>
      <c r="AG318">
        <f t="shared" si="252"/>
        <v>0</v>
      </c>
      <c r="AH318">
        <f t="shared" si="253"/>
        <v>0</v>
      </c>
      <c r="AI318">
        <f t="shared" si="254"/>
        <v>0</v>
      </c>
      <c r="AJ318">
        <f t="shared" si="255"/>
        <v>0</v>
      </c>
      <c r="AK318">
        <v>306.58</v>
      </c>
      <c r="AL318">
        <v>306.58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70</v>
      </c>
      <c r="AU318">
        <v>10</v>
      </c>
      <c r="AV318">
        <v>1</v>
      </c>
      <c r="AW318">
        <v>1</v>
      </c>
      <c r="AZ318">
        <v>1</v>
      </c>
      <c r="BA318">
        <v>1</v>
      </c>
      <c r="BB318">
        <v>1</v>
      </c>
      <c r="BC318">
        <v>1</v>
      </c>
      <c r="BD318" t="s">
        <v>3</v>
      </c>
      <c r="BE318" t="s">
        <v>3</v>
      </c>
      <c r="BF318" t="s">
        <v>3</v>
      </c>
      <c r="BG318" t="s">
        <v>3</v>
      </c>
      <c r="BH318">
        <v>3</v>
      </c>
      <c r="BI318">
        <v>4</v>
      </c>
      <c r="BJ318" t="s">
        <v>303</v>
      </c>
      <c r="BM318">
        <v>0</v>
      </c>
      <c r="BN318">
        <v>0</v>
      </c>
      <c r="BO318" t="s">
        <v>3</v>
      </c>
      <c r="BP318">
        <v>0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 t="s">
        <v>3</v>
      </c>
      <c r="BZ318">
        <v>70</v>
      </c>
      <c r="CA318">
        <v>10</v>
      </c>
      <c r="CE318">
        <v>0</v>
      </c>
      <c r="CF318">
        <v>0</v>
      </c>
      <c r="CG318">
        <v>0</v>
      </c>
      <c r="CM318">
        <v>0</v>
      </c>
      <c r="CN318" t="s">
        <v>3</v>
      </c>
      <c r="CO318">
        <v>0</v>
      </c>
      <c r="CP318">
        <f t="shared" si="256"/>
        <v>-10131.86</v>
      </c>
      <c r="CQ318">
        <f t="shared" si="257"/>
        <v>306.58</v>
      </c>
      <c r="CR318">
        <f t="shared" si="258"/>
        <v>0</v>
      </c>
      <c r="CS318">
        <f t="shared" si="259"/>
        <v>0</v>
      </c>
      <c r="CT318">
        <f t="shared" si="260"/>
        <v>0</v>
      </c>
      <c r="CU318">
        <f t="shared" si="261"/>
        <v>0</v>
      </c>
      <c r="CV318">
        <f t="shared" si="262"/>
        <v>0</v>
      </c>
      <c r="CW318">
        <f t="shared" si="263"/>
        <v>0</v>
      </c>
      <c r="CX318">
        <f t="shared" si="264"/>
        <v>0</v>
      </c>
      <c r="CY318">
        <f t="shared" si="265"/>
        <v>0</v>
      </c>
      <c r="CZ318">
        <f t="shared" si="266"/>
        <v>0</v>
      </c>
      <c r="DC318" t="s">
        <v>3</v>
      </c>
      <c r="DD318" t="s">
        <v>3</v>
      </c>
      <c r="DE318" t="s">
        <v>3</v>
      </c>
      <c r="DF318" t="s">
        <v>3</v>
      </c>
      <c r="DG318" t="s">
        <v>3</v>
      </c>
      <c r="DH318" t="s">
        <v>3</v>
      </c>
      <c r="DI318" t="s">
        <v>3</v>
      </c>
      <c r="DJ318" t="s">
        <v>3</v>
      </c>
      <c r="DK318" t="s">
        <v>3</v>
      </c>
      <c r="DL318" t="s">
        <v>3</v>
      </c>
      <c r="DM318" t="s">
        <v>3</v>
      </c>
      <c r="DN318">
        <v>0</v>
      </c>
      <c r="DO318">
        <v>0</v>
      </c>
      <c r="DP318">
        <v>1</v>
      </c>
      <c r="DQ318">
        <v>1</v>
      </c>
      <c r="DU318">
        <v>1005</v>
      </c>
      <c r="DV318" t="s">
        <v>302</v>
      </c>
      <c r="DW318" t="s">
        <v>302</v>
      </c>
      <c r="DX318">
        <v>1</v>
      </c>
      <c r="EE318">
        <v>40050625</v>
      </c>
      <c r="EF318">
        <v>1</v>
      </c>
      <c r="EG318" t="s">
        <v>20</v>
      </c>
      <c r="EH318">
        <v>0</v>
      </c>
      <c r="EI318" t="s">
        <v>3</v>
      </c>
      <c r="EJ318">
        <v>4</v>
      </c>
      <c r="EK318">
        <v>0</v>
      </c>
      <c r="EL318" t="s">
        <v>21</v>
      </c>
      <c r="EM318" t="s">
        <v>22</v>
      </c>
      <c r="EO318" t="s">
        <v>3</v>
      </c>
      <c r="EQ318">
        <v>0</v>
      </c>
      <c r="ER318">
        <v>306.58</v>
      </c>
      <c r="ES318">
        <v>306.58</v>
      </c>
      <c r="ET318">
        <v>0</v>
      </c>
      <c r="EU318">
        <v>0</v>
      </c>
      <c r="EV318">
        <v>0</v>
      </c>
      <c r="EW318">
        <v>0</v>
      </c>
      <c r="EX318">
        <v>0</v>
      </c>
      <c r="FQ318">
        <v>0</v>
      </c>
      <c r="FR318">
        <f t="shared" si="267"/>
        <v>0</v>
      </c>
      <c r="FS318">
        <v>0</v>
      </c>
      <c r="FX318">
        <v>70</v>
      </c>
      <c r="FY318">
        <v>10</v>
      </c>
      <c r="GA318" t="s">
        <v>3</v>
      </c>
      <c r="GD318">
        <v>0</v>
      </c>
      <c r="GF318">
        <v>-553798196</v>
      </c>
      <c r="GG318">
        <v>2</v>
      </c>
      <c r="GH318">
        <v>1</v>
      </c>
      <c r="GI318">
        <v>-2</v>
      </c>
      <c r="GJ318">
        <v>0</v>
      </c>
      <c r="GK318">
        <f>ROUND(R318*(R12)/100,2)</f>
        <v>0</v>
      </c>
      <c r="GL318">
        <f t="shared" si="268"/>
        <v>0</v>
      </c>
      <c r="GM318">
        <f t="shared" si="269"/>
        <v>-10131.86</v>
      </c>
      <c r="GN318">
        <f t="shared" si="270"/>
        <v>0</v>
      </c>
      <c r="GO318">
        <f t="shared" si="271"/>
        <v>0</v>
      </c>
      <c r="GP318">
        <f t="shared" si="272"/>
        <v>-10131.86</v>
      </c>
      <c r="GR318">
        <v>0</v>
      </c>
      <c r="GS318">
        <v>0</v>
      </c>
      <c r="GT318">
        <v>0</v>
      </c>
      <c r="GU318" t="s">
        <v>3</v>
      </c>
      <c r="GV318">
        <f t="shared" si="273"/>
        <v>0</v>
      </c>
      <c r="GW318">
        <v>1</v>
      </c>
      <c r="GX318">
        <f t="shared" si="274"/>
        <v>0</v>
      </c>
      <c r="HA318">
        <v>0</v>
      </c>
      <c r="HB318">
        <v>0</v>
      </c>
      <c r="HC318">
        <f t="shared" si="275"/>
        <v>0</v>
      </c>
      <c r="IK318">
        <v>0</v>
      </c>
    </row>
    <row r="319" spans="1:245">
      <c r="A319">
        <v>18</v>
      </c>
      <c r="B319">
        <v>1</v>
      </c>
      <c r="C319">
        <v>178</v>
      </c>
      <c r="E319" t="s">
        <v>304</v>
      </c>
      <c r="F319" t="s">
        <v>305</v>
      </c>
      <c r="G319" t="s">
        <v>306</v>
      </c>
      <c r="H319" t="s">
        <v>281</v>
      </c>
      <c r="I319">
        <f>I317*J319</f>
        <v>0.74329400000000001</v>
      </c>
      <c r="J319">
        <v>2.2941172839506172</v>
      </c>
      <c r="O319">
        <f t="shared" si="236"/>
        <v>122582.95</v>
      </c>
      <c r="P319">
        <f t="shared" si="237"/>
        <v>122582.95</v>
      </c>
      <c r="Q319">
        <f t="shared" si="238"/>
        <v>0</v>
      </c>
      <c r="R319">
        <f t="shared" si="239"/>
        <v>0</v>
      </c>
      <c r="S319">
        <f t="shared" si="240"/>
        <v>0</v>
      </c>
      <c r="T319">
        <f t="shared" si="241"/>
        <v>0</v>
      </c>
      <c r="U319">
        <f t="shared" si="242"/>
        <v>0</v>
      </c>
      <c r="V319">
        <f t="shared" si="243"/>
        <v>0</v>
      </c>
      <c r="W319">
        <f t="shared" si="244"/>
        <v>0</v>
      </c>
      <c r="X319">
        <f t="shared" si="245"/>
        <v>0</v>
      </c>
      <c r="Y319">
        <f t="shared" si="246"/>
        <v>0</v>
      </c>
      <c r="AA319">
        <v>42225948</v>
      </c>
      <c r="AB319">
        <f t="shared" si="247"/>
        <v>164918.53</v>
      </c>
      <c r="AC319">
        <f t="shared" si="248"/>
        <v>164918.53</v>
      </c>
      <c r="AD319">
        <f t="shared" si="249"/>
        <v>0</v>
      </c>
      <c r="AE319">
        <f t="shared" si="250"/>
        <v>0</v>
      </c>
      <c r="AF319">
        <f t="shared" si="251"/>
        <v>0</v>
      </c>
      <c r="AG319">
        <f t="shared" si="252"/>
        <v>0</v>
      </c>
      <c r="AH319">
        <f t="shared" si="253"/>
        <v>0</v>
      </c>
      <c r="AI319">
        <f t="shared" si="254"/>
        <v>0</v>
      </c>
      <c r="AJ319">
        <f t="shared" si="255"/>
        <v>0</v>
      </c>
      <c r="AK319">
        <v>164918.53</v>
      </c>
      <c r="AL319">
        <v>164918.53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70</v>
      </c>
      <c r="AU319">
        <v>10</v>
      </c>
      <c r="AV319">
        <v>1</v>
      </c>
      <c r="AW319">
        <v>1</v>
      </c>
      <c r="AZ319">
        <v>1</v>
      </c>
      <c r="BA319">
        <v>1</v>
      </c>
      <c r="BB319">
        <v>1</v>
      </c>
      <c r="BC319">
        <v>1</v>
      </c>
      <c r="BD319" t="s">
        <v>3</v>
      </c>
      <c r="BE319" t="s">
        <v>3</v>
      </c>
      <c r="BF319" t="s">
        <v>3</v>
      </c>
      <c r="BG319" t="s">
        <v>3</v>
      </c>
      <c r="BH319">
        <v>3</v>
      </c>
      <c r="BI319">
        <v>4</v>
      </c>
      <c r="BJ319" t="s">
        <v>307</v>
      </c>
      <c r="BM319">
        <v>0</v>
      </c>
      <c r="BN319">
        <v>0</v>
      </c>
      <c r="BO319" t="s">
        <v>3</v>
      </c>
      <c r="BP319">
        <v>0</v>
      </c>
      <c r="BQ319">
        <v>1</v>
      </c>
      <c r="BR319">
        <v>0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1</v>
      </c>
      <c r="BY319" t="s">
        <v>3</v>
      </c>
      <c r="BZ319">
        <v>70</v>
      </c>
      <c r="CA319">
        <v>10</v>
      </c>
      <c r="CE319">
        <v>0</v>
      </c>
      <c r="CF319">
        <v>0</v>
      </c>
      <c r="CG319">
        <v>0</v>
      </c>
      <c r="CM319">
        <v>0</v>
      </c>
      <c r="CN319" t="s">
        <v>3</v>
      </c>
      <c r="CO319">
        <v>0</v>
      </c>
      <c r="CP319">
        <f t="shared" si="256"/>
        <v>122582.95</v>
      </c>
      <c r="CQ319">
        <f t="shared" si="257"/>
        <v>164918.53</v>
      </c>
      <c r="CR319">
        <f t="shared" si="258"/>
        <v>0</v>
      </c>
      <c r="CS319">
        <f t="shared" si="259"/>
        <v>0</v>
      </c>
      <c r="CT319">
        <f t="shared" si="260"/>
        <v>0</v>
      </c>
      <c r="CU319">
        <f t="shared" si="261"/>
        <v>0</v>
      </c>
      <c r="CV319">
        <f t="shared" si="262"/>
        <v>0</v>
      </c>
      <c r="CW319">
        <f t="shared" si="263"/>
        <v>0</v>
      </c>
      <c r="CX319">
        <f t="shared" si="264"/>
        <v>0</v>
      </c>
      <c r="CY319">
        <f t="shared" si="265"/>
        <v>0</v>
      </c>
      <c r="CZ319">
        <f t="shared" si="266"/>
        <v>0</v>
      </c>
      <c r="DC319" t="s">
        <v>3</v>
      </c>
      <c r="DD319" t="s">
        <v>3</v>
      </c>
      <c r="DE319" t="s">
        <v>3</v>
      </c>
      <c r="DF319" t="s">
        <v>3</v>
      </c>
      <c r="DG319" t="s">
        <v>3</v>
      </c>
      <c r="DH319" t="s">
        <v>3</v>
      </c>
      <c r="DI319" t="s">
        <v>3</v>
      </c>
      <c r="DJ319" t="s">
        <v>3</v>
      </c>
      <c r="DK319" t="s">
        <v>3</v>
      </c>
      <c r="DL319" t="s">
        <v>3</v>
      </c>
      <c r="DM319" t="s">
        <v>3</v>
      </c>
      <c r="DN319">
        <v>0</v>
      </c>
      <c r="DO319">
        <v>0</v>
      </c>
      <c r="DP319">
        <v>1</v>
      </c>
      <c r="DQ319">
        <v>1</v>
      </c>
      <c r="DU319">
        <v>1009</v>
      </c>
      <c r="DV319" t="s">
        <v>281</v>
      </c>
      <c r="DW319" t="s">
        <v>281</v>
      </c>
      <c r="DX319">
        <v>1000</v>
      </c>
      <c r="EE319">
        <v>40050625</v>
      </c>
      <c r="EF319">
        <v>1</v>
      </c>
      <c r="EG319" t="s">
        <v>20</v>
      </c>
      <c r="EH319">
        <v>0</v>
      </c>
      <c r="EI319" t="s">
        <v>3</v>
      </c>
      <c r="EJ319">
        <v>4</v>
      </c>
      <c r="EK319">
        <v>0</v>
      </c>
      <c r="EL319" t="s">
        <v>21</v>
      </c>
      <c r="EM319" t="s">
        <v>22</v>
      </c>
      <c r="EO319" t="s">
        <v>3</v>
      </c>
      <c r="EQ319">
        <v>0</v>
      </c>
      <c r="ER319">
        <v>164918.53</v>
      </c>
      <c r="ES319">
        <v>164918.53</v>
      </c>
      <c r="ET319">
        <v>0</v>
      </c>
      <c r="EU319">
        <v>0</v>
      </c>
      <c r="EV319">
        <v>0</v>
      </c>
      <c r="EW319">
        <v>0</v>
      </c>
      <c r="EX319">
        <v>0</v>
      </c>
      <c r="FQ319">
        <v>0</v>
      </c>
      <c r="FR319">
        <f t="shared" si="267"/>
        <v>0</v>
      </c>
      <c r="FS319">
        <v>0</v>
      </c>
      <c r="FX319">
        <v>70</v>
      </c>
      <c r="FY319">
        <v>10</v>
      </c>
      <c r="GA319" t="s">
        <v>3</v>
      </c>
      <c r="GD319">
        <v>0</v>
      </c>
      <c r="GF319">
        <v>-1166408548</v>
      </c>
      <c r="GG319">
        <v>2</v>
      </c>
      <c r="GH319">
        <v>1</v>
      </c>
      <c r="GI319">
        <v>-2</v>
      </c>
      <c r="GJ319">
        <v>0</v>
      </c>
      <c r="GK319">
        <f>ROUND(R319*(R12)/100,2)</f>
        <v>0</v>
      </c>
      <c r="GL319">
        <f t="shared" si="268"/>
        <v>0</v>
      </c>
      <c r="GM319">
        <f t="shared" si="269"/>
        <v>122582.95</v>
      </c>
      <c r="GN319">
        <f t="shared" si="270"/>
        <v>0</v>
      </c>
      <c r="GO319">
        <f t="shared" si="271"/>
        <v>0</v>
      </c>
      <c r="GP319">
        <f t="shared" si="272"/>
        <v>122582.95</v>
      </c>
      <c r="GR319">
        <v>0</v>
      </c>
      <c r="GS319">
        <v>0</v>
      </c>
      <c r="GT319">
        <v>0</v>
      </c>
      <c r="GU319" t="s">
        <v>3</v>
      </c>
      <c r="GV319">
        <f t="shared" si="273"/>
        <v>0</v>
      </c>
      <c r="GW319">
        <v>1</v>
      </c>
      <c r="GX319">
        <f t="shared" si="274"/>
        <v>0</v>
      </c>
      <c r="HA319">
        <v>0</v>
      </c>
      <c r="HB319">
        <v>0</v>
      </c>
      <c r="HC319">
        <f t="shared" si="275"/>
        <v>0</v>
      </c>
      <c r="IK319">
        <v>0</v>
      </c>
    </row>
    <row r="320" spans="1:245">
      <c r="A320">
        <v>17</v>
      </c>
      <c r="B320">
        <v>1</v>
      </c>
      <c r="C320">
        <f>ROW(SmtRes!A187)</f>
        <v>187</v>
      </c>
      <c r="D320">
        <f>ROW(EtalonRes!A170)</f>
        <v>170</v>
      </c>
      <c r="E320" t="s">
        <v>308</v>
      </c>
      <c r="F320" t="s">
        <v>296</v>
      </c>
      <c r="G320" t="s">
        <v>297</v>
      </c>
      <c r="H320" t="s">
        <v>18</v>
      </c>
      <c r="I320">
        <f>ROUND(12.8/100,9)</f>
        <v>0.128</v>
      </c>
      <c r="J320">
        <v>0</v>
      </c>
      <c r="O320">
        <f t="shared" si="236"/>
        <v>4970.3900000000003</v>
      </c>
      <c r="P320">
        <f t="shared" si="237"/>
        <v>4017.48</v>
      </c>
      <c r="Q320">
        <f t="shared" si="238"/>
        <v>5.01</v>
      </c>
      <c r="R320">
        <f t="shared" si="239"/>
        <v>0.66</v>
      </c>
      <c r="S320">
        <f t="shared" si="240"/>
        <v>947.9</v>
      </c>
      <c r="T320">
        <f t="shared" si="241"/>
        <v>0</v>
      </c>
      <c r="U320">
        <f t="shared" si="242"/>
        <v>4.4006400000000001</v>
      </c>
      <c r="V320">
        <f t="shared" si="243"/>
        <v>0</v>
      </c>
      <c r="W320">
        <f t="shared" si="244"/>
        <v>0</v>
      </c>
      <c r="X320">
        <f t="shared" si="245"/>
        <v>663.53</v>
      </c>
      <c r="Y320">
        <f t="shared" si="246"/>
        <v>94.79</v>
      </c>
      <c r="AA320">
        <v>42225948</v>
      </c>
      <c r="AB320">
        <f t="shared" si="247"/>
        <v>38831.129999999997</v>
      </c>
      <c r="AC320">
        <f t="shared" si="248"/>
        <v>31386.55</v>
      </c>
      <c r="AD320">
        <f t="shared" si="249"/>
        <v>39.130000000000003</v>
      </c>
      <c r="AE320">
        <f t="shared" si="250"/>
        <v>5.15</v>
      </c>
      <c r="AF320">
        <f t="shared" si="251"/>
        <v>7405.45</v>
      </c>
      <c r="AG320">
        <f t="shared" si="252"/>
        <v>0</v>
      </c>
      <c r="AH320">
        <f t="shared" si="253"/>
        <v>34.380000000000003</v>
      </c>
      <c r="AI320">
        <f t="shared" si="254"/>
        <v>0</v>
      </c>
      <c r="AJ320">
        <f t="shared" si="255"/>
        <v>0</v>
      </c>
      <c r="AK320">
        <v>38831.129999999997</v>
      </c>
      <c r="AL320">
        <v>31386.55</v>
      </c>
      <c r="AM320">
        <v>39.130000000000003</v>
      </c>
      <c r="AN320">
        <v>5.15</v>
      </c>
      <c r="AO320">
        <v>7405.45</v>
      </c>
      <c r="AP320">
        <v>0</v>
      </c>
      <c r="AQ320">
        <v>34.380000000000003</v>
      </c>
      <c r="AR320">
        <v>0</v>
      </c>
      <c r="AS320">
        <v>0</v>
      </c>
      <c r="AT320">
        <v>70</v>
      </c>
      <c r="AU320">
        <v>10</v>
      </c>
      <c r="AV320">
        <v>1</v>
      </c>
      <c r="AW320">
        <v>1</v>
      </c>
      <c r="AZ320">
        <v>1</v>
      </c>
      <c r="BA320">
        <v>1</v>
      </c>
      <c r="BB320">
        <v>1</v>
      </c>
      <c r="BC320">
        <v>1</v>
      </c>
      <c r="BD320" t="s">
        <v>3</v>
      </c>
      <c r="BE320" t="s">
        <v>3</v>
      </c>
      <c r="BF320" t="s">
        <v>3</v>
      </c>
      <c r="BG320" t="s">
        <v>3</v>
      </c>
      <c r="BH320">
        <v>0</v>
      </c>
      <c r="BI320">
        <v>4</v>
      </c>
      <c r="BJ320" t="s">
        <v>298</v>
      </c>
      <c r="BM320">
        <v>0</v>
      </c>
      <c r="BN320">
        <v>0</v>
      </c>
      <c r="BO320" t="s">
        <v>3</v>
      </c>
      <c r="BP320">
        <v>0</v>
      </c>
      <c r="BQ320">
        <v>1</v>
      </c>
      <c r="BR320">
        <v>0</v>
      </c>
      <c r="BS320">
        <v>1</v>
      </c>
      <c r="BT320">
        <v>1</v>
      </c>
      <c r="BU320">
        <v>1</v>
      </c>
      <c r="BV320">
        <v>1</v>
      </c>
      <c r="BW320">
        <v>1</v>
      </c>
      <c r="BX320">
        <v>1</v>
      </c>
      <c r="BY320" t="s">
        <v>3</v>
      </c>
      <c r="BZ320">
        <v>70</v>
      </c>
      <c r="CA320">
        <v>10</v>
      </c>
      <c r="CE320">
        <v>0</v>
      </c>
      <c r="CF320">
        <v>0</v>
      </c>
      <c r="CG320">
        <v>0</v>
      </c>
      <c r="CM320">
        <v>0</v>
      </c>
      <c r="CN320" t="s">
        <v>3</v>
      </c>
      <c r="CO320">
        <v>0</v>
      </c>
      <c r="CP320">
        <f t="shared" si="256"/>
        <v>4970.3900000000003</v>
      </c>
      <c r="CQ320">
        <f t="shared" si="257"/>
        <v>31386.55</v>
      </c>
      <c r="CR320">
        <f t="shared" si="258"/>
        <v>39.130000000000003</v>
      </c>
      <c r="CS320">
        <f t="shared" si="259"/>
        <v>5.15</v>
      </c>
      <c r="CT320">
        <f t="shared" si="260"/>
        <v>7405.45</v>
      </c>
      <c r="CU320">
        <f t="shared" si="261"/>
        <v>0</v>
      </c>
      <c r="CV320">
        <f t="shared" si="262"/>
        <v>34.380000000000003</v>
      </c>
      <c r="CW320">
        <f t="shared" si="263"/>
        <v>0</v>
      </c>
      <c r="CX320">
        <f t="shared" si="264"/>
        <v>0</v>
      </c>
      <c r="CY320">
        <f t="shared" si="265"/>
        <v>663.53</v>
      </c>
      <c r="CZ320">
        <f t="shared" si="266"/>
        <v>94.79</v>
      </c>
      <c r="DC320" t="s">
        <v>3</v>
      </c>
      <c r="DD320" t="s">
        <v>3</v>
      </c>
      <c r="DE320" t="s">
        <v>3</v>
      </c>
      <c r="DF320" t="s">
        <v>3</v>
      </c>
      <c r="DG320" t="s">
        <v>3</v>
      </c>
      <c r="DH320" t="s">
        <v>3</v>
      </c>
      <c r="DI320" t="s">
        <v>3</v>
      </c>
      <c r="DJ320" t="s">
        <v>3</v>
      </c>
      <c r="DK320" t="s">
        <v>3</v>
      </c>
      <c r="DL320" t="s">
        <v>3</v>
      </c>
      <c r="DM320" t="s">
        <v>3</v>
      </c>
      <c r="DN320">
        <v>0</v>
      </c>
      <c r="DO320">
        <v>0</v>
      </c>
      <c r="DP320">
        <v>1</v>
      </c>
      <c r="DQ320">
        <v>1</v>
      </c>
      <c r="DU320">
        <v>1005</v>
      </c>
      <c r="DV320" t="s">
        <v>18</v>
      </c>
      <c r="DW320" t="s">
        <v>18</v>
      </c>
      <c r="DX320">
        <v>100</v>
      </c>
      <c r="EE320">
        <v>40050625</v>
      </c>
      <c r="EF320">
        <v>1</v>
      </c>
      <c r="EG320" t="s">
        <v>20</v>
      </c>
      <c r="EH320">
        <v>0</v>
      </c>
      <c r="EI320" t="s">
        <v>3</v>
      </c>
      <c r="EJ320">
        <v>4</v>
      </c>
      <c r="EK320">
        <v>0</v>
      </c>
      <c r="EL320" t="s">
        <v>21</v>
      </c>
      <c r="EM320" t="s">
        <v>22</v>
      </c>
      <c r="EO320" t="s">
        <v>3</v>
      </c>
      <c r="EQ320">
        <v>0</v>
      </c>
      <c r="ER320">
        <v>38831.129999999997</v>
      </c>
      <c r="ES320">
        <v>31386.55</v>
      </c>
      <c r="ET320">
        <v>39.130000000000003</v>
      </c>
      <c r="EU320">
        <v>5.15</v>
      </c>
      <c r="EV320">
        <v>7405.45</v>
      </c>
      <c r="EW320">
        <v>34.380000000000003</v>
      </c>
      <c r="EX320">
        <v>0</v>
      </c>
      <c r="EY320">
        <v>0</v>
      </c>
      <c r="FQ320">
        <v>0</v>
      </c>
      <c r="FR320">
        <f t="shared" si="267"/>
        <v>0</v>
      </c>
      <c r="FS320">
        <v>0</v>
      </c>
      <c r="FX320">
        <v>70</v>
      </c>
      <c r="FY320">
        <v>10</v>
      </c>
      <c r="GA320" t="s">
        <v>3</v>
      </c>
      <c r="GD320">
        <v>0</v>
      </c>
      <c r="GF320">
        <v>-1634628874</v>
      </c>
      <c r="GG320">
        <v>2</v>
      </c>
      <c r="GH320">
        <v>1</v>
      </c>
      <c r="GI320">
        <v>-2</v>
      </c>
      <c r="GJ320">
        <v>0</v>
      </c>
      <c r="GK320">
        <f>ROUND(R320*(R12)/100,2)</f>
        <v>0.71</v>
      </c>
      <c r="GL320">
        <f t="shared" si="268"/>
        <v>0</v>
      </c>
      <c r="GM320">
        <f t="shared" si="269"/>
        <v>5729.42</v>
      </c>
      <c r="GN320">
        <f t="shared" si="270"/>
        <v>0</v>
      </c>
      <c r="GO320">
        <f t="shared" si="271"/>
        <v>0</v>
      </c>
      <c r="GP320">
        <f t="shared" si="272"/>
        <v>5729.42</v>
      </c>
      <c r="GR320">
        <v>0</v>
      </c>
      <c r="GS320">
        <v>0</v>
      </c>
      <c r="GT320">
        <v>0</v>
      </c>
      <c r="GU320" t="s">
        <v>3</v>
      </c>
      <c r="GV320">
        <f t="shared" si="273"/>
        <v>0</v>
      </c>
      <c r="GW320">
        <v>1</v>
      </c>
      <c r="GX320">
        <f t="shared" si="274"/>
        <v>0</v>
      </c>
      <c r="HA320">
        <v>0</v>
      </c>
      <c r="HB320">
        <v>0</v>
      </c>
      <c r="HC320">
        <f t="shared" si="275"/>
        <v>0</v>
      </c>
      <c r="IK320">
        <v>0</v>
      </c>
    </row>
    <row r="321" spans="1:245">
      <c r="A321">
        <v>18</v>
      </c>
      <c r="B321">
        <v>1</v>
      </c>
      <c r="C321">
        <v>185</v>
      </c>
      <c r="E321" t="s">
        <v>309</v>
      </c>
      <c r="F321" t="s">
        <v>300</v>
      </c>
      <c r="G321" t="s">
        <v>301</v>
      </c>
      <c r="H321" t="s">
        <v>302</v>
      </c>
      <c r="I321">
        <f>I320*J321</f>
        <v>-13.055999999999999</v>
      </c>
      <c r="J321">
        <v>-101.99999999999999</v>
      </c>
      <c r="O321">
        <f t="shared" si="236"/>
        <v>-4002.71</v>
      </c>
      <c r="P321">
        <f t="shared" si="237"/>
        <v>-4002.71</v>
      </c>
      <c r="Q321">
        <f t="shared" si="238"/>
        <v>0</v>
      </c>
      <c r="R321">
        <f t="shared" si="239"/>
        <v>0</v>
      </c>
      <c r="S321">
        <f t="shared" si="240"/>
        <v>0</v>
      </c>
      <c r="T321">
        <f t="shared" si="241"/>
        <v>0</v>
      </c>
      <c r="U321">
        <f t="shared" si="242"/>
        <v>0</v>
      </c>
      <c r="V321">
        <f t="shared" si="243"/>
        <v>0</v>
      </c>
      <c r="W321">
        <f t="shared" si="244"/>
        <v>0</v>
      </c>
      <c r="X321">
        <f t="shared" si="245"/>
        <v>0</v>
      </c>
      <c r="Y321">
        <f t="shared" si="246"/>
        <v>0</v>
      </c>
      <c r="AA321">
        <v>42225948</v>
      </c>
      <c r="AB321">
        <f t="shared" si="247"/>
        <v>306.58</v>
      </c>
      <c r="AC321">
        <f t="shared" si="248"/>
        <v>306.58</v>
      </c>
      <c r="AD321">
        <f t="shared" si="249"/>
        <v>0</v>
      </c>
      <c r="AE321">
        <f t="shared" si="250"/>
        <v>0</v>
      </c>
      <c r="AF321">
        <f t="shared" si="251"/>
        <v>0</v>
      </c>
      <c r="AG321">
        <f t="shared" si="252"/>
        <v>0</v>
      </c>
      <c r="AH321">
        <f t="shared" si="253"/>
        <v>0</v>
      </c>
      <c r="AI321">
        <f t="shared" si="254"/>
        <v>0</v>
      </c>
      <c r="AJ321">
        <f t="shared" si="255"/>
        <v>0</v>
      </c>
      <c r="AK321">
        <v>306.58</v>
      </c>
      <c r="AL321">
        <v>306.58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70</v>
      </c>
      <c r="AU321">
        <v>10</v>
      </c>
      <c r="AV321">
        <v>1</v>
      </c>
      <c r="AW321">
        <v>1</v>
      </c>
      <c r="AZ321">
        <v>1</v>
      </c>
      <c r="BA321">
        <v>1</v>
      </c>
      <c r="BB321">
        <v>1</v>
      </c>
      <c r="BC321">
        <v>1</v>
      </c>
      <c r="BD321" t="s">
        <v>3</v>
      </c>
      <c r="BE321" t="s">
        <v>3</v>
      </c>
      <c r="BF321" t="s">
        <v>3</v>
      </c>
      <c r="BG321" t="s">
        <v>3</v>
      </c>
      <c r="BH321">
        <v>3</v>
      </c>
      <c r="BI321">
        <v>4</v>
      </c>
      <c r="BJ321" t="s">
        <v>303</v>
      </c>
      <c r="BM321">
        <v>0</v>
      </c>
      <c r="BN321">
        <v>0</v>
      </c>
      <c r="BO321" t="s">
        <v>3</v>
      </c>
      <c r="BP321">
        <v>0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 t="s">
        <v>3</v>
      </c>
      <c r="BZ321">
        <v>70</v>
      </c>
      <c r="CA321">
        <v>10</v>
      </c>
      <c r="CE321">
        <v>0</v>
      </c>
      <c r="CF321">
        <v>0</v>
      </c>
      <c r="CG321">
        <v>0</v>
      </c>
      <c r="CM321">
        <v>0</v>
      </c>
      <c r="CN321" t="s">
        <v>3</v>
      </c>
      <c r="CO321">
        <v>0</v>
      </c>
      <c r="CP321">
        <f t="shared" si="256"/>
        <v>-4002.71</v>
      </c>
      <c r="CQ321">
        <f t="shared" si="257"/>
        <v>306.58</v>
      </c>
      <c r="CR321">
        <f t="shared" si="258"/>
        <v>0</v>
      </c>
      <c r="CS321">
        <f t="shared" si="259"/>
        <v>0</v>
      </c>
      <c r="CT321">
        <f t="shared" si="260"/>
        <v>0</v>
      </c>
      <c r="CU321">
        <f t="shared" si="261"/>
        <v>0</v>
      </c>
      <c r="CV321">
        <f t="shared" si="262"/>
        <v>0</v>
      </c>
      <c r="CW321">
        <f t="shared" si="263"/>
        <v>0</v>
      </c>
      <c r="CX321">
        <f t="shared" si="264"/>
        <v>0</v>
      </c>
      <c r="CY321">
        <f t="shared" si="265"/>
        <v>0</v>
      </c>
      <c r="CZ321">
        <f t="shared" si="266"/>
        <v>0</v>
      </c>
      <c r="DC321" t="s">
        <v>3</v>
      </c>
      <c r="DD321" t="s">
        <v>3</v>
      </c>
      <c r="DE321" t="s">
        <v>3</v>
      </c>
      <c r="DF321" t="s">
        <v>3</v>
      </c>
      <c r="DG321" t="s">
        <v>3</v>
      </c>
      <c r="DH321" t="s">
        <v>3</v>
      </c>
      <c r="DI321" t="s">
        <v>3</v>
      </c>
      <c r="DJ321" t="s">
        <v>3</v>
      </c>
      <c r="DK321" t="s">
        <v>3</v>
      </c>
      <c r="DL321" t="s">
        <v>3</v>
      </c>
      <c r="DM321" t="s">
        <v>3</v>
      </c>
      <c r="DN321">
        <v>0</v>
      </c>
      <c r="DO321">
        <v>0</v>
      </c>
      <c r="DP321">
        <v>1</v>
      </c>
      <c r="DQ321">
        <v>1</v>
      </c>
      <c r="DU321">
        <v>1005</v>
      </c>
      <c r="DV321" t="s">
        <v>302</v>
      </c>
      <c r="DW321" t="s">
        <v>302</v>
      </c>
      <c r="DX321">
        <v>1</v>
      </c>
      <c r="EE321">
        <v>40050625</v>
      </c>
      <c r="EF321">
        <v>1</v>
      </c>
      <c r="EG321" t="s">
        <v>20</v>
      </c>
      <c r="EH321">
        <v>0</v>
      </c>
      <c r="EI321" t="s">
        <v>3</v>
      </c>
      <c r="EJ321">
        <v>4</v>
      </c>
      <c r="EK321">
        <v>0</v>
      </c>
      <c r="EL321" t="s">
        <v>21</v>
      </c>
      <c r="EM321" t="s">
        <v>22</v>
      </c>
      <c r="EO321" t="s">
        <v>3</v>
      </c>
      <c r="EQ321">
        <v>32768</v>
      </c>
      <c r="ER321">
        <v>306.58</v>
      </c>
      <c r="ES321">
        <v>306.58</v>
      </c>
      <c r="ET321">
        <v>0</v>
      </c>
      <c r="EU321">
        <v>0</v>
      </c>
      <c r="EV321">
        <v>0</v>
      </c>
      <c r="EW321">
        <v>0</v>
      </c>
      <c r="EX321">
        <v>0</v>
      </c>
      <c r="FQ321">
        <v>0</v>
      </c>
      <c r="FR321">
        <f t="shared" si="267"/>
        <v>0</v>
      </c>
      <c r="FS321">
        <v>0</v>
      </c>
      <c r="FX321">
        <v>70</v>
      </c>
      <c r="FY321">
        <v>10</v>
      </c>
      <c r="GA321" t="s">
        <v>3</v>
      </c>
      <c r="GD321">
        <v>0</v>
      </c>
      <c r="GF321">
        <v>-553798196</v>
      </c>
      <c r="GG321">
        <v>2</v>
      </c>
      <c r="GH321">
        <v>1</v>
      </c>
      <c r="GI321">
        <v>-2</v>
      </c>
      <c r="GJ321">
        <v>0</v>
      </c>
      <c r="GK321">
        <f>ROUND(R321*(R12)/100,2)</f>
        <v>0</v>
      </c>
      <c r="GL321">
        <f t="shared" si="268"/>
        <v>0</v>
      </c>
      <c r="GM321">
        <f t="shared" si="269"/>
        <v>-4002.71</v>
      </c>
      <c r="GN321">
        <f t="shared" si="270"/>
        <v>0</v>
      </c>
      <c r="GO321">
        <f t="shared" si="271"/>
        <v>0</v>
      </c>
      <c r="GP321">
        <f t="shared" si="272"/>
        <v>-4002.71</v>
      </c>
      <c r="GR321">
        <v>0</v>
      </c>
      <c r="GS321">
        <v>0</v>
      </c>
      <c r="GT321">
        <v>0</v>
      </c>
      <c r="GU321" t="s">
        <v>3</v>
      </c>
      <c r="GV321">
        <f t="shared" si="273"/>
        <v>0</v>
      </c>
      <c r="GW321">
        <v>1</v>
      </c>
      <c r="GX321">
        <f t="shared" si="274"/>
        <v>0</v>
      </c>
      <c r="HA321">
        <v>0</v>
      </c>
      <c r="HB321">
        <v>0</v>
      </c>
      <c r="HC321">
        <f t="shared" si="275"/>
        <v>0</v>
      </c>
      <c r="IK321">
        <v>0</v>
      </c>
    </row>
    <row r="322" spans="1:245">
      <c r="A322">
        <v>18</v>
      </c>
      <c r="B322">
        <v>1</v>
      </c>
      <c r="C322">
        <v>184</v>
      </c>
      <c r="E322" t="s">
        <v>310</v>
      </c>
      <c r="F322" t="s">
        <v>311</v>
      </c>
      <c r="G322" t="s">
        <v>312</v>
      </c>
      <c r="H322" t="s">
        <v>281</v>
      </c>
      <c r="I322">
        <f>I320*J322</f>
        <v>0.77015299999999998</v>
      </c>
      <c r="J322">
        <v>6.0168203124999993</v>
      </c>
      <c r="O322">
        <f t="shared" si="236"/>
        <v>128321.78</v>
      </c>
      <c r="P322">
        <f t="shared" si="237"/>
        <v>128321.78</v>
      </c>
      <c r="Q322">
        <f t="shared" si="238"/>
        <v>0</v>
      </c>
      <c r="R322">
        <f t="shared" si="239"/>
        <v>0</v>
      </c>
      <c r="S322">
        <f t="shared" si="240"/>
        <v>0</v>
      </c>
      <c r="T322">
        <f t="shared" si="241"/>
        <v>0</v>
      </c>
      <c r="U322">
        <f t="shared" si="242"/>
        <v>0</v>
      </c>
      <c r="V322">
        <f t="shared" si="243"/>
        <v>0</v>
      </c>
      <c r="W322">
        <f t="shared" si="244"/>
        <v>0</v>
      </c>
      <c r="X322">
        <f t="shared" si="245"/>
        <v>0</v>
      </c>
      <c r="Y322">
        <f t="shared" si="246"/>
        <v>0</v>
      </c>
      <c r="AA322">
        <v>42225948</v>
      </c>
      <c r="AB322">
        <f t="shared" si="247"/>
        <v>166618.54999999999</v>
      </c>
      <c r="AC322">
        <f t="shared" si="248"/>
        <v>166618.54999999999</v>
      </c>
      <c r="AD322">
        <f t="shared" si="249"/>
        <v>0</v>
      </c>
      <c r="AE322">
        <f t="shared" si="250"/>
        <v>0</v>
      </c>
      <c r="AF322">
        <f t="shared" si="251"/>
        <v>0</v>
      </c>
      <c r="AG322">
        <f t="shared" si="252"/>
        <v>0</v>
      </c>
      <c r="AH322">
        <f t="shared" si="253"/>
        <v>0</v>
      </c>
      <c r="AI322">
        <f t="shared" si="254"/>
        <v>0</v>
      </c>
      <c r="AJ322">
        <f t="shared" si="255"/>
        <v>0</v>
      </c>
      <c r="AK322">
        <v>166618.54999999999</v>
      </c>
      <c r="AL322">
        <v>166618.54999999999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70</v>
      </c>
      <c r="AU322">
        <v>10</v>
      </c>
      <c r="AV322">
        <v>1</v>
      </c>
      <c r="AW322">
        <v>1</v>
      </c>
      <c r="AZ322">
        <v>1</v>
      </c>
      <c r="BA322">
        <v>1</v>
      </c>
      <c r="BB322">
        <v>1</v>
      </c>
      <c r="BC322">
        <v>1</v>
      </c>
      <c r="BD322" t="s">
        <v>3</v>
      </c>
      <c r="BE322" t="s">
        <v>3</v>
      </c>
      <c r="BF322" t="s">
        <v>3</v>
      </c>
      <c r="BG322" t="s">
        <v>3</v>
      </c>
      <c r="BH322">
        <v>3</v>
      </c>
      <c r="BI322">
        <v>4</v>
      </c>
      <c r="BJ322" t="s">
        <v>313</v>
      </c>
      <c r="BM322">
        <v>0</v>
      </c>
      <c r="BN322">
        <v>0</v>
      </c>
      <c r="BO322" t="s">
        <v>3</v>
      </c>
      <c r="BP322">
        <v>0</v>
      </c>
      <c r="BQ322">
        <v>1</v>
      </c>
      <c r="BR322">
        <v>0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 t="s">
        <v>3</v>
      </c>
      <c r="BZ322">
        <v>70</v>
      </c>
      <c r="CA322">
        <v>10</v>
      </c>
      <c r="CE322">
        <v>0</v>
      </c>
      <c r="CF322">
        <v>0</v>
      </c>
      <c r="CG322">
        <v>0</v>
      </c>
      <c r="CM322">
        <v>0</v>
      </c>
      <c r="CN322" t="s">
        <v>3</v>
      </c>
      <c r="CO322">
        <v>0</v>
      </c>
      <c r="CP322">
        <f t="shared" si="256"/>
        <v>128321.78</v>
      </c>
      <c r="CQ322">
        <f t="shared" si="257"/>
        <v>166618.54999999999</v>
      </c>
      <c r="CR322">
        <f t="shared" si="258"/>
        <v>0</v>
      </c>
      <c r="CS322">
        <f t="shared" si="259"/>
        <v>0</v>
      </c>
      <c r="CT322">
        <f t="shared" si="260"/>
        <v>0</v>
      </c>
      <c r="CU322">
        <f t="shared" si="261"/>
        <v>0</v>
      </c>
      <c r="CV322">
        <f t="shared" si="262"/>
        <v>0</v>
      </c>
      <c r="CW322">
        <f t="shared" si="263"/>
        <v>0</v>
      </c>
      <c r="CX322">
        <f t="shared" si="264"/>
        <v>0</v>
      </c>
      <c r="CY322">
        <f t="shared" si="265"/>
        <v>0</v>
      </c>
      <c r="CZ322">
        <f t="shared" si="266"/>
        <v>0</v>
      </c>
      <c r="DC322" t="s">
        <v>3</v>
      </c>
      <c r="DD322" t="s">
        <v>3</v>
      </c>
      <c r="DE322" t="s">
        <v>3</v>
      </c>
      <c r="DF322" t="s">
        <v>3</v>
      </c>
      <c r="DG322" t="s">
        <v>3</v>
      </c>
      <c r="DH322" t="s">
        <v>3</v>
      </c>
      <c r="DI322" t="s">
        <v>3</v>
      </c>
      <c r="DJ322" t="s">
        <v>3</v>
      </c>
      <c r="DK322" t="s">
        <v>3</v>
      </c>
      <c r="DL322" t="s">
        <v>3</v>
      </c>
      <c r="DM322" t="s">
        <v>3</v>
      </c>
      <c r="DN322">
        <v>0</v>
      </c>
      <c r="DO322">
        <v>0</v>
      </c>
      <c r="DP322">
        <v>1</v>
      </c>
      <c r="DQ322">
        <v>1</v>
      </c>
      <c r="DU322">
        <v>1009</v>
      </c>
      <c r="DV322" t="s">
        <v>281</v>
      </c>
      <c r="DW322" t="s">
        <v>281</v>
      </c>
      <c r="DX322">
        <v>1000</v>
      </c>
      <c r="EE322">
        <v>40050625</v>
      </c>
      <c r="EF322">
        <v>1</v>
      </c>
      <c r="EG322" t="s">
        <v>20</v>
      </c>
      <c r="EH322">
        <v>0</v>
      </c>
      <c r="EI322" t="s">
        <v>3</v>
      </c>
      <c r="EJ322">
        <v>4</v>
      </c>
      <c r="EK322">
        <v>0</v>
      </c>
      <c r="EL322" t="s">
        <v>21</v>
      </c>
      <c r="EM322" t="s">
        <v>22</v>
      </c>
      <c r="EO322" t="s">
        <v>3</v>
      </c>
      <c r="EQ322">
        <v>0</v>
      </c>
      <c r="ER322">
        <v>166618.54999999999</v>
      </c>
      <c r="ES322">
        <v>166618.54999999999</v>
      </c>
      <c r="ET322">
        <v>0</v>
      </c>
      <c r="EU322">
        <v>0</v>
      </c>
      <c r="EV322">
        <v>0</v>
      </c>
      <c r="EW322">
        <v>0</v>
      </c>
      <c r="EX322">
        <v>0</v>
      </c>
      <c r="FQ322">
        <v>0</v>
      </c>
      <c r="FR322">
        <f t="shared" si="267"/>
        <v>0</v>
      </c>
      <c r="FS322">
        <v>0</v>
      </c>
      <c r="FX322">
        <v>70</v>
      </c>
      <c r="FY322">
        <v>10</v>
      </c>
      <c r="GA322" t="s">
        <v>3</v>
      </c>
      <c r="GD322">
        <v>0</v>
      </c>
      <c r="GF322">
        <v>-2041016491</v>
      </c>
      <c r="GG322">
        <v>2</v>
      </c>
      <c r="GH322">
        <v>1</v>
      </c>
      <c r="GI322">
        <v>-2</v>
      </c>
      <c r="GJ322">
        <v>0</v>
      </c>
      <c r="GK322">
        <f>ROUND(R322*(R12)/100,2)</f>
        <v>0</v>
      </c>
      <c r="GL322">
        <f t="shared" si="268"/>
        <v>0</v>
      </c>
      <c r="GM322">
        <f t="shared" si="269"/>
        <v>128321.78</v>
      </c>
      <c r="GN322">
        <f t="shared" si="270"/>
        <v>0</v>
      </c>
      <c r="GO322">
        <f t="shared" si="271"/>
        <v>0</v>
      </c>
      <c r="GP322">
        <f t="shared" si="272"/>
        <v>128321.78</v>
      </c>
      <c r="GR322">
        <v>0</v>
      </c>
      <c r="GS322">
        <v>0</v>
      </c>
      <c r="GT322">
        <v>0</v>
      </c>
      <c r="GU322" t="s">
        <v>3</v>
      </c>
      <c r="GV322">
        <f t="shared" si="273"/>
        <v>0</v>
      </c>
      <c r="GW322">
        <v>1</v>
      </c>
      <c r="GX322">
        <f t="shared" si="274"/>
        <v>0</v>
      </c>
      <c r="HA322">
        <v>0</v>
      </c>
      <c r="HB322">
        <v>0</v>
      </c>
      <c r="HC322">
        <f t="shared" si="275"/>
        <v>0</v>
      </c>
      <c r="IK322">
        <v>0</v>
      </c>
    </row>
    <row r="323" spans="1:245">
      <c r="A323">
        <v>17</v>
      </c>
      <c r="B323">
        <v>1</v>
      </c>
      <c r="C323">
        <f>ROW(SmtRes!A188)</f>
        <v>188</v>
      </c>
      <c r="D323">
        <f>ROW(EtalonRes!A171)</f>
        <v>171</v>
      </c>
      <c r="E323" t="s">
        <v>314</v>
      </c>
      <c r="F323" t="s">
        <v>315</v>
      </c>
      <c r="G323" t="s">
        <v>316</v>
      </c>
      <c r="H323" t="s">
        <v>302</v>
      </c>
      <c r="I323">
        <v>236.4</v>
      </c>
      <c r="J323">
        <v>0</v>
      </c>
      <c r="O323">
        <f t="shared" si="236"/>
        <v>25635.22</v>
      </c>
      <c r="P323">
        <f t="shared" si="237"/>
        <v>0</v>
      </c>
      <c r="Q323">
        <f t="shared" si="238"/>
        <v>0</v>
      </c>
      <c r="R323">
        <f t="shared" si="239"/>
        <v>0</v>
      </c>
      <c r="S323">
        <f t="shared" si="240"/>
        <v>25635.22</v>
      </c>
      <c r="T323">
        <f t="shared" si="241"/>
        <v>0</v>
      </c>
      <c r="U323">
        <f t="shared" si="242"/>
        <v>141.84</v>
      </c>
      <c r="V323">
        <f t="shared" si="243"/>
        <v>0</v>
      </c>
      <c r="W323">
        <f t="shared" si="244"/>
        <v>0</v>
      </c>
      <c r="X323">
        <f t="shared" si="245"/>
        <v>17944.650000000001</v>
      </c>
      <c r="Y323">
        <f t="shared" si="246"/>
        <v>2563.52</v>
      </c>
      <c r="AA323">
        <v>42225948</v>
      </c>
      <c r="AB323">
        <f t="shared" si="247"/>
        <v>108.44</v>
      </c>
      <c r="AC323">
        <f t="shared" si="248"/>
        <v>0</v>
      </c>
      <c r="AD323">
        <f t="shared" si="249"/>
        <v>0</v>
      </c>
      <c r="AE323">
        <f t="shared" si="250"/>
        <v>0</v>
      </c>
      <c r="AF323">
        <f t="shared" si="251"/>
        <v>108.44</v>
      </c>
      <c r="AG323">
        <f t="shared" si="252"/>
        <v>0</v>
      </c>
      <c r="AH323">
        <f t="shared" si="253"/>
        <v>0.6</v>
      </c>
      <c r="AI323">
        <f t="shared" si="254"/>
        <v>0</v>
      </c>
      <c r="AJ323">
        <f t="shared" si="255"/>
        <v>0</v>
      </c>
      <c r="AK323">
        <v>108.44</v>
      </c>
      <c r="AL323">
        <v>0</v>
      </c>
      <c r="AM323">
        <v>0</v>
      </c>
      <c r="AN323">
        <v>0</v>
      </c>
      <c r="AO323">
        <v>108.44</v>
      </c>
      <c r="AP323">
        <v>0</v>
      </c>
      <c r="AQ323">
        <v>0.6</v>
      </c>
      <c r="AR323">
        <v>0</v>
      </c>
      <c r="AS323">
        <v>0</v>
      </c>
      <c r="AT323">
        <v>70</v>
      </c>
      <c r="AU323">
        <v>10</v>
      </c>
      <c r="AV323">
        <v>1</v>
      </c>
      <c r="AW323">
        <v>1</v>
      </c>
      <c r="AZ323">
        <v>1</v>
      </c>
      <c r="BA323">
        <v>1</v>
      </c>
      <c r="BB323">
        <v>1</v>
      </c>
      <c r="BC323">
        <v>1</v>
      </c>
      <c r="BD323" t="s">
        <v>3</v>
      </c>
      <c r="BE323" t="s">
        <v>3</v>
      </c>
      <c r="BF323" t="s">
        <v>3</v>
      </c>
      <c r="BG323" t="s">
        <v>3</v>
      </c>
      <c r="BH323">
        <v>0</v>
      </c>
      <c r="BI323">
        <v>4</v>
      </c>
      <c r="BJ323" t="s">
        <v>317</v>
      </c>
      <c r="BM323">
        <v>0</v>
      </c>
      <c r="BN323">
        <v>0</v>
      </c>
      <c r="BO323" t="s">
        <v>3</v>
      </c>
      <c r="BP323">
        <v>0</v>
      </c>
      <c r="BQ323">
        <v>1</v>
      </c>
      <c r="BR323">
        <v>0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 t="s">
        <v>3</v>
      </c>
      <c r="BZ323">
        <v>70</v>
      </c>
      <c r="CA323">
        <v>10</v>
      </c>
      <c r="CE323">
        <v>0</v>
      </c>
      <c r="CF323">
        <v>0</v>
      </c>
      <c r="CG323">
        <v>0</v>
      </c>
      <c r="CM323">
        <v>0</v>
      </c>
      <c r="CN323" t="s">
        <v>3</v>
      </c>
      <c r="CO323">
        <v>0</v>
      </c>
      <c r="CP323">
        <f t="shared" si="256"/>
        <v>25635.22</v>
      </c>
      <c r="CQ323">
        <f t="shared" si="257"/>
        <v>0</v>
      </c>
      <c r="CR323">
        <f t="shared" si="258"/>
        <v>0</v>
      </c>
      <c r="CS323">
        <f t="shared" si="259"/>
        <v>0</v>
      </c>
      <c r="CT323">
        <f t="shared" si="260"/>
        <v>108.44</v>
      </c>
      <c r="CU323">
        <f t="shared" si="261"/>
        <v>0</v>
      </c>
      <c r="CV323">
        <f t="shared" si="262"/>
        <v>0.6</v>
      </c>
      <c r="CW323">
        <f t="shared" si="263"/>
        <v>0</v>
      </c>
      <c r="CX323">
        <f t="shared" si="264"/>
        <v>0</v>
      </c>
      <c r="CY323">
        <f t="shared" si="265"/>
        <v>17944.654000000002</v>
      </c>
      <c r="CZ323">
        <f t="shared" si="266"/>
        <v>2563.5219999999999</v>
      </c>
      <c r="DC323" t="s">
        <v>3</v>
      </c>
      <c r="DD323" t="s">
        <v>3</v>
      </c>
      <c r="DE323" t="s">
        <v>3</v>
      </c>
      <c r="DF323" t="s">
        <v>3</v>
      </c>
      <c r="DG323" t="s">
        <v>3</v>
      </c>
      <c r="DH323" t="s">
        <v>3</v>
      </c>
      <c r="DI323" t="s">
        <v>3</v>
      </c>
      <c r="DJ323" t="s">
        <v>3</v>
      </c>
      <c r="DK323" t="s">
        <v>3</v>
      </c>
      <c r="DL323" t="s">
        <v>3</v>
      </c>
      <c r="DM323" t="s">
        <v>3</v>
      </c>
      <c r="DN323">
        <v>0</v>
      </c>
      <c r="DO323">
        <v>0</v>
      </c>
      <c r="DP323">
        <v>1</v>
      </c>
      <c r="DQ323">
        <v>1</v>
      </c>
      <c r="DU323">
        <v>1005</v>
      </c>
      <c r="DV323" t="s">
        <v>302</v>
      </c>
      <c r="DW323" t="s">
        <v>302</v>
      </c>
      <c r="DX323">
        <v>1</v>
      </c>
      <c r="EE323">
        <v>40050625</v>
      </c>
      <c r="EF323">
        <v>1</v>
      </c>
      <c r="EG323" t="s">
        <v>20</v>
      </c>
      <c r="EH323">
        <v>0</v>
      </c>
      <c r="EI323" t="s">
        <v>3</v>
      </c>
      <c r="EJ323">
        <v>4</v>
      </c>
      <c r="EK323">
        <v>0</v>
      </c>
      <c r="EL323" t="s">
        <v>21</v>
      </c>
      <c r="EM323" t="s">
        <v>22</v>
      </c>
      <c r="EO323" t="s">
        <v>3</v>
      </c>
      <c r="EQ323">
        <v>0</v>
      </c>
      <c r="ER323">
        <v>108.44</v>
      </c>
      <c r="ES323">
        <v>0</v>
      </c>
      <c r="ET323">
        <v>0</v>
      </c>
      <c r="EU323">
        <v>0</v>
      </c>
      <c r="EV323">
        <v>108.44</v>
      </c>
      <c r="EW323">
        <v>0.6</v>
      </c>
      <c r="EX323">
        <v>0</v>
      </c>
      <c r="EY323">
        <v>0</v>
      </c>
      <c r="FQ323">
        <v>0</v>
      </c>
      <c r="FR323">
        <f t="shared" si="267"/>
        <v>0</v>
      </c>
      <c r="FS323">
        <v>0</v>
      </c>
      <c r="FX323">
        <v>70</v>
      </c>
      <c r="FY323">
        <v>10</v>
      </c>
      <c r="GA323" t="s">
        <v>3</v>
      </c>
      <c r="GD323">
        <v>0</v>
      </c>
      <c r="GF323">
        <v>1026021414</v>
      </c>
      <c r="GG323">
        <v>2</v>
      </c>
      <c r="GH323">
        <v>1</v>
      </c>
      <c r="GI323">
        <v>-2</v>
      </c>
      <c r="GJ323">
        <v>0</v>
      </c>
      <c r="GK323">
        <f>ROUND(R323*(R12)/100,2)</f>
        <v>0</v>
      </c>
      <c r="GL323">
        <f t="shared" si="268"/>
        <v>0</v>
      </c>
      <c r="GM323">
        <f t="shared" si="269"/>
        <v>46143.39</v>
      </c>
      <c r="GN323">
        <f t="shared" si="270"/>
        <v>0</v>
      </c>
      <c r="GO323">
        <f t="shared" si="271"/>
        <v>0</v>
      </c>
      <c r="GP323">
        <f t="shared" si="272"/>
        <v>46143.39</v>
      </c>
      <c r="GR323">
        <v>0</v>
      </c>
      <c r="GS323">
        <v>0</v>
      </c>
      <c r="GT323">
        <v>0</v>
      </c>
      <c r="GU323" t="s">
        <v>3</v>
      </c>
      <c r="GV323">
        <f t="shared" si="273"/>
        <v>0</v>
      </c>
      <c r="GW323">
        <v>1</v>
      </c>
      <c r="GX323">
        <f t="shared" si="274"/>
        <v>0</v>
      </c>
      <c r="HA323">
        <v>0</v>
      </c>
      <c r="HB323">
        <v>0</v>
      </c>
      <c r="HC323">
        <f t="shared" si="275"/>
        <v>0</v>
      </c>
      <c r="IK323">
        <v>0</v>
      </c>
    </row>
    <row r="324" spans="1:245">
      <c r="A324">
        <v>17</v>
      </c>
      <c r="B324">
        <v>1</v>
      </c>
      <c r="C324">
        <f>ROW(SmtRes!A190)</f>
        <v>190</v>
      </c>
      <c r="D324">
        <f>ROW(EtalonRes!A173)</f>
        <v>173</v>
      </c>
      <c r="E324" t="s">
        <v>318</v>
      </c>
      <c r="F324" t="s">
        <v>319</v>
      </c>
      <c r="G324" t="s">
        <v>320</v>
      </c>
      <c r="H324" t="s">
        <v>18</v>
      </c>
      <c r="I324">
        <f>ROUND(236.4/100,9)</f>
        <v>2.3639999999999999</v>
      </c>
      <c r="J324">
        <v>0</v>
      </c>
      <c r="O324">
        <f t="shared" si="236"/>
        <v>9987.9</v>
      </c>
      <c r="P324">
        <f t="shared" si="237"/>
        <v>4780.62</v>
      </c>
      <c r="Q324">
        <f t="shared" si="238"/>
        <v>0</v>
      </c>
      <c r="R324">
        <f t="shared" si="239"/>
        <v>0</v>
      </c>
      <c r="S324">
        <f t="shared" si="240"/>
        <v>5207.28</v>
      </c>
      <c r="T324">
        <f t="shared" si="241"/>
        <v>0</v>
      </c>
      <c r="U324">
        <f t="shared" si="242"/>
        <v>24.680159999999997</v>
      </c>
      <c r="V324">
        <f t="shared" si="243"/>
        <v>0</v>
      </c>
      <c r="W324">
        <f t="shared" si="244"/>
        <v>0</v>
      </c>
      <c r="X324">
        <f t="shared" si="245"/>
        <v>3645.1</v>
      </c>
      <c r="Y324">
        <f t="shared" si="246"/>
        <v>520.73</v>
      </c>
      <c r="AA324">
        <v>42225948</v>
      </c>
      <c r="AB324">
        <f t="shared" si="247"/>
        <v>4225</v>
      </c>
      <c r="AC324">
        <f t="shared" si="248"/>
        <v>2022.26</v>
      </c>
      <c r="AD324">
        <f t="shared" si="249"/>
        <v>0</v>
      </c>
      <c r="AE324">
        <f t="shared" si="250"/>
        <v>0</v>
      </c>
      <c r="AF324">
        <f t="shared" si="251"/>
        <v>2202.7399999999998</v>
      </c>
      <c r="AG324">
        <f t="shared" si="252"/>
        <v>0</v>
      </c>
      <c r="AH324">
        <f t="shared" si="253"/>
        <v>10.44</v>
      </c>
      <c r="AI324">
        <f t="shared" si="254"/>
        <v>0</v>
      </c>
      <c r="AJ324">
        <f t="shared" si="255"/>
        <v>0</v>
      </c>
      <c r="AK324">
        <v>4225</v>
      </c>
      <c r="AL324">
        <v>2022.26</v>
      </c>
      <c r="AM324">
        <v>0</v>
      </c>
      <c r="AN324">
        <v>0</v>
      </c>
      <c r="AO324">
        <v>2202.7399999999998</v>
      </c>
      <c r="AP324">
        <v>0</v>
      </c>
      <c r="AQ324">
        <v>10.44</v>
      </c>
      <c r="AR324">
        <v>0</v>
      </c>
      <c r="AS324">
        <v>0</v>
      </c>
      <c r="AT324">
        <v>70</v>
      </c>
      <c r="AU324">
        <v>10</v>
      </c>
      <c r="AV324">
        <v>1</v>
      </c>
      <c r="AW324">
        <v>1</v>
      </c>
      <c r="AZ324">
        <v>1</v>
      </c>
      <c r="BA324">
        <v>1</v>
      </c>
      <c r="BB324">
        <v>1</v>
      </c>
      <c r="BC324">
        <v>1</v>
      </c>
      <c r="BD324" t="s">
        <v>3</v>
      </c>
      <c r="BE324" t="s">
        <v>3</v>
      </c>
      <c r="BF324" t="s">
        <v>3</v>
      </c>
      <c r="BG324" t="s">
        <v>3</v>
      </c>
      <c r="BH324">
        <v>0</v>
      </c>
      <c r="BI324">
        <v>4</v>
      </c>
      <c r="BJ324" t="s">
        <v>321</v>
      </c>
      <c r="BM324">
        <v>0</v>
      </c>
      <c r="BN324">
        <v>0</v>
      </c>
      <c r="BO324" t="s">
        <v>3</v>
      </c>
      <c r="BP324">
        <v>0</v>
      </c>
      <c r="BQ324">
        <v>1</v>
      </c>
      <c r="BR324">
        <v>0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 t="s">
        <v>3</v>
      </c>
      <c r="BZ324">
        <v>70</v>
      </c>
      <c r="CA324">
        <v>10</v>
      </c>
      <c r="CE324">
        <v>0</v>
      </c>
      <c r="CF324">
        <v>0</v>
      </c>
      <c r="CG324">
        <v>0</v>
      </c>
      <c r="CM324">
        <v>0</v>
      </c>
      <c r="CN324" t="s">
        <v>3</v>
      </c>
      <c r="CO324">
        <v>0</v>
      </c>
      <c r="CP324">
        <f t="shared" si="256"/>
        <v>9987.9</v>
      </c>
      <c r="CQ324">
        <f t="shared" si="257"/>
        <v>2022.26</v>
      </c>
      <c r="CR324">
        <f t="shared" si="258"/>
        <v>0</v>
      </c>
      <c r="CS324">
        <f t="shared" si="259"/>
        <v>0</v>
      </c>
      <c r="CT324">
        <f t="shared" si="260"/>
        <v>2202.7399999999998</v>
      </c>
      <c r="CU324">
        <f t="shared" si="261"/>
        <v>0</v>
      </c>
      <c r="CV324">
        <f t="shared" si="262"/>
        <v>10.44</v>
      </c>
      <c r="CW324">
        <f t="shared" si="263"/>
        <v>0</v>
      </c>
      <c r="CX324">
        <f t="shared" si="264"/>
        <v>0</v>
      </c>
      <c r="CY324">
        <f t="shared" si="265"/>
        <v>3645.0959999999995</v>
      </c>
      <c r="CZ324">
        <f t="shared" si="266"/>
        <v>520.72799999999995</v>
      </c>
      <c r="DC324" t="s">
        <v>3</v>
      </c>
      <c r="DD324" t="s">
        <v>3</v>
      </c>
      <c r="DE324" t="s">
        <v>3</v>
      </c>
      <c r="DF324" t="s">
        <v>3</v>
      </c>
      <c r="DG324" t="s">
        <v>3</v>
      </c>
      <c r="DH324" t="s">
        <v>3</v>
      </c>
      <c r="DI324" t="s">
        <v>3</v>
      </c>
      <c r="DJ324" t="s">
        <v>3</v>
      </c>
      <c r="DK324" t="s">
        <v>3</v>
      </c>
      <c r="DL324" t="s">
        <v>3</v>
      </c>
      <c r="DM324" t="s">
        <v>3</v>
      </c>
      <c r="DN324">
        <v>0</v>
      </c>
      <c r="DO324">
        <v>0</v>
      </c>
      <c r="DP324">
        <v>1</v>
      </c>
      <c r="DQ324">
        <v>1</v>
      </c>
      <c r="DU324">
        <v>1005</v>
      </c>
      <c r="DV324" t="s">
        <v>18</v>
      </c>
      <c r="DW324" t="s">
        <v>18</v>
      </c>
      <c r="DX324">
        <v>100</v>
      </c>
      <c r="EE324">
        <v>40050625</v>
      </c>
      <c r="EF324">
        <v>1</v>
      </c>
      <c r="EG324" t="s">
        <v>20</v>
      </c>
      <c r="EH324">
        <v>0</v>
      </c>
      <c r="EI324" t="s">
        <v>3</v>
      </c>
      <c r="EJ324">
        <v>4</v>
      </c>
      <c r="EK324">
        <v>0</v>
      </c>
      <c r="EL324" t="s">
        <v>21</v>
      </c>
      <c r="EM324" t="s">
        <v>22</v>
      </c>
      <c r="EO324" t="s">
        <v>3</v>
      </c>
      <c r="EQ324">
        <v>0</v>
      </c>
      <c r="ER324">
        <v>4225</v>
      </c>
      <c r="ES324">
        <v>2022.26</v>
      </c>
      <c r="ET324">
        <v>0</v>
      </c>
      <c r="EU324">
        <v>0</v>
      </c>
      <c r="EV324">
        <v>2202.7399999999998</v>
      </c>
      <c r="EW324">
        <v>10.44</v>
      </c>
      <c r="EX324">
        <v>0</v>
      </c>
      <c r="EY324">
        <v>0</v>
      </c>
      <c r="FQ324">
        <v>0</v>
      </c>
      <c r="FR324">
        <f t="shared" si="267"/>
        <v>0</v>
      </c>
      <c r="FS324">
        <v>0</v>
      </c>
      <c r="FX324">
        <v>70</v>
      </c>
      <c r="FY324">
        <v>10</v>
      </c>
      <c r="GA324" t="s">
        <v>3</v>
      </c>
      <c r="GD324">
        <v>0</v>
      </c>
      <c r="GF324">
        <v>-529461779</v>
      </c>
      <c r="GG324">
        <v>2</v>
      </c>
      <c r="GH324">
        <v>1</v>
      </c>
      <c r="GI324">
        <v>-2</v>
      </c>
      <c r="GJ324">
        <v>0</v>
      </c>
      <c r="GK324">
        <f>ROUND(R324*(R12)/100,2)</f>
        <v>0</v>
      </c>
      <c r="GL324">
        <f t="shared" si="268"/>
        <v>0</v>
      </c>
      <c r="GM324">
        <f t="shared" si="269"/>
        <v>14153.73</v>
      </c>
      <c r="GN324">
        <f t="shared" si="270"/>
        <v>0</v>
      </c>
      <c r="GO324">
        <f t="shared" si="271"/>
        <v>0</v>
      </c>
      <c r="GP324">
        <f t="shared" si="272"/>
        <v>14153.73</v>
      </c>
      <c r="GR324">
        <v>0</v>
      </c>
      <c r="GS324">
        <v>0</v>
      </c>
      <c r="GT324">
        <v>0</v>
      </c>
      <c r="GU324" t="s">
        <v>3</v>
      </c>
      <c r="GV324">
        <f t="shared" si="273"/>
        <v>0</v>
      </c>
      <c r="GW324">
        <v>1</v>
      </c>
      <c r="GX324">
        <f t="shared" si="274"/>
        <v>0</v>
      </c>
      <c r="HA324">
        <v>0</v>
      </c>
      <c r="HB324">
        <v>0</v>
      </c>
      <c r="HC324">
        <f t="shared" si="275"/>
        <v>0</v>
      </c>
      <c r="IK324">
        <v>0</v>
      </c>
    </row>
    <row r="325" spans="1:245">
      <c r="A325">
        <v>17</v>
      </c>
      <c r="B325">
        <v>1</v>
      </c>
      <c r="C325">
        <f>ROW(SmtRes!A196)</f>
        <v>196</v>
      </c>
      <c r="D325">
        <f>ROW(EtalonRes!A179)</f>
        <v>179</v>
      </c>
      <c r="E325" t="s">
        <v>322</v>
      </c>
      <c r="F325" t="s">
        <v>323</v>
      </c>
      <c r="G325" t="s">
        <v>324</v>
      </c>
      <c r="H325" t="s">
        <v>325</v>
      </c>
      <c r="I325">
        <f>ROUND(236.4/10,9)</f>
        <v>23.64</v>
      </c>
      <c r="J325">
        <v>0</v>
      </c>
      <c r="O325">
        <f t="shared" si="236"/>
        <v>156521.85</v>
      </c>
      <c r="P325">
        <f t="shared" si="237"/>
        <v>70020.73</v>
      </c>
      <c r="Q325">
        <f t="shared" si="238"/>
        <v>0</v>
      </c>
      <c r="R325">
        <f t="shared" si="239"/>
        <v>0</v>
      </c>
      <c r="S325">
        <f t="shared" si="240"/>
        <v>86501.119999999995</v>
      </c>
      <c r="T325">
        <f t="shared" si="241"/>
        <v>0</v>
      </c>
      <c r="U325">
        <f t="shared" si="242"/>
        <v>403.53480000000002</v>
      </c>
      <c r="V325">
        <f t="shared" si="243"/>
        <v>0</v>
      </c>
      <c r="W325">
        <f t="shared" si="244"/>
        <v>0</v>
      </c>
      <c r="X325">
        <f t="shared" si="245"/>
        <v>60550.78</v>
      </c>
      <c r="Y325">
        <f t="shared" si="246"/>
        <v>8650.11</v>
      </c>
      <c r="AA325">
        <v>42225948</v>
      </c>
      <c r="AB325">
        <f t="shared" si="247"/>
        <v>6621.06</v>
      </c>
      <c r="AC325">
        <f t="shared" si="248"/>
        <v>2961.96</v>
      </c>
      <c r="AD325">
        <f t="shared" si="249"/>
        <v>0</v>
      </c>
      <c r="AE325">
        <f t="shared" si="250"/>
        <v>0</v>
      </c>
      <c r="AF325">
        <f t="shared" si="251"/>
        <v>3659.1</v>
      </c>
      <c r="AG325">
        <f t="shared" si="252"/>
        <v>0</v>
      </c>
      <c r="AH325">
        <f t="shared" si="253"/>
        <v>17.07</v>
      </c>
      <c r="AI325">
        <f t="shared" si="254"/>
        <v>0</v>
      </c>
      <c r="AJ325">
        <f t="shared" si="255"/>
        <v>0</v>
      </c>
      <c r="AK325">
        <v>6621.06</v>
      </c>
      <c r="AL325">
        <v>2961.96</v>
      </c>
      <c r="AM325">
        <v>0</v>
      </c>
      <c r="AN325">
        <v>0</v>
      </c>
      <c r="AO325">
        <v>3659.1</v>
      </c>
      <c r="AP325">
        <v>0</v>
      </c>
      <c r="AQ325">
        <v>17.07</v>
      </c>
      <c r="AR325">
        <v>0</v>
      </c>
      <c r="AS325">
        <v>0</v>
      </c>
      <c r="AT325">
        <v>70</v>
      </c>
      <c r="AU325">
        <v>10</v>
      </c>
      <c r="AV325">
        <v>1</v>
      </c>
      <c r="AW325">
        <v>1</v>
      </c>
      <c r="AZ325">
        <v>1</v>
      </c>
      <c r="BA325">
        <v>1</v>
      </c>
      <c r="BB325">
        <v>1</v>
      </c>
      <c r="BC325">
        <v>1</v>
      </c>
      <c r="BD325" t="s">
        <v>3</v>
      </c>
      <c r="BE325" t="s">
        <v>3</v>
      </c>
      <c r="BF325" t="s">
        <v>3</v>
      </c>
      <c r="BG325" t="s">
        <v>3</v>
      </c>
      <c r="BH325">
        <v>0</v>
      </c>
      <c r="BI325">
        <v>4</v>
      </c>
      <c r="BJ325" t="s">
        <v>326</v>
      </c>
      <c r="BM325">
        <v>0</v>
      </c>
      <c r="BN325">
        <v>0</v>
      </c>
      <c r="BO325" t="s">
        <v>3</v>
      </c>
      <c r="BP325">
        <v>0</v>
      </c>
      <c r="BQ325">
        <v>1</v>
      </c>
      <c r="BR325">
        <v>0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 t="s">
        <v>3</v>
      </c>
      <c r="BZ325">
        <v>70</v>
      </c>
      <c r="CA325">
        <v>10</v>
      </c>
      <c r="CE325">
        <v>0</v>
      </c>
      <c r="CF325">
        <v>0</v>
      </c>
      <c r="CG325">
        <v>0</v>
      </c>
      <c r="CM325">
        <v>0</v>
      </c>
      <c r="CN325" t="s">
        <v>3</v>
      </c>
      <c r="CO325">
        <v>0</v>
      </c>
      <c r="CP325">
        <f t="shared" si="256"/>
        <v>156521.84999999998</v>
      </c>
      <c r="CQ325">
        <f t="shared" si="257"/>
        <v>2961.96</v>
      </c>
      <c r="CR325">
        <f t="shared" si="258"/>
        <v>0</v>
      </c>
      <c r="CS325">
        <f t="shared" si="259"/>
        <v>0</v>
      </c>
      <c r="CT325">
        <f t="shared" si="260"/>
        <v>3659.1</v>
      </c>
      <c r="CU325">
        <f t="shared" si="261"/>
        <v>0</v>
      </c>
      <c r="CV325">
        <f t="shared" si="262"/>
        <v>17.07</v>
      </c>
      <c r="CW325">
        <f t="shared" si="263"/>
        <v>0</v>
      </c>
      <c r="CX325">
        <f t="shared" si="264"/>
        <v>0</v>
      </c>
      <c r="CY325">
        <f t="shared" si="265"/>
        <v>60550.783999999992</v>
      </c>
      <c r="CZ325">
        <f t="shared" si="266"/>
        <v>8650.1119999999992</v>
      </c>
      <c r="DC325" t="s">
        <v>3</v>
      </c>
      <c r="DD325" t="s">
        <v>3</v>
      </c>
      <c r="DE325" t="s">
        <v>3</v>
      </c>
      <c r="DF325" t="s">
        <v>3</v>
      </c>
      <c r="DG325" t="s">
        <v>3</v>
      </c>
      <c r="DH325" t="s">
        <v>3</v>
      </c>
      <c r="DI325" t="s">
        <v>3</v>
      </c>
      <c r="DJ325" t="s">
        <v>3</v>
      </c>
      <c r="DK325" t="s">
        <v>3</v>
      </c>
      <c r="DL325" t="s">
        <v>3</v>
      </c>
      <c r="DM325" t="s">
        <v>3</v>
      </c>
      <c r="DN325">
        <v>0</v>
      </c>
      <c r="DO325">
        <v>0</v>
      </c>
      <c r="DP325">
        <v>1</v>
      </c>
      <c r="DQ325">
        <v>1</v>
      </c>
      <c r="DU325">
        <v>1005</v>
      </c>
      <c r="DV325" t="s">
        <v>325</v>
      </c>
      <c r="DW325" t="s">
        <v>325</v>
      </c>
      <c r="DX325">
        <v>10</v>
      </c>
      <c r="EE325">
        <v>40050625</v>
      </c>
      <c r="EF325">
        <v>1</v>
      </c>
      <c r="EG325" t="s">
        <v>20</v>
      </c>
      <c r="EH325">
        <v>0</v>
      </c>
      <c r="EI325" t="s">
        <v>3</v>
      </c>
      <c r="EJ325">
        <v>4</v>
      </c>
      <c r="EK325">
        <v>0</v>
      </c>
      <c r="EL325" t="s">
        <v>21</v>
      </c>
      <c r="EM325" t="s">
        <v>22</v>
      </c>
      <c r="EO325" t="s">
        <v>3</v>
      </c>
      <c r="EQ325">
        <v>0</v>
      </c>
      <c r="ER325">
        <v>6621.06</v>
      </c>
      <c r="ES325">
        <v>2961.96</v>
      </c>
      <c r="ET325">
        <v>0</v>
      </c>
      <c r="EU325">
        <v>0</v>
      </c>
      <c r="EV325">
        <v>3659.1</v>
      </c>
      <c r="EW325">
        <v>17.07</v>
      </c>
      <c r="EX325">
        <v>0</v>
      </c>
      <c r="EY325">
        <v>0</v>
      </c>
      <c r="FQ325">
        <v>0</v>
      </c>
      <c r="FR325">
        <f t="shared" si="267"/>
        <v>0</v>
      </c>
      <c r="FS325">
        <v>0</v>
      </c>
      <c r="FX325">
        <v>70</v>
      </c>
      <c r="FY325">
        <v>10</v>
      </c>
      <c r="GA325" t="s">
        <v>3</v>
      </c>
      <c r="GD325">
        <v>0</v>
      </c>
      <c r="GF325">
        <v>-1484930060</v>
      </c>
      <c r="GG325">
        <v>2</v>
      </c>
      <c r="GH325">
        <v>1</v>
      </c>
      <c r="GI325">
        <v>-2</v>
      </c>
      <c r="GJ325">
        <v>0</v>
      </c>
      <c r="GK325">
        <f>ROUND(R325*(R12)/100,2)</f>
        <v>0</v>
      </c>
      <c r="GL325">
        <f t="shared" si="268"/>
        <v>0</v>
      </c>
      <c r="GM325">
        <f t="shared" si="269"/>
        <v>225722.74</v>
      </c>
      <c r="GN325">
        <f t="shared" si="270"/>
        <v>0</v>
      </c>
      <c r="GO325">
        <f t="shared" si="271"/>
        <v>0</v>
      </c>
      <c r="GP325">
        <f t="shared" si="272"/>
        <v>225722.74</v>
      </c>
      <c r="GR325">
        <v>0</v>
      </c>
      <c r="GS325">
        <v>0</v>
      </c>
      <c r="GT325">
        <v>0</v>
      </c>
      <c r="GU325" t="s">
        <v>3</v>
      </c>
      <c r="GV325">
        <f t="shared" si="273"/>
        <v>0</v>
      </c>
      <c r="GW325">
        <v>1</v>
      </c>
      <c r="GX325">
        <f t="shared" si="274"/>
        <v>0</v>
      </c>
      <c r="HA325">
        <v>0</v>
      </c>
      <c r="HB325">
        <v>0</v>
      </c>
      <c r="HC325">
        <f t="shared" si="275"/>
        <v>0</v>
      </c>
      <c r="IK325">
        <v>0</v>
      </c>
    </row>
    <row r="326" spans="1:245">
      <c r="A326">
        <v>17</v>
      </c>
      <c r="B326">
        <v>1</v>
      </c>
      <c r="C326">
        <f>ROW(SmtRes!A199)</f>
        <v>199</v>
      </c>
      <c r="D326">
        <f>ROW(EtalonRes!A182)</f>
        <v>182</v>
      </c>
      <c r="E326" t="s">
        <v>327</v>
      </c>
      <c r="F326" t="s">
        <v>328</v>
      </c>
      <c r="G326" t="s">
        <v>329</v>
      </c>
      <c r="H326" t="s">
        <v>18</v>
      </c>
      <c r="I326">
        <f>ROUND(236.4/100,9)</f>
        <v>2.3639999999999999</v>
      </c>
      <c r="J326">
        <v>0</v>
      </c>
      <c r="O326">
        <f t="shared" si="236"/>
        <v>81482.070000000007</v>
      </c>
      <c r="P326">
        <f t="shared" si="237"/>
        <v>16469.52</v>
      </c>
      <c r="Q326">
        <f t="shared" si="238"/>
        <v>0</v>
      </c>
      <c r="R326">
        <f t="shared" si="239"/>
        <v>0</v>
      </c>
      <c r="S326">
        <f t="shared" si="240"/>
        <v>65012.55</v>
      </c>
      <c r="T326">
        <f t="shared" si="241"/>
        <v>0</v>
      </c>
      <c r="U326">
        <f t="shared" si="242"/>
        <v>278.952</v>
      </c>
      <c r="V326">
        <f t="shared" si="243"/>
        <v>0</v>
      </c>
      <c r="W326">
        <f t="shared" si="244"/>
        <v>0</v>
      </c>
      <c r="X326">
        <f t="shared" si="245"/>
        <v>45508.79</v>
      </c>
      <c r="Y326">
        <f t="shared" si="246"/>
        <v>6501.26</v>
      </c>
      <c r="AA326">
        <v>42225948</v>
      </c>
      <c r="AB326">
        <f t="shared" si="247"/>
        <v>34467.879999999997</v>
      </c>
      <c r="AC326">
        <f>ROUND(((ES326*2)),6)</f>
        <v>6966.8</v>
      </c>
      <c r="AD326">
        <f>ROUND(((((ET326*2))-((EU326*2)))+AE326),6)</f>
        <v>0</v>
      </c>
      <c r="AE326">
        <f>ROUND(((EU326*2)),6)</f>
        <v>0</v>
      </c>
      <c r="AF326">
        <f>ROUND(((EV326*2)),6)</f>
        <v>27501.08</v>
      </c>
      <c r="AG326">
        <f t="shared" si="252"/>
        <v>0</v>
      </c>
      <c r="AH326">
        <f>((EW326*2))</f>
        <v>118</v>
      </c>
      <c r="AI326">
        <f>((EX326*2))</f>
        <v>0</v>
      </c>
      <c r="AJ326">
        <f t="shared" si="255"/>
        <v>0</v>
      </c>
      <c r="AK326">
        <v>17233.939999999999</v>
      </c>
      <c r="AL326">
        <v>3483.4</v>
      </c>
      <c r="AM326">
        <v>0</v>
      </c>
      <c r="AN326">
        <v>0</v>
      </c>
      <c r="AO326">
        <v>13750.54</v>
      </c>
      <c r="AP326">
        <v>0</v>
      </c>
      <c r="AQ326">
        <v>59</v>
      </c>
      <c r="AR326">
        <v>0</v>
      </c>
      <c r="AS326">
        <v>0</v>
      </c>
      <c r="AT326">
        <v>70</v>
      </c>
      <c r="AU326">
        <v>10</v>
      </c>
      <c r="AV326">
        <v>1</v>
      </c>
      <c r="AW326">
        <v>1</v>
      </c>
      <c r="AZ326">
        <v>1</v>
      </c>
      <c r="BA326">
        <v>1</v>
      </c>
      <c r="BB326">
        <v>1</v>
      </c>
      <c r="BC326">
        <v>1</v>
      </c>
      <c r="BD326" t="s">
        <v>3</v>
      </c>
      <c r="BE326" t="s">
        <v>3</v>
      </c>
      <c r="BF326" t="s">
        <v>3</v>
      </c>
      <c r="BG326" t="s">
        <v>3</v>
      </c>
      <c r="BH326">
        <v>0</v>
      </c>
      <c r="BI326">
        <v>4</v>
      </c>
      <c r="BJ326" t="s">
        <v>330</v>
      </c>
      <c r="BM326">
        <v>0</v>
      </c>
      <c r="BN326">
        <v>0</v>
      </c>
      <c r="BO326" t="s">
        <v>3</v>
      </c>
      <c r="BP326">
        <v>0</v>
      </c>
      <c r="BQ326">
        <v>1</v>
      </c>
      <c r="BR326">
        <v>0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 t="s">
        <v>3</v>
      </c>
      <c r="BZ326">
        <v>70</v>
      </c>
      <c r="CA326">
        <v>10</v>
      </c>
      <c r="CE326">
        <v>0</v>
      </c>
      <c r="CF326">
        <v>0</v>
      </c>
      <c r="CG326">
        <v>0</v>
      </c>
      <c r="CM326">
        <v>0</v>
      </c>
      <c r="CN326" t="s">
        <v>3</v>
      </c>
      <c r="CO326">
        <v>0</v>
      </c>
      <c r="CP326">
        <f t="shared" si="256"/>
        <v>81482.070000000007</v>
      </c>
      <c r="CQ326">
        <f t="shared" si="257"/>
        <v>6966.8</v>
      </c>
      <c r="CR326">
        <f>(((((ET326*2))*BB326-((EU326*2))*BS326)+AE326*BS326)*AV326)</f>
        <v>0</v>
      </c>
      <c r="CS326">
        <f t="shared" si="259"/>
        <v>0</v>
      </c>
      <c r="CT326">
        <f t="shared" si="260"/>
        <v>27501.08</v>
      </c>
      <c r="CU326">
        <f t="shared" si="261"/>
        <v>0</v>
      </c>
      <c r="CV326">
        <f t="shared" si="262"/>
        <v>118</v>
      </c>
      <c r="CW326">
        <f t="shared" si="263"/>
        <v>0</v>
      </c>
      <c r="CX326">
        <f t="shared" si="264"/>
        <v>0</v>
      </c>
      <c r="CY326">
        <f t="shared" si="265"/>
        <v>45508.785000000003</v>
      </c>
      <c r="CZ326">
        <f t="shared" si="266"/>
        <v>6501.2550000000001</v>
      </c>
      <c r="DC326" t="s">
        <v>3</v>
      </c>
      <c r="DD326" t="s">
        <v>43</v>
      </c>
      <c r="DE326" t="s">
        <v>43</v>
      </c>
      <c r="DF326" t="s">
        <v>43</v>
      </c>
      <c r="DG326" t="s">
        <v>43</v>
      </c>
      <c r="DH326" t="s">
        <v>3</v>
      </c>
      <c r="DI326" t="s">
        <v>43</v>
      </c>
      <c r="DJ326" t="s">
        <v>43</v>
      </c>
      <c r="DK326" t="s">
        <v>3</v>
      </c>
      <c r="DL326" t="s">
        <v>3</v>
      </c>
      <c r="DM326" t="s">
        <v>3</v>
      </c>
      <c r="DN326">
        <v>0</v>
      </c>
      <c r="DO326">
        <v>0</v>
      </c>
      <c r="DP326">
        <v>1</v>
      </c>
      <c r="DQ326">
        <v>1</v>
      </c>
      <c r="DU326">
        <v>1005</v>
      </c>
      <c r="DV326" t="s">
        <v>18</v>
      </c>
      <c r="DW326" t="s">
        <v>18</v>
      </c>
      <c r="DX326">
        <v>100</v>
      </c>
      <c r="EE326">
        <v>40050625</v>
      </c>
      <c r="EF326">
        <v>1</v>
      </c>
      <c r="EG326" t="s">
        <v>20</v>
      </c>
      <c r="EH326">
        <v>0</v>
      </c>
      <c r="EI326" t="s">
        <v>3</v>
      </c>
      <c r="EJ326">
        <v>4</v>
      </c>
      <c r="EK326">
        <v>0</v>
      </c>
      <c r="EL326" t="s">
        <v>21</v>
      </c>
      <c r="EM326" t="s">
        <v>22</v>
      </c>
      <c r="EO326" t="s">
        <v>3</v>
      </c>
      <c r="EQ326">
        <v>0</v>
      </c>
      <c r="ER326">
        <v>17233.939999999999</v>
      </c>
      <c r="ES326">
        <v>3483.4</v>
      </c>
      <c r="ET326">
        <v>0</v>
      </c>
      <c r="EU326">
        <v>0</v>
      </c>
      <c r="EV326">
        <v>13750.54</v>
      </c>
      <c r="EW326">
        <v>59</v>
      </c>
      <c r="EX326">
        <v>0</v>
      </c>
      <c r="EY326">
        <v>0</v>
      </c>
      <c r="FQ326">
        <v>0</v>
      </c>
      <c r="FR326">
        <f t="shared" si="267"/>
        <v>0</v>
      </c>
      <c r="FS326">
        <v>0</v>
      </c>
      <c r="FX326">
        <v>70</v>
      </c>
      <c r="FY326">
        <v>10</v>
      </c>
      <c r="GA326" t="s">
        <v>3</v>
      </c>
      <c r="GD326">
        <v>0</v>
      </c>
      <c r="GF326">
        <v>1045987745</v>
      </c>
      <c r="GG326">
        <v>2</v>
      </c>
      <c r="GH326">
        <v>1</v>
      </c>
      <c r="GI326">
        <v>-2</v>
      </c>
      <c r="GJ326">
        <v>0</v>
      </c>
      <c r="GK326">
        <f>ROUND(R326*(R12)/100,2)</f>
        <v>0</v>
      </c>
      <c r="GL326">
        <f t="shared" si="268"/>
        <v>0</v>
      </c>
      <c r="GM326">
        <f t="shared" si="269"/>
        <v>133492.12</v>
      </c>
      <c r="GN326">
        <f t="shared" si="270"/>
        <v>0</v>
      </c>
      <c r="GO326">
        <f t="shared" si="271"/>
        <v>0</v>
      </c>
      <c r="GP326">
        <f t="shared" si="272"/>
        <v>133492.12</v>
      </c>
      <c r="GR326">
        <v>0</v>
      </c>
      <c r="GS326">
        <v>0</v>
      </c>
      <c r="GT326">
        <v>0</v>
      </c>
      <c r="GU326" t="s">
        <v>3</v>
      </c>
      <c r="GV326">
        <f t="shared" si="273"/>
        <v>0</v>
      </c>
      <c r="GW326">
        <v>1</v>
      </c>
      <c r="GX326">
        <f t="shared" si="274"/>
        <v>0</v>
      </c>
      <c r="HA326">
        <v>0</v>
      </c>
      <c r="HB326">
        <v>0</v>
      </c>
      <c r="HC326">
        <f t="shared" si="275"/>
        <v>0</v>
      </c>
      <c r="IK326">
        <v>0</v>
      </c>
    </row>
    <row r="327" spans="1:245">
      <c r="A327">
        <v>17</v>
      </c>
      <c r="B327">
        <v>1</v>
      </c>
      <c r="C327">
        <f>ROW(SmtRes!A205)</f>
        <v>205</v>
      </c>
      <c r="D327">
        <f>ROW(EtalonRes!A188)</f>
        <v>188</v>
      </c>
      <c r="E327" t="s">
        <v>331</v>
      </c>
      <c r="F327" t="s">
        <v>332</v>
      </c>
      <c r="G327" t="s">
        <v>333</v>
      </c>
      <c r="H327" t="s">
        <v>302</v>
      </c>
      <c r="I327">
        <v>23.89</v>
      </c>
      <c r="J327">
        <v>0</v>
      </c>
      <c r="O327">
        <f t="shared" si="236"/>
        <v>52842.76</v>
      </c>
      <c r="P327">
        <f t="shared" si="237"/>
        <v>1504.83</v>
      </c>
      <c r="Q327">
        <f t="shared" si="238"/>
        <v>30782.74</v>
      </c>
      <c r="R327">
        <f t="shared" si="239"/>
        <v>14856.95</v>
      </c>
      <c r="S327">
        <f t="shared" si="240"/>
        <v>20555.189999999999</v>
      </c>
      <c r="T327">
        <f t="shared" si="241"/>
        <v>0</v>
      </c>
      <c r="U327">
        <f t="shared" si="242"/>
        <v>94.126599999999996</v>
      </c>
      <c r="V327">
        <f t="shared" si="243"/>
        <v>0</v>
      </c>
      <c r="W327">
        <f t="shared" si="244"/>
        <v>0</v>
      </c>
      <c r="X327">
        <f t="shared" si="245"/>
        <v>16444.150000000001</v>
      </c>
      <c r="Y327">
        <f t="shared" si="246"/>
        <v>2055.52</v>
      </c>
      <c r="AA327">
        <v>42225948</v>
      </c>
      <c r="AB327">
        <f t="shared" si="247"/>
        <v>2211.92</v>
      </c>
      <c r="AC327">
        <f>ROUND((ES327),6)</f>
        <v>62.99</v>
      </c>
      <c r="AD327">
        <f>ROUND((((ET327)-(EU327))+AE327),6)</f>
        <v>1288.52</v>
      </c>
      <c r="AE327">
        <f>ROUND((EU327),6)</f>
        <v>621.89</v>
      </c>
      <c r="AF327">
        <f>ROUND((EV327),6)</f>
        <v>860.41</v>
      </c>
      <c r="AG327">
        <f t="shared" si="252"/>
        <v>0</v>
      </c>
      <c r="AH327">
        <f>(EW327)</f>
        <v>3.94</v>
      </c>
      <c r="AI327">
        <f>(EX327)</f>
        <v>0</v>
      </c>
      <c r="AJ327">
        <f t="shared" si="255"/>
        <v>0</v>
      </c>
      <c r="AK327">
        <v>2211.92</v>
      </c>
      <c r="AL327">
        <v>62.99</v>
      </c>
      <c r="AM327">
        <v>1288.52</v>
      </c>
      <c r="AN327">
        <v>621.89</v>
      </c>
      <c r="AO327">
        <v>860.41</v>
      </c>
      <c r="AP327">
        <v>0</v>
      </c>
      <c r="AQ327">
        <v>3.94</v>
      </c>
      <c r="AR327">
        <v>0</v>
      </c>
      <c r="AS327">
        <v>0</v>
      </c>
      <c r="AT327">
        <v>80</v>
      </c>
      <c r="AU327">
        <v>10</v>
      </c>
      <c r="AV327">
        <v>1</v>
      </c>
      <c r="AW327">
        <v>1</v>
      </c>
      <c r="AZ327">
        <v>1</v>
      </c>
      <c r="BA327">
        <v>1</v>
      </c>
      <c r="BB327">
        <v>1</v>
      </c>
      <c r="BC327">
        <v>1</v>
      </c>
      <c r="BD327" t="s">
        <v>3</v>
      </c>
      <c r="BE327" t="s">
        <v>3</v>
      </c>
      <c r="BF327" t="s">
        <v>3</v>
      </c>
      <c r="BG327" t="s">
        <v>3</v>
      </c>
      <c r="BH327">
        <v>0</v>
      </c>
      <c r="BI327">
        <v>4</v>
      </c>
      <c r="BJ327" t="s">
        <v>334</v>
      </c>
      <c r="BM327">
        <v>2</v>
      </c>
      <c r="BN327">
        <v>0</v>
      </c>
      <c r="BO327" t="s">
        <v>3</v>
      </c>
      <c r="BP327">
        <v>0</v>
      </c>
      <c r="BQ327">
        <v>1</v>
      </c>
      <c r="BR327">
        <v>0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 t="s">
        <v>3</v>
      </c>
      <c r="BZ327">
        <v>80</v>
      </c>
      <c r="CA327">
        <v>10</v>
      </c>
      <c r="CE327">
        <v>0</v>
      </c>
      <c r="CF327">
        <v>0</v>
      </c>
      <c r="CG327">
        <v>0</v>
      </c>
      <c r="CM327">
        <v>0</v>
      </c>
      <c r="CN327" t="s">
        <v>3</v>
      </c>
      <c r="CO327">
        <v>0</v>
      </c>
      <c r="CP327">
        <f t="shared" si="256"/>
        <v>52842.759999999995</v>
      </c>
      <c r="CQ327">
        <f t="shared" si="257"/>
        <v>62.99</v>
      </c>
      <c r="CR327">
        <f>((((ET327)*BB327-(EU327)*BS327)+AE327*BS327)*AV327)</f>
        <v>1288.52</v>
      </c>
      <c r="CS327">
        <f t="shared" si="259"/>
        <v>621.89</v>
      </c>
      <c r="CT327">
        <f t="shared" si="260"/>
        <v>860.41</v>
      </c>
      <c r="CU327">
        <f t="shared" si="261"/>
        <v>0</v>
      </c>
      <c r="CV327">
        <f t="shared" si="262"/>
        <v>3.94</v>
      </c>
      <c r="CW327">
        <f t="shared" si="263"/>
        <v>0</v>
      </c>
      <c r="CX327">
        <f t="shared" si="264"/>
        <v>0</v>
      </c>
      <c r="CY327">
        <f t="shared" si="265"/>
        <v>16444.151999999998</v>
      </c>
      <c r="CZ327">
        <f t="shared" si="266"/>
        <v>2055.5189999999998</v>
      </c>
      <c r="DC327" t="s">
        <v>3</v>
      </c>
      <c r="DD327" t="s">
        <v>3</v>
      </c>
      <c r="DE327" t="s">
        <v>3</v>
      </c>
      <c r="DF327" t="s">
        <v>3</v>
      </c>
      <c r="DG327" t="s">
        <v>3</v>
      </c>
      <c r="DH327" t="s">
        <v>3</v>
      </c>
      <c r="DI327" t="s">
        <v>3</v>
      </c>
      <c r="DJ327" t="s">
        <v>3</v>
      </c>
      <c r="DK327" t="s">
        <v>3</v>
      </c>
      <c r="DL327" t="s">
        <v>3</v>
      </c>
      <c r="DM327" t="s">
        <v>3</v>
      </c>
      <c r="DN327">
        <v>0</v>
      </c>
      <c r="DO327">
        <v>0</v>
      </c>
      <c r="DP327">
        <v>1</v>
      </c>
      <c r="DQ327">
        <v>1</v>
      </c>
      <c r="DU327">
        <v>1005</v>
      </c>
      <c r="DV327" t="s">
        <v>302</v>
      </c>
      <c r="DW327" t="s">
        <v>302</v>
      </c>
      <c r="DX327">
        <v>1</v>
      </c>
      <c r="EE327">
        <v>40050628</v>
      </c>
      <c r="EF327">
        <v>1</v>
      </c>
      <c r="EG327" t="s">
        <v>20</v>
      </c>
      <c r="EH327">
        <v>0</v>
      </c>
      <c r="EI327" t="s">
        <v>3</v>
      </c>
      <c r="EJ327">
        <v>4</v>
      </c>
      <c r="EK327">
        <v>2</v>
      </c>
      <c r="EL327" t="s">
        <v>335</v>
      </c>
      <c r="EM327" t="s">
        <v>22</v>
      </c>
      <c r="EO327" t="s">
        <v>3</v>
      </c>
      <c r="EQ327">
        <v>0</v>
      </c>
      <c r="ER327">
        <v>2211.92</v>
      </c>
      <c r="ES327">
        <v>62.99</v>
      </c>
      <c r="ET327">
        <v>1288.52</v>
      </c>
      <c r="EU327">
        <v>621.89</v>
      </c>
      <c r="EV327">
        <v>860.41</v>
      </c>
      <c r="EW327">
        <v>3.94</v>
      </c>
      <c r="EX327">
        <v>0</v>
      </c>
      <c r="EY327">
        <v>0</v>
      </c>
      <c r="FQ327">
        <v>0</v>
      </c>
      <c r="FR327">
        <f t="shared" si="267"/>
        <v>0</v>
      </c>
      <c r="FS327">
        <v>0</v>
      </c>
      <c r="FX327">
        <v>80</v>
      </c>
      <c r="FY327">
        <v>10</v>
      </c>
      <c r="GA327" t="s">
        <v>3</v>
      </c>
      <c r="GD327">
        <v>0</v>
      </c>
      <c r="GF327">
        <v>1401319655</v>
      </c>
      <c r="GG327">
        <v>2</v>
      </c>
      <c r="GH327">
        <v>1</v>
      </c>
      <c r="GI327">
        <v>-2</v>
      </c>
      <c r="GJ327">
        <v>0</v>
      </c>
      <c r="GK327">
        <f>ROUND(R327*(R12)/100,2)</f>
        <v>16045.51</v>
      </c>
      <c r="GL327">
        <f t="shared" si="268"/>
        <v>0</v>
      </c>
      <c r="GM327">
        <f t="shared" si="269"/>
        <v>87387.94</v>
      </c>
      <c r="GN327">
        <f t="shared" si="270"/>
        <v>0</v>
      </c>
      <c r="GO327">
        <f t="shared" si="271"/>
        <v>0</v>
      </c>
      <c r="GP327">
        <f t="shared" si="272"/>
        <v>87387.94</v>
      </c>
      <c r="GR327">
        <v>0</v>
      </c>
      <c r="GS327">
        <v>0</v>
      </c>
      <c r="GT327">
        <v>0</v>
      </c>
      <c r="GU327" t="s">
        <v>3</v>
      </c>
      <c r="GV327">
        <f t="shared" si="273"/>
        <v>0</v>
      </c>
      <c r="GW327">
        <v>1</v>
      </c>
      <c r="GX327">
        <f t="shared" si="274"/>
        <v>0</v>
      </c>
      <c r="HA327">
        <v>0</v>
      </c>
      <c r="HB327">
        <v>0</v>
      </c>
      <c r="HC327">
        <f t="shared" si="275"/>
        <v>0</v>
      </c>
      <c r="IK327">
        <v>0</v>
      </c>
    </row>
    <row r="329" spans="1:245">
      <c r="A329" s="2">
        <v>51</v>
      </c>
      <c r="B329" s="2">
        <f>B300</f>
        <v>1</v>
      </c>
      <c r="C329" s="2">
        <f>A300</f>
        <v>4</v>
      </c>
      <c r="D329" s="2">
        <f>ROW(A300)</f>
        <v>300</v>
      </c>
      <c r="E329" s="2"/>
      <c r="F329" s="2" t="str">
        <f>IF(F300&lt;&gt;"",F300,"")</f>
        <v>Новый раздел</v>
      </c>
      <c r="G329" s="2" t="str">
        <f>IF(G300&lt;&gt;"",G300,"")</f>
        <v>Стелла " Чертаново Центральное"</v>
      </c>
      <c r="H329" s="2">
        <v>0</v>
      </c>
      <c r="I329" s="2"/>
      <c r="J329" s="2"/>
      <c r="K329" s="2"/>
      <c r="L329" s="2"/>
      <c r="M329" s="2"/>
      <c r="N329" s="2"/>
      <c r="O329" s="2">
        <f t="shared" ref="O329:T329" si="276">ROUND(AB329,2)</f>
        <v>770656.6</v>
      </c>
      <c r="P329" s="2">
        <f t="shared" si="276"/>
        <v>478804.07</v>
      </c>
      <c r="Q329" s="2">
        <f t="shared" si="276"/>
        <v>32231.54</v>
      </c>
      <c r="R329" s="2">
        <f t="shared" si="276"/>
        <v>14978.9</v>
      </c>
      <c r="S329" s="2">
        <f t="shared" si="276"/>
        <v>259620.99</v>
      </c>
      <c r="T329" s="2">
        <f t="shared" si="276"/>
        <v>0</v>
      </c>
      <c r="U329" s="2">
        <f>AH329</f>
        <v>1191.1539170000001</v>
      </c>
      <c r="V329" s="2">
        <f>AI329</f>
        <v>0</v>
      </c>
      <c r="W329" s="2">
        <f>ROUND(AJ329,2)</f>
        <v>0</v>
      </c>
      <c r="X329" s="2">
        <f>ROUND(AK329,2)</f>
        <v>183790.22</v>
      </c>
      <c r="Y329" s="2">
        <f>ROUND(AL329,2)</f>
        <v>25962.12</v>
      </c>
      <c r="Z329" s="2"/>
      <c r="AA329" s="2"/>
      <c r="AB329" s="2">
        <f>ROUND(SUMIF(AA304:AA327,"=42225948",O304:O327),2)</f>
        <v>770656.6</v>
      </c>
      <c r="AC329" s="2">
        <f>ROUND(SUMIF(AA304:AA327,"=42225948",P304:P327),2)</f>
        <v>478804.07</v>
      </c>
      <c r="AD329" s="2">
        <f>ROUND(SUMIF(AA304:AA327,"=42225948",Q304:Q327),2)</f>
        <v>32231.54</v>
      </c>
      <c r="AE329" s="2">
        <f>ROUND(SUMIF(AA304:AA327,"=42225948",R304:R327),2)</f>
        <v>14978.9</v>
      </c>
      <c r="AF329" s="2">
        <f>ROUND(SUMIF(AA304:AA327,"=42225948",S304:S327),2)</f>
        <v>259620.99</v>
      </c>
      <c r="AG329" s="2">
        <f>ROUND(SUMIF(AA304:AA327,"=42225948",T304:T327),2)</f>
        <v>0</v>
      </c>
      <c r="AH329" s="2">
        <f>SUMIF(AA304:AA327,"=42225948",U304:U327)</f>
        <v>1191.1539170000001</v>
      </c>
      <c r="AI329" s="2">
        <f>SUMIF(AA304:AA327,"=42225948",V304:V327)</f>
        <v>0</v>
      </c>
      <c r="AJ329" s="2">
        <f>ROUND(SUMIF(AA304:AA327,"=42225948",W304:W327),2)</f>
        <v>0</v>
      </c>
      <c r="AK329" s="2">
        <f>ROUND(SUMIF(AA304:AA327,"=42225948",X304:X327),2)</f>
        <v>183790.22</v>
      </c>
      <c r="AL329" s="2">
        <f>ROUND(SUMIF(AA304:AA327,"=42225948",Y304:Y327),2)</f>
        <v>25962.12</v>
      </c>
      <c r="AM329" s="2"/>
      <c r="AN329" s="2"/>
      <c r="AO329" s="2">
        <f t="shared" ref="AO329:BC329" si="277">ROUND(BX329,2)</f>
        <v>0</v>
      </c>
      <c r="AP329" s="2">
        <f t="shared" si="277"/>
        <v>0</v>
      </c>
      <c r="AQ329" s="2">
        <f t="shared" si="277"/>
        <v>0</v>
      </c>
      <c r="AR329" s="2">
        <f t="shared" si="277"/>
        <v>996586.14</v>
      </c>
      <c r="AS329" s="2">
        <f t="shared" si="277"/>
        <v>0</v>
      </c>
      <c r="AT329" s="2">
        <f t="shared" si="277"/>
        <v>0</v>
      </c>
      <c r="AU329" s="2">
        <f t="shared" si="277"/>
        <v>996586.14</v>
      </c>
      <c r="AV329" s="2">
        <f t="shared" si="277"/>
        <v>478804.07</v>
      </c>
      <c r="AW329" s="2">
        <f t="shared" si="277"/>
        <v>478804.07</v>
      </c>
      <c r="AX329" s="2">
        <f t="shared" si="277"/>
        <v>0</v>
      </c>
      <c r="AY329" s="2">
        <f t="shared" si="277"/>
        <v>478804.07</v>
      </c>
      <c r="AZ329" s="2">
        <f t="shared" si="277"/>
        <v>0</v>
      </c>
      <c r="BA329" s="2">
        <f t="shared" si="277"/>
        <v>0</v>
      </c>
      <c r="BB329" s="2">
        <f t="shared" si="277"/>
        <v>0</v>
      </c>
      <c r="BC329" s="2">
        <f t="shared" si="277"/>
        <v>0</v>
      </c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>
        <f>ROUND(SUMIF(AA304:AA327,"=42225948",FQ304:FQ327),2)</f>
        <v>0</v>
      </c>
      <c r="BY329" s="2">
        <f>ROUND(SUMIF(AA304:AA327,"=42225948",FR304:FR327),2)</f>
        <v>0</v>
      </c>
      <c r="BZ329" s="2">
        <f>ROUND(SUMIF(AA304:AA327,"=42225948",GL304:GL327),2)</f>
        <v>0</v>
      </c>
      <c r="CA329" s="2">
        <f>ROUND(SUMIF(AA304:AA327,"=42225948",GM304:GM327),2)</f>
        <v>996586.14</v>
      </c>
      <c r="CB329" s="2">
        <f>ROUND(SUMIF(AA304:AA327,"=42225948",GN304:GN327),2)</f>
        <v>0</v>
      </c>
      <c r="CC329" s="2">
        <f>ROUND(SUMIF(AA304:AA327,"=42225948",GO304:GO327),2)</f>
        <v>0</v>
      </c>
      <c r="CD329" s="2">
        <f>ROUND(SUMIF(AA304:AA327,"=42225948",GP304:GP327),2)</f>
        <v>996586.14</v>
      </c>
      <c r="CE329" s="2">
        <f>AC329-BX329</f>
        <v>478804.07</v>
      </c>
      <c r="CF329" s="2">
        <f>AC329-BY329</f>
        <v>478804.07</v>
      </c>
      <c r="CG329" s="2">
        <f>BX329-BZ329</f>
        <v>0</v>
      </c>
      <c r="CH329" s="2">
        <f>AC329-BX329-BY329+BZ329</f>
        <v>478804.07</v>
      </c>
      <c r="CI329" s="2">
        <f>BY329-BZ329</f>
        <v>0</v>
      </c>
      <c r="CJ329" s="2">
        <f>ROUND(SUMIF(AA304:AA327,"=42225948",GX304:GX327),2)</f>
        <v>0</v>
      </c>
      <c r="CK329" s="2">
        <f>ROUND(SUMIF(AA304:AA327,"=42225948",GY304:GY327),2)</f>
        <v>0</v>
      </c>
      <c r="CL329" s="2">
        <f>ROUND(SUMIF(AA304:AA327,"=42225948",GZ304:GZ327),2)</f>
        <v>0</v>
      </c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>
        <v>0</v>
      </c>
    </row>
    <row r="331" spans="1:245">
      <c r="A331" s="4">
        <v>50</v>
      </c>
      <c r="B331" s="4">
        <v>0</v>
      </c>
      <c r="C331" s="4">
        <v>0</v>
      </c>
      <c r="D331" s="4">
        <v>1</v>
      </c>
      <c r="E331" s="4">
        <v>201</v>
      </c>
      <c r="F331" s="4">
        <f>ROUND(Source!O329,O331)</f>
        <v>770656.6</v>
      </c>
      <c r="G331" s="4" t="s">
        <v>65</v>
      </c>
      <c r="H331" s="4" t="s">
        <v>66</v>
      </c>
      <c r="I331" s="4"/>
      <c r="J331" s="4"/>
      <c r="K331" s="4">
        <v>201</v>
      </c>
      <c r="L331" s="4">
        <v>1</v>
      </c>
      <c r="M331" s="4">
        <v>3</v>
      </c>
      <c r="N331" s="4" t="s">
        <v>3</v>
      </c>
      <c r="O331" s="4">
        <v>2</v>
      </c>
      <c r="P331" s="4"/>
      <c r="Q331" s="4"/>
      <c r="R331" s="4"/>
      <c r="S331" s="4"/>
      <c r="T331" s="4"/>
      <c r="U331" s="4"/>
      <c r="V331" s="4"/>
      <c r="W331" s="4"/>
    </row>
    <row r="332" spans="1:245">
      <c r="A332" s="4">
        <v>50</v>
      </c>
      <c r="B332" s="4">
        <v>0</v>
      </c>
      <c r="C332" s="4">
        <v>0</v>
      </c>
      <c r="D332" s="4">
        <v>1</v>
      </c>
      <c r="E332" s="4">
        <v>202</v>
      </c>
      <c r="F332" s="4">
        <f>ROUND(Source!P329,O332)</f>
        <v>478804.07</v>
      </c>
      <c r="G332" s="4" t="s">
        <v>67</v>
      </c>
      <c r="H332" s="4" t="s">
        <v>68</v>
      </c>
      <c r="I332" s="4"/>
      <c r="J332" s="4"/>
      <c r="K332" s="4">
        <v>202</v>
      </c>
      <c r="L332" s="4">
        <v>2</v>
      </c>
      <c r="M332" s="4">
        <v>3</v>
      </c>
      <c r="N332" s="4" t="s">
        <v>3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</row>
    <row r="333" spans="1:245">
      <c r="A333" s="4">
        <v>50</v>
      </c>
      <c r="B333" s="4">
        <v>0</v>
      </c>
      <c r="C333" s="4">
        <v>0</v>
      </c>
      <c r="D333" s="4">
        <v>1</v>
      </c>
      <c r="E333" s="4">
        <v>222</v>
      </c>
      <c r="F333" s="4">
        <f>ROUND(Source!AO329,O333)</f>
        <v>0</v>
      </c>
      <c r="G333" s="4" t="s">
        <v>69</v>
      </c>
      <c r="H333" s="4" t="s">
        <v>70</v>
      </c>
      <c r="I333" s="4"/>
      <c r="J333" s="4"/>
      <c r="K333" s="4">
        <v>222</v>
      </c>
      <c r="L333" s="4">
        <v>3</v>
      </c>
      <c r="M333" s="4">
        <v>3</v>
      </c>
      <c r="N333" s="4" t="s">
        <v>3</v>
      </c>
      <c r="O333" s="4">
        <v>2</v>
      </c>
      <c r="P333" s="4"/>
      <c r="Q333" s="4"/>
      <c r="R333" s="4"/>
      <c r="S333" s="4"/>
      <c r="T333" s="4"/>
      <c r="U333" s="4"/>
      <c r="V333" s="4"/>
      <c r="W333" s="4"/>
    </row>
    <row r="334" spans="1:245">
      <c r="A334" s="4">
        <v>50</v>
      </c>
      <c r="B334" s="4">
        <v>0</v>
      </c>
      <c r="C334" s="4">
        <v>0</v>
      </c>
      <c r="D334" s="4">
        <v>1</v>
      </c>
      <c r="E334" s="4">
        <v>225</v>
      </c>
      <c r="F334" s="4">
        <f>ROUND(Source!AV329,O334)</f>
        <v>478804.07</v>
      </c>
      <c r="G334" s="4" t="s">
        <v>71</v>
      </c>
      <c r="H334" s="4" t="s">
        <v>72</v>
      </c>
      <c r="I334" s="4"/>
      <c r="J334" s="4"/>
      <c r="K334" s="4">
        <v>225</v>
      </c>
      <c r="L334" s="4">
        <v>4</v>
      </c>
      <c r="M334" s="4">
        <v>3</v>
      </c>
      <c r="N334" s="4" t="s">
        <v>3</v>
      </c>
      <c r="O334" s="4">
        <v>2</v>
      </c>
      <c r="P334" s="4"/>
      <c r="Q334" s="4"/>
      <c r="R334" s="4"/>
      <c r="S334" s="4"/>
      <c r="T334" s="4"/>
      <c r="U334" s="4"/>
      <c r="V334" s="4"/>
      <c r="W334" s="4"/>
    </row>
    <row r="335" spans="1:245">
      <c r="A335" s="4">
        <v>50</v>
      </c>
      <c r="B335" s="4">
        <v>0</v>
      </c>
      <c r="C335" s="4">
        <v>0</v>
      </c>
      <c r="D335" s="4">
        <v>1</v>
      </c>
      <c r="E335" s="4">
        <v>226</v>
      </c>
      <c r="F335" s="4">
        <f>ROUND(Source!AW329,O335)</f>
        <v>478804.07</v>
      </c>
      <c r="G335" s="4" t="s">
        <v>73</v>
      </c>
      <c r="H335" s="4" t="s">
        <v>74</v>
      </c>
      <c r="I335" s="4"/>
      <c r="J335" s="4"/>
      <c r="K335" s="4">
        <v>226</v>
      </c>
      <c r="L335" s="4">
        <v>5</v>
      </c>
      <c r="M335" s="4">
        <v>3</v>
      </c>
      <c r="N335" s="4" t="s">
        <v>3</v>
      </c>
      <c r="O335" s="4">
        <v>2</v>
      </c>
      <c r="P335" s="4"/>
      <c r="Q335" s="4"/>
      <c r="R335" s="4"/>
      <c r="S335" s="4"/>
      <c r="T335" s="4"/>
      <c r="U335" s="4"/>
      <c r="V335" s="4"/>
      <c r="W335" s="4"/>
    </row>
    <row r="336" spans="1:245">
      <c r="A336" s="4">
        <v>50</v>
      </c>
      <c r="B336" s="4">
        <v>0</v>
      </c>
      <c r="C336" s="4">
        <v>0</v>
      </c>
      <c r="D336" s="4">
        <v>1</v>
      </c>
      <c r="E336" s="4">
        <v>227</v>
      </c>
      <c r="F336" s="4">
        <f>ROUND(Source!AX329,O336)</f>
        <v>0</v>
      </c>
      <c r="G336" s="4" t="s">
        <v>75</v>
      </c>
      <c r="H336" s="4" t="s">
        <v>76</v>
      </c>
      <c r="I336" s="4"/>
      <c r="J336" s="4"/>
      <c r="K336" s="4">
        <v>227</v>
      </c>
      <c r="L336" s="4">
        <v>6</v>
      </c>
      <c r="M336" s="4">
        <v>3</v>
      </c>
      <c r="N336" s="4" t="s">
        <v>3</v>
      </c>
      <c r="O336" s="4">
        <v>2</v>
      </c>
      <c r="P336" s="4"/>
      <c r="Q336" s="4"/>
      <c r="R336" s="4"/>
      <c r="S336" s="4"/>
      <c r="T336" s="4"/>
      <c r="U336" s="4"/>
      <c r="V336" s="4"/>
      <c r="W336" s="4"/>
    </row>
    <row r="337" spans="1:23">
      <c r="A337" s="4">
        <v>50</v>
      </c>
      <c r="B337" s="4">
        <v>0</v>
      </c>
      <c r="C337" s="4">
        <v>0</v>
      </c>
      <c r="D337" s="4">
        <v>1</v>
      </c>
      <c r="E337" s="4">
        <v>228</v>
      </c>
      <c r="F337" s="4">
        <f>ROUND(Source!AY329,O337)</f>
        <v>478804.07</v>
      </c>
      <c r="G337" s="4" t="s">
        <v>77</v>
      </c>
      <c r="H337" s="4" t="s">
        <v>78</v>
      </c>
      <c r="I337" s="4"/>
      <c r="J337" s="4"/>
      <c r="K337" s="4">
        <v>228</v>
      </c>
      <c r="L337" s="4">
        <v>7</v>
      </c>
      <c r="M337" s="4">
        <v>3</v>
      </c>
      <c r="N337" s="4" t="s">
        <v>3</v>
      </c>
      <c r="O337" s="4">
        <v>2</v>
      </c>
      <c r="P337" s="4"/>
      <c r="Q337" s="4"/>
      <c r="R337" s="4"/>
      <c r="S337" s="4"/>
      <c r="T337" s="4"/>
      <c r="U337" s="4"/>
      <c r="V337" s="4"/>
      <c r="W337" s="4"/>
    </row>
    <row r="338" spans="1:23">
      <c r="A338" s="4">
        <v>50</v>
      </c>
      <c r="B338" s="4">
        <v>0</v>
      </c>
      <c r="C338" s="4">
        <v>0</v>
      </c>
      <c r="D338" s="4">
        <v>1</v>
      </c>
      <c r="E338" s="4">
        <v>216</v>
      </c>
      <c r="F338" s="4">
        <f>ROUND(Source!AP329,O338)</f>
        <v>0</v>
      </c>
      <c r="G338" s="4" t="s">
        <v>79</v>
      </c>
      <c r="H338" s="4" t="s">
        <v>80</v>
      </c>
      <c r="I338" s="4"/>
      <c r="J338" s="4"/>
      <c r="K338" s="4">
        <v>216</v>
      </c>
      <c r="L338" s="4">
        <v>8</v>
      </c>
      <c r="M338" s="4">
        <v>3</v>
      </c>
      <c r="N338" s="4" t="s">
        <v>3</v>
      </c>
      <c r="O338" s="4">
        <v>2</v>
      </c>
      <c r="P338" s="4"/>
      <c r="Q338" s="4"/>
      <c r="R338" s="4"/>
      <c r="S338" s="4"/>
      <c r="T338" s="4"/>
      <c r="U338" s="4"/>
      <c r="V338" s="4"/>
      <c r="W338" s="4"/>
    </row>
    <row r="339" spans="1:23">
      <c r="A339" s="4">
        <v>50</v>
      </c>
      <c r="B339" s="4">
        <v>0</v>
      </c>
      <c r="C339" s="4">
        <v>0</v>
      </c>
      <c r="D339" s="4">
        <v>1</v>
      </c>
      <c r="E339" s="4">
        <v>223</v>
      </c>
      <c r="F339" s="4">
        <f>ROUND(Source!AQ329,O339)</f>
        <v>0</v>
      </c>
      <c r="G339" s="4" t="s">
        <v>81</v>
      </c>
      <c r="H339" s="4" t="s">
        <v>82</v>
      </c>
      <c r="I339" s="4"/>
      <c r="J339" s="4"/>
      <c r="K339" s="4">
        <v>223</v>
      </c>
      <c r="L339" s="4">
        <v>9</v>
      </c>
      <c r="M339" s="4">
        <v>3</v>
      </c>
      <c r="N339" s="4" t="s">
        <v>3</v>
      </c>
      <c r="O339" s="4">
        <v>2</v>
      </c>
      <c r="P339" s="4"/>
      <c r="Q339" s="4"/>
      <c r="R339" s="4"/>
      <c r="S339" s="4"/>
      <c r="T339" s="4"/>
      <c r="U339" s="4"/>
      <c r="V339" s="4"/>
      <c r="W339" s="4"/>
    </row>
    <row r="340" spans="1:23">
      <c r="A340" s="4">
        <v>50</v>
      </c>
      <c r="B340" s="4">
        <v>0</v>
      </c>
      <c r="C340" s="4">
        <v>0</v>
      </c>
      <c r="D340" s="4">
        <v>1</v>
      </c>
      <c r="E340" s="4">
        <v>229</v>
      </c>
      <c r="F340" s="4">
        <f>ROUND(Source!AZ329,O340)</f>
        <v>0</v>
      </c>
      <c r="G340" s="4" t="s">
        <v>83</v>
      </c>
      <c r="H340" s="4" t="s">
        <v>84</v>
      </c>
      <c r="I340" s="4"/>
      <c r="J340" s="4"/>
      <c r="K340" s="4">
        <v>229</v>
      </c>
      <c r="L340" s="4">
        <v>10</v>
      </c>
      <c r="M340" s="4">
        <v>3</v>
      </c>
      <c r="N340" s="4" t="s">
        <v>3</v>
      </c>
      <c r="O340" s="4">
        <v>2</v>
      </c>
      <c r="P340" s="4"/>
      <c r="Q340" s="4"/>
      <c r="R340" s="4"/>
      <c r="S340" s="4"/>
      <c r="T340" s="4"/>
      <c r="U340" s="4"/>
      <c r="V340" s="4"/>
      <c r="W340" s="4"/>
    </row>
    <row r="341" spans="1:23">
      <c r="A341" s="4">
        <v>50</v>
      </c>
      <c r="B341" s="4">
        <v>0</v>
      </c>
      <c r="C341" s="4">
        <v>0</v>
      </c>
      <c r="D341" s="4">
        <v>1</v>
      </c>
      <c r="E341" s="4">
        <v>203</v>
      </c>
      <c r="F341" s="4">
        <f>ROUND(Source!Q329,O341)</f>
        <v>32231.54</v>
      </c>
      <c r="G341" s="4" t="s">
        <v>85</v>
      </c>
      <c r="H341" s="4" t="s">
        <v>86</v>
      </c>
      <c r="I341" s="4"/>
      <c r="J341" s="4"/>
      <c r="K341" s="4">
        <v>203</v>
      </c>
      <c r="L341" s="4">
        <v>11</v>
      </c>
      <c r="M341" s="4">
        <v>3</v>
      </c>
      <c r="N341" s="4" t="s">
        <v>3</v>
      </c>
      <c r="O341" s="4">
        <v>2</v>
      </c>
      <c r="P341" s="4"/>
      <c r="Q341" s="4"/>
      <c r="R341" s="4"/>
      <c r="S341" s="4"/>
      <c r="T341" s="4"/>
      <c r="U341" s="4"/>
      <c r="V341" s="4"/>
      <c r="W341" s="4"/>
    </row>
    <row r="342" spans="1:23">
      <c r="A342" s="4">
        <v>50</v>
      </c>
      <c r="B342" s="4">
        <v>0</v>
      </c>
      <c r="C342" s="4">
        <v>0</v>
      </c>
      <c r="D342" s="4">
        <v>1</v>
      </c>
      <c r="E342" s="4">
        <v>231</v>
      </c>
      <c r="F342" s="4">
        <f>ROUND(Source!BB329,O342)</f>
        <v>0</v>
      </c>
      <c r="G342" s="4" t="s">
        <v>87</v>
      </c>
      <c r="H342" s="4" t="s">
        <v>88</v>
      </c>
      <c r="I342" s="4"/>
      <c r="J342" s="4"/>
      <c r="K342" s="4">
        <v>231</v>
      </c>
      <c r="L342" s="4">
        <v>12</v>
      </c>
      <c r="M342" s="4">
        <v>3</v>
      </c>
      <c r="N342" s="4" t="s">
        <v>3</v>
      </c>
      <c r="O342" s="4">
        <v>2</v>
      </c>
      <c r="P342" s="4"/>
      <c r="Q342" s="4"/>
      <c r="R342" s="4"/>
      <c r="S342" s="4"/>
      <c r="T342" s="4"/>
      <c r="U342" s="4"/>
      <c r="V342" s="4"/>
      <c r="W342" s="4"/>
    </row>
    <row r="343" spans="1:23">
      <c r="A343" s="4">
        <v>50</v>
      </c>
      <c r="B343" s="4">
        <v>0</v>
      </c>
      <c r="C343" s="4">
        <v>0</v>
      </c>
      <c r="D343" s="4">
        <v>1</v>
      </c>
      <c r="E343" s="4">
        <v>204</v>
      </c>
      <c r="F343" s="4">
        <f>ROUND(Source!R329,O343)</f>
        <v>14978.9</v>
      </c>
      <c r="G343" s="4" t="s">
        <v>89</v>
      </c>
      <c r="H343" s="4" t="s">
        <v>90</v>
      </c>
      <c r="I343" s="4"/>
      <c r="J343" s="4"/>
      <c r="K343" s="4">
        <v>204</v>
      </c>
      <c r="L343" s="4">
        <v>13</v>
      </c>
      <c r="M343" s="4">
        <v>3</v>
      </c>
      <c r="N343" s="4" t="s">
        <v>3</v>
      </c>
      <c r="O343" s="4">
        <v>2</v>
      </c>
      <c r="P343" s="4"/>
      <c r="Q343" s="4"/>
      <c r="R343" s="4"/>
      <c r="S343" s="4"/>
      <c r="T343" s="4"/>
      <c r="U343" s="4"/>
      <c r="V343" s="4"/>
      <c r="W343" s="4"/>
    </row>
    <row r="344" spans="1:23">
      <c r="A344" s="4">
        <v>50</v>
      </c>
      <c r="B344" s="4">
        <v>0</v>
      </c>
      <c r="C344" s="4">
        <v>0</v>
      </c>
      <c r="D344" s="4">
        <v>1</v>
      </c>
      <c r="E344" s="4">
        <v>205</v>
      </c>
      <c r="F344" s="4">
        <f>ROUND(Source!S329,O344)</f>
        <v>259620.99</v>
      </c>
      <c r="G344" s="4" t="s">
        <v>91</v>
      </c>
      <c r="H344" s="4" t="s">
        <v>92</v>
      </c>
      <c r="I344" s="4"/>
      <c r="J344" s="4"/>
      <c r="K344" s="4">
        <v>205</v>
      </c>
      <c r="L344" s="4">
        <v>14</v>
      </c>
      <c r="M344" s="4">
        <v>3</v>
      </c>
      <c r="N344" s="4" t="s">
        <v>3</v>
      </c>
      <c r="O344" s="4">
        <v>2</v>
      </c>
      <c r="P344" s="4"/>
      <c r="Q344" s="4"/>
      <c r="R344" s="4"/>
      <c r="S344" s="4"/>
      <c r="T344" s="4"/>
      <c r="U344" s="4"/>
      <c r="V344" s="4"/>
      <c r="W344" s="4"/>
    </row>
    <row r="345" spans="1:23">
      <c r="A345" s="4">
        <v>50</v>
      </c>
      <c r="B345" s="4">
        <v>0</v>
      </c>
      <c r="C345" s="4">
        <v>0</v>
      </c>
      <c r="D345" s="4">
        <v>1</v>
      </c>
      <c r="E345" s="4">
        <v>232</v>
      </c>
      <c r="F345" s="4">
        <f>ROUND(Source!BC329,O345)</f>
        <v>0</v>
      </c>
      <c r="G345" s="4" t="s">
        <v>93</v>
      </c>
      <c r="H345" s="4" t="s">
        <v>94</v>
      </c>
      <c r="I345" s="4"/>
      <c r="J345" s="4"/>
      <c r="K345" s="4">
        <v>232</v>
      </c>
      <c r="L345" s="4">
        <v>15</v>
      </c>
      <c r="M345" s="4">
        <v>3</v>
      </c>
      <c r="N345" s="4" t="s">
        <v>3</v>
      </c>
      <c r="O345" s="4">
        <v>2</v>
      </c>
      <c r="P345" s="4"/>
      <c r="Q345" s="4"/>
      <c r="R345" s="4"/>
      <c r="S345" s="4"/>
      <c r="T345" s="4"/>
      <c r="U345" s="4"/>
      <c r="V345" s="4"/>
      <c r="W345" s="4"/>
    </row>
    <row r="346" spans="1:23">
      <c r="A346" s="4">
        <v>50</v>
      </c>
      <c r="B346" s="4">
        <v>0</v>
      </c>
      <c r="C346" s="4">
        <v>0</v>
      </c>
      <c r="D346" s="4">
        <v>1</v>
      </c>
      <c r="E346" s="4">
        <v>214</v>
      </c>
      <c r="F346" s="4">
        <f>ROUND(Source!AS329,O346)</f>
        <v>0</v>
      </c>
      <c r="G346" s="4" t="s">
        <v>95</v>
      </c>
      <c r="H346" s="4" t="s">
        <v>96</v>
      </c>
      <c r="I346" s="4"/>
      <c r="J346" s="4"/>
      <c r="K346" s="4">
        <v>214</v>
      </c>
      <c r="L346" s="4">
        <v>16</v>
      </c>
      <c r="M346" s="4">
        <v>3</v>
      </c>
      <c r="N346" s="4" t="s">
        <v>3</v>
      </c>
      <c r="O346" s="4">
        <v>2</v>
      </c>
      <c r="P346" s="4"/>
      <c r="Q346" s="4"/>
      <c r="R346" s="4"/>
      <c r="S346" s="4"/>
      <c r="T346" s="4"/>
      <c r="U346" s="4"/>
      <c r="V346" s="4"/>
      <c r="W346" s="4"/>
    </row>
    <row r="347" spans="1:23">
      <c r="A347" s="4">
        <v>50</v>
      </c>
      <c r="B347" s="4">
        <v>0</v>
      </c>
      <c r="C347" s="4">
        <v>0</v>
      </c>
      <c r="D347" s="4">
        <v>1</v>
      </c>
      <c r="E347" s="4">
        <v>215</v>
      </c>
      <c r="F347" s="4">
        <f>ROUND(Source!AT329,O347)</f>
        <v>0</v>
      </c>
      <c r="G347" s="4" t="s">
        <v>97</v>
      </c>
      <c r="H347" s="4" t="s">
        <v>98</v>
      </c>
      <c r="I347" s="4"/>
      <c r="J347" s="4"/>
      <c r="K347" s="4">
        <v>215</v>
      </c>
      <c r="L347" s="4">
        <v>17</v>
      </c>
      <c r="M347" s="4">
        <v>3</v>
      </c>
      <c r="N347" s="4" t="s">
        <v>3</v>
      </c>
      <c r="O347" s="4">
        <v>2</v>
      </c>
      <c r="P347" s="4"/>
      <c r="Q347" s="4"/>
      <c r="R347" s="4"/>
      <c r="S347" s="4"/>
      <c r="T347" s="4"/>
      <c r="U347" s="4"/>
      <c r="V347" s="4"/>
      <c r="W347" s="4"/>
    </row>
    <row r="348" spans="1:23">
      <c r="A348" s="4">
        <v>50</v>
      </c>
      <c r="B348" s="4">
        <v>0</v>
      </c>
      <c r="C348" s="4">
        <v>0</v>
      </c>
      <c r="D348" s="4">
        <v>1</v>
      </c>
      <c r="E348" s="4">
        <v>217</v>
      </c>
      <c r="F348" s="4">
        <f>ROUND(Source!AU329,O348)</f>
        <v>996586.14</v>
      </c>
      <c r="G348" s="4" t="s">
        <v>99</v>
      </c>
      <c r="H348" s="4" t="s">
        <v>100</v>
      </c>
      <c r="I348" s="4"/>
      <c r="J348" s="4"/>
      <c r="K348" s="4">
        <v>217</v>
      </c>
      <c r="L348" s="4">
        <v>18</v>
      </c>
      <c r="M348" s="4">
        <v>3</v>
      </c>
      <c r="N348" s="4" t="s">
        <v>3</v>
      </c>
      <c r="O348" s="4">
        <v>2</v>
      </c>
      <c r="P348" s="4"/>
      <c r="Q348" s="4"/>
      <c r="R348" s="4"/>
      <c r="S348" s="4"/>
      <c r="T348" s="4"/>
      <c r="U348" s="4"/>
      <c r="V348" s="4"/>
      <c r="W348" s="4"/>
    </row>
    <row r="349" spans="1:23">
      <c r="A349" s="4">
        <v>50</v>
      </c>
      <c r="B349" s="4">
        <v>0</v>
      </c>
      <c r="C349" s="4">
        <v>0</v>
      </c>
      <c r="D349" s="4">
        <v>1</v>
      </c>
      <c r="E349" s="4">
        <v>230</v>
      </c>
      <c r="F349" s="4">
        <f>ROUND(Source!BA329,O349)</f>
        <v>0</v>
      </c>
      <c r="G349" s="4" t="s">
        <v>101</v>
      </c>
      <c r="H349" s="4" t="s">
        <v>102</v>
      </c>
      <c r="I349" s="4"/>
      <c r="J349" s="4"/>
      <c r="K349" s="4">
        <v>230</v>
      </c>
      <c r="L349" s="4">
        <v>19</v>
      </c>
      <c r="M349" s="4">
        <v>3</v>
      </c>
      <c r="N349" s="4" t="s">
        <v>3</v>
      </c>
      <c r="O349" s="4">
        <v>2</v>
      </c>
      <c r="P349" s="4"/>
      <c r="Q349" s="4"/>
      <c r="R349" s="4"/>
      <c r="S349" s="4"/>
      <c r="T349" s="4"/>
      <c r="U349" s="4"/>
      <c r="V349" s="4"/>
      <c r="W349" s="4"/>
    </row>
    <row r="350" spans="1:23">
      <c r="A350" s="4">
        <v>50</v>
      </c>
      <c r="B350" s="4">
        <v>0</v>
      </c>
      <c r="C350" s="4">
        <v>0</v>
      </c>
      <c r="D350" s="4">
        <v>1</v>
      </c>
      <c r="E350" s="4">
        <v>206</v>
      </c>
      <c r="F350" s="4">
        <f>ROUND(Source!T329,O350)</f>
        <v>0</v>
      </c>
      <c r="G350" s="4" t="s">
        <v>103</v>
      </c>
      <c r="H350" s="4" t="s">
        <v>104</v>
      </c>
      <c r="I350" s="4"/>
      <c r="J350" s="4"/>
      <c r="K350" s="4">
        <v>206</v>
      </c>
      <c r="L350" s="4">
        <v>20</v>
      </c>
      <c r="M350" s="4">
        <v>3</v>
      </c>
      <c r="N350" s="4" t="s">
        <v>3</v>
      </c>
      <c r="O350" s="4">
        <v>2</v>
      </c>
      <c r="P350" s="4"/>
      <c r="Q350" s="4"/>
      <c r="R350" s="4"/>
      <c r="S350" s="4"/>
      <c r="T350" s="4"/>
      <c r="U350" s="4"/>
      <c r="V350" s="4"/>
      <c r="W350" s="4"/>
    </row>
    <row r="351" spans="1:23">
      <c r="A351" s="4">
        <v>50</v>
      </c>
      <c r="B351" s="4">
        <v>0</v>
      </c>
      <c r="C351" s="4">
        <v>0</v>
      </c>
      <c r="D351" s="4">
        <v>1</v>
      </c>
      <c r="E351" s="4">
        <v>207</v>
      </c>
      <c r="F351" s="4">
        <f>Source!U329</f>
        <v>1191.1539170000001</v>
      </c>
      <c r="G351" s="4" t="s">
        <v>105</v>
      </c>
      <c r="H351" s="4" t="s">
        <v>106</v>
      </c>
      <c r="I351" s="4"/>
      <c r="J351" s="4"/>
      <c r="K351" s="4">
        <v>207</v>
      </c>
      <c r="L351" s="4">
        <v>21</v>
      </c>
      <c r="M351" s="4">
        <v>3</v>
      </c>
      <c r="N351" s="4" t="s">
        <v>3</v>
      </c>
      <c r="O351" s="4">
        <v>-1</v>
      </c>
      <c r="P351" s="4"/>
      <c r="Q351" s="4"/>
      <c r="R351" s="4"/>
      <c r="S351" s="4"/>
      <c r="T351" s="4"/>
      <c r="U351" s="4"/>
      <c r="V351" s="4"/>
      <c r="W351" s="4"/>
    </row>
    <row r="352" spans="1:23">
      <c r="A352" s="4">
        <v>50</v>
      </c>
      <c r="B352" s="4">
        <v>0</v>
      </c>
      <c r="C352" s="4">
        <v>0</v>
      </c>
      <c r="D352" s="4">
        <v>1</v>
      </c>
      <c r="E352" s="4">
        <v>208</v>
      </c>
      <c r="F352" s="4">
        <f>Source!V329</f>
        <v>0</v>
      </c>
      <c r="G352" s="4" t="s">
        <v>107</v>
      </c>
      <c r="H352" s="4" t="s">
        <v>108</v>
      </c>
      <c r="I352" s="4"/>
      <c r="J352" s="4"/>
      <c r="K352" s="4">
        <v>208</v>
      </c>
      <c r="L352" s="4">
        <v>22</v>
      </c>
      <c r="M352" s="4">
        <v>3</v>
      </c>
      <c r="N352" s="4" t="s">
        <v>3</v>
      </c>
      <c r="O352" s="4">
        <v>-1</v>
      </c>
      <c r="P352" s="4"/>
      <c r="Q352" s="4"/>
      <c r="R352" s="4"/>
      <c r="S352" s="4"/>
      <c r="T352" s="4"/>
      <c r="U352" s="4"/>
      <c r="V352" s="4"/>
      <c r="W352" s="4"/>
    </row>
    <row r="353" spans="1:206">
      <c r="A353" s="4">
        <v>50</v>
      </c>
      <c r="B353" s="4">
        <v>0</v>
      </c>
      <c r="C353" s="4">
        <v>0</v>
      </c>
      <c r="D353" s="4">
        <v>1</v>
      </c>
      <c r="E353" s="4">
        <v>209</v>
      </c>
      <c r="F353" s="4">
        <f>ROUND(Source!W329,O353)</f>
        <v>0</v>
      </c>
      <c r="G353" s="4" t="s">
        <v>109</v>
      </c>
      <c r="H353" s="4" t="s">
        <v>110</v>
      </c>
      <c r="I353" s="4"/>
      <c r="J353" s="4"/>
      <c r="K353" s="4">
        <v>209</v>
      </c>
      <c r="L353" s="4">
        <v>23</v>
      </c>
      <c r="M353" s="4">
        <v>3</v>
      </c>
      <c r="N353" s="4" t="s">
        <v>3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4" spans="1:206">
      <c r="A354" s="4">
        <v>50</v>
      </c>
      <c r="B354" s="4">
        <v>0</v>
      </c>
      <c r="C354" s="4">
        <v>0</v>
      </c>
      <c r="D354" s="4">
        <v>1</v>
      </c>
      <c r="E354" s="4">
        <v>210</v>
      </c>
      <c r="F354" s="4">
        <f>ROUND(Source!X329,O354)</f>
        <v>183790.22</v>
      </c>
      <c r="G354" s="4" t="s">
        <v>111</v>
      </c>
      <c r="H354" s="4" t="s">
        <v>112</v>
      </c>
      <c r="I354" s="4"/>
      <c r="J354" s="4"/>
      <c r="K354" s="4">
        <v>210</v>
      </c>
      <c r="L354" s="4">
        <v>24</v>
      </c>
      <c r="M354" s="4">
        <v>3</v>
      </c>
      <c r="N354" s="4" t="s">
        <v>3</v>
      </c>
      <c r="O354" s="4">
        <v>2</v>
      </c>
      <c r="P354" s="4"/>
      <c r="Q354" s="4"/>
      <c r="R354" s="4"/>
      <c r="S354" s="4"/>
      <c r="T354" s="4"/>
      <c r="U354" s="4"/>
      <c r="V354" s="4"/>
      <c r="W354" s="4"/>
    </row>
    <row r="355" spans="1:206">
      <c r="A355" s="4">
        <v>50</v>
      </c>
      <c r="B355" s="4">
        <v>0</v>
      </c>
      <c r="C355" s="4">
        <v>0</v>
      </c>
      <c r="D355" s="4">
        <v>1</v>
      </c>
      <c r="E355" s="4">
        <v>211</v>
      </c>
      <c r="F355" s="4">
        <f>ROUND(Source!Y329,O355)</f>
        <v>25962.12</v>
      </c>
      <c r="G355" s="4" t="s">
        <v>113</v>
      </c>
      <c r="H355" s="4" t="s">
        <v>114</v>
      </c>
      <c r="I355" s="4"/>
      <c r="J355" s="4"/>
      <c r="K355" s="4">
        <v>211</v>
      </c>
      <c r="L355" s="4">
        <v>25</v>
      </c>
      <c r="M355" s="4">
        <v>3</v>
      </c>
      <c r="N355" s="4" t="s">
        <v>3</v>
      </c>
      <c r="O355" s="4">
        <v>2</v>
      </c>
      <c r="P355" s="4"/>
      <c r="Q355" s="4"/>
      <c r="R355" s="4"/>
      <c r="S355" s="4"/>
      <c r="T355" s="4"/>
      <c r="U355" s="4"/>
      <c r="V355" s="4"/>
      <c r="W355" s="4"/>
    </row>
    <row r="356" spans="1:206">
      <c r="A356" s="4">
        <v>50</v>
      </c>
      <c r="B356" s="4">
        <v>0</v>
      </c>
      <c r="C356" s="4">
        <v>0</v>
      </c>
      <c r="D356" s="4">
        <v>1</v>
      </c>
      <c r="E356" s="4">
        <v>224</v>
      </c>
      <c r="F356" s="4">
        <f>ROUND(Source!AR329,O356)</f>
        <v>996586.14</v>
      </c>
      <c r="G356" s="4" t="s">
        <v>115</v>
      </c>
      <c r="H356" s="4" t="s">
        <v>116</v>
      </c>
      <c r="I356" s="4"/>
      <c r="J356" s="4"/>
      <c r="K356" s="4">
        <v>224</v>
      </c>
      <c r="L356" s="4">
        <v>26</v>
      </c>
      <c r="M356" s="4">
        <v>3</v>
      </c>
      <c r="N356" s="4" t="s">
        <v>3</v>
      </c>
      <c r="O356" s="4">
        <v>2</v>
      </c>
      <c r="P356" s="4"/>
      <c r="Q356" s="4"/>
      <c r="R356" s="4"/>
      <c r="S356" s="4"/>
      <c r="T356" s="4"/>
      <c r="U356" s="4"/>
      <c r="V356" s="4"/>
      <c r="W356" s="4"/>
    </row>
    <row r="357" spans="1:206">
      <c r="A357" s="4">
        <v>50</v>
      </c>
      <c r="B357" s="4">
        <v>1</v>
      </c>
      <c r="C357" s="4">
        <v>0</v>
      </c>
      <c r="D357" s="4">
        <v>2</v>
      </c>
      <c r="E357" s="4">
        <v>0</v>
      </c>
      <c r="F357" s="4">
        <f>ROUND(F356,O357)</f>
        <v>996586.14</v>
      </c>
      <c r="G357" s="4" t="s">
        <v>4</v>
      </c>
      <c r="H357" s="4" t="s">
        <v>117</v>
      </c>
      <c r="I357" s="4"/>
      <c r="J357" s="4"/>
      <c r="K357" s="4">
        <v>212</v>
      </c>
      <c r="L357" s="4">
        <v>27</v>
      </c>
      <c r="M357" s="4">
        <v>0</v>
      </c>
      <c r="N357" s="4" t="s">
        <v>3</v>
      </c>
      <c r="O357" s="4">
        <v>2</v>
      </c>
      <c r="P357" s="4"/>
      <c r="Q357" s="4"/>
      <c r="R357" s="4"/>
      <c r="S357" s="4"/>
      <c r="T357" s="4"/>
      <c r="U357" s="4"/>
      <c r="V357" s="4"/>
      <c r="W357" s="4"/>
    </row>
    <row r="358" spans="1:206">
      <c r="A358" s="4">
        <v>50</v>
      </c>
      <c r="B358" s="4">
        <v>1</v>
      </c>
      <c r="C358" s="4">
        <v>0</v>
      </c>
      <c r="D358" s="4">
        <v>2</v>
      </c>
      <c r="E358" s="4">
        <v>0</v>
      </c>
      <c r="F358" s="4">
        <f>ROUND(F357*0.2,O358)</f>
        <v>199317.23</v>
      </c>
      <c r="G358" s="4" t="s">
        <v>23</v>
      </c>
      <c r="H358" s="4" t="s">
        <v>118</v>
      </c>
      <c r="I358" s="4"/>
      <c r="J358" s="4"/>
      <c r="K358" s="4">
        <v>212</v>
      </c>
      <c r="L358" s="4">
        <v>28</v>
      </c>
      <c r="M358" s="4">
        <v>0</v>
      </c>
      <c r="N358" s="4" t="s">
        <v>3</v>
      </c>
      <c r="O358" s="4">
        <v>2</v>
      </c>
      <c r="P358" s="4"/>
      <c r="Q358" s="4"/>
      <c r="R358" s="4"/>
      <c r="S358" s="4"/>
      <c r="T358" s="4"/>
      <c r="U358" s="4"/>
      <c r="V358" s="4"/>
      <c r="W358" s="4"/>
    </row>
    <row r="359" spans="1:206">
      <c r="A359" s="4">
        <v>50</v>
      </c>
      <c r="B359" s="4">
        <v>1</v>
      </c>
      <c r="C359" s="4">
        <v>0</v>
      </c>
      <c r="D359" s="4">
        <v>2</v>
      </c>
      <c r="E359" s="4">
        <v>0</v>
      </c>
      <c r="F359" s="4">
        <f>ROUND(F357+F358,O359)</f>
        <v>1195903.3700000001</v>
      </c>
      <c r="G359" s="4" t="s">
        <v>27</v>
      </c>
      <c r="H359" s="4" t="s">
        <v>119</v>
      </c>
      <c r="I359" s="4"/>
      <c r="J359" s="4"/>
      <c r="K359" s="4">
        <v>212</v>
      </c>
      <c r="L359" s="4">
        <v>29</v>
      </c>
      <c r="M359" s="4">
        <v>0</v>
      </c>
      <c r="N359" s="4" t="s">
        <v>3</v>
      </c>
      <c r="O359" s="4">
        <v>2</v>
      </c>
      <c r="P359" s="4"/>
      <c r="Q359" s="4"/>
      <c r="R359" s="4"/>
      <c r="S359" s="4"/>
      <c r="T359" s="4"/>
      <c r="U359" s="4"/>
      <c r="V359" s="4"/>
      <c r="W359" s="4"/>
    </row>
    <row r="361" spans="1:206">
      <c r="A361" s="2">
        <v>51</v>
      </c>
      <c r="B361" s="2">
        <f>B20</f>
        <v>1</v>
      </c>
      <c r="C361" s="2">
        <f>A20</f>
        <v>3</v>
      </c>
      <c r="D361" s="2">
        <f>ROW(A20)</f>
        <v>20</v>
      </c>
      <c r="E361" s="2"/>
      <c r="F361" s="2" t="str">
        <f>IF(F20&lt;&gt;"",F20,"")</f>
        <v>Новая локальная смета</v>
      </c>
      <c r="G361" s="2" t="str">
        <f>IF(G20&lt;&gt;"",G20,"")</f>
        <v>на выполнение работ по ремонту озелененных территорий  района Чертаново Центральное Южного административного округа города Москвы в 2021 году  за счёт средств дополнительного финансирования по адресу:  ул. Красного Маяка д.1.к.1, со строны м. "Пражская"</v>
      </c>
      <c r="H361" s="2">
        <v>0</v>
      </c>
      <c r="I361" s="2"/>
      <c r="J361" s="2"/>
      <c r="K361" s="2"/>
      <c r="L361" s="2"/>
      <c r="M361" s="2"/>
      <c r="N361" s="2"/>
      <c r="O361" s="2">
        <f t="shared" ref="O361:T361" si="278">ROUND(O41+O90+O133+O187+O227+O268+O329+AB361,2)</f>
        <v>1593111.98</v>
      </c>
      <c r="P361" s="2">
        <f t="shared" si="278"/>
        <v>1071308.1200000001</v>
      </c>
      <c r="Q361" s="2">
        <f t="shared" si="278"/>
        <v>55597.54</v>
      </c>
      <c r="R361" s="2">
        <f t="shared" si="278"/>
        <v>21255.279999999999</v>
      </c>
      <c r="S361" s="2">
        <f t="shared" si="278"/>
        <v>466206.32</v>
      </c>
      <c r="T361" s="2">
        <f t="shared" si="278"/>
        <v>0</v>
      </c>
      <c r="U361" s="2">
        <f>U41+U90+U133+U187+U227+U268+U329+AH361</f>
        <v>2250.7538860028253</v>
      </c>
      <c r="V361" s="2">
        <f>V41+V90+V133+V187+V227+V268+V329+AI361</f>
        <v>0</v>
      </c>
      <c r="W361" s="2">
        <f>ROUND(W41+W90+W133+W187+W227+W268+W329+AJ361,2)</f>
        <v>0</v>
      </c>
      <c r="X361" s="2">
        <f>ROUND(X41+X90+X133+X187+X227+X268+X329+AK361,2)</f>
        <v>328399.99</v>
      </c>
      <c r="Y361" s="2">
        <f>ROUND(Y41+Y90+Y133+Y187+Y227+Y268+Y329+AL361,2)</f>
        <v>46620.67</v>
      </c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>
        <f t="shared" ref="AO361:BC361" si="279">ROUND(AO41+AO90+AO133+AO187+AO227+AO268+AO329+BX361,2)</f>
        <v>0</v>
      </c>
      <c r="AP361" s="2">
        <f t="shared" si="279"/>
        <v>0</v>
      </c>
      <c r="AQ361" s="2">
        <f t="shared" si="279"/>
        <v>0</v>
      </c>
      <c r="AR361" s="2">
        <f t="shared" si="279"/>
        <v>1991088.33</v>
      </c>
      <c r="AS361" s="2">
        <f t="shared" si="279"/>
        <v>0</v>
      </c>
      <c r="AT361" s="2">
        <f t="shared" si="279"/>
        <v>0</v>
      </c>
      <c r="AU361" s="2">
        <f t="shared" si="279"/>
        <v>1991088.33</v>
      </c>
      <c r="AV361" s="2">
        <f t="shared" si="279"/>
        <v>1071308.1200000001</v>
      </c>
      <c r="AW361" s="2">
        <f t="shared" si="279"/>
        <v>1071308.1200000001</v>
      </c>
      <c r="AX361" s="2">
        <f t="shared" si="279"/>
        <v>0</v>
      </c>
      <c r="AY361" s="2">
        <f t="shared" si="279"/>
        <v>1071308.1200000001</v>
      </c>
      <c r="AZ361" s="2">
        <f t="shared" si="279"/>
        <v>0</v>
      </c>
      <c r="BA361" s="2">
        <f t="shared" si="279"/>
        <v>0</v>
      </c>
      <c r="BB361" s="2">
        <f t="shared" si="279"/>
        <v>0</v>
      </c>
      <c r="BC361" s="2">
        <f t="shared" si="279"/>
        <v>0</v>
      </c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>
        <v>0</v>
      </c>
    </row>
    <row r="363" spans="1:206">
      <c r="A363" s="4">
        <v>50</v>
      </c>
      <c r="B363" s="4">
        <v>0</v>
      </c>
      <c r="C363" s="4">
        <v>0</v>
      </c>
      <c r="D363" s="4">
        <v>1</v>
      </c>
      <c r="E363" s="4">
        <v>201</v>
      </c>
      <c r="F363" s="4">
        <f>ROUND(Source!O361,O363)</f>
        <v>1593111.98</v>
      </c>
      <c r="G363" s="4" t="s">
        <v>65</v>
      </c>
      <c r="H363" s="4" t="s">
        <v>66</v>
      </c>
      <c r="I363" s="4"/>
      <c r="J363" s="4"/>
      <c r="K363" s="4">
        <v>201</v>
      </c>
      <c r="L363" s="4">
        <v>1</v>
      </c>
      <c r="M363" s="4">
        <v>3</v>
      </c>
      <c r="N363" s="4" t="s">
        <v>3</v>
      </c>
      <c r="O363" s="4">
        <v>2</v>
      </c>
      <c r="P363" s="4"/>
      <c r="Q363" s="4"/>
      <c r="R363" s="4"/>
      <c r="S363" s="4"/>
      <c r="T363" s="4"/>
      <c r="U363" s="4"/>
      <c r="V363" s="4"/>
      <c r="W363" s="4"/>
    </row>
    <row r="364" spans="1:206">
      <c r="A364" s="4">
        <v>50</v>
      </c>
      <c r="B364" s="4">
        <v>0</v>
      </c>
      <c r="C364" s="4">
        <v>0</v>
      </c>
      <c r="D364" s="4">
        <v>1</v>
      </c>
      <c r="E364" s="4">
        <v>202</v>
      </c>
      <c r="F364" s="4">
        <f>ROUND(Source!P361,O364)</f>
        <v>1071308.1200000001</v>
      </c>
      <c r="G364" s="4" t="s">
        <v>67</v>
      </c>
      <c r="H364" s="4" t="s">
        <v>68</v>
      </c>
      <c r="I364" s="4"/>
      <c r="J364" s="4"/>
      <c r="K364" s="4">
        <v>202</v>
      </c>
      <c r="L364" s="4">
        <v>2</v>
      </c>
      <c r="M364" s="4">
        <v>3</v>
      </c>
      <c r="N364" s="4" t="s">
        <v>3</v>
      </c>
      <c r="O364" s="4">
        <v>2</v>
      </c>
      <c r="P364" s="4"/>
      <c r="Q364" s="4"/>
      <c r="R364" s="4"/>
      <c r="S364" s="4"/>
      <c r="T364" s="4"/>
      <c r="U364" s="4"/>
      <c r="V364" s="4"/>
      <c r="W364" s="4"/>
    </row>
    <row r="365" spans="1:206">
      <c r="A365" s="4">
        <v>50</v>
      </c>
      <c r="B365" s="4">
        <v>0</v>
      </c>
      <c r="C365" s="4">
        <v>0</v>
      </c>
      <c r="D365" s="4">
        <v>1</v>
      </c>
      <c r="E365" s="4">
        <v>222</v>
      </c>
      <c r="F365" s="4">
        <f>ROUND(Source!AO361,O365)</f>
        <v>0</v>
      </c>
      <c r="G365" s="4" t="s">
        <v>69</v>
      </c>
      <c r="H365" s="4" t="s">
        <v>70</v>
      </c>
      <c r="I365" s="4"/>
      <c r="J365" s="4"/>
      <c r="K365" s="4">
        <v>222</v>
      </c>
      <c r="L365" s="4">
        <v>3</v>
      </c>
      <c r="M365" s="4">
        <v>3</v>
      </c>
      <c r="N365" s="4" t="s">
        <v>3</v>
      </c>
      <c r="O365" s="4">
        <v>2</v>
      </c>
      <c r="P365" s="4"/>
      <c r="Q365" s="4"/>
      <c r="R365" s="4"/>
      <c r="S365" s="4"/>
      <c r="T365" s="4"/>
      <c r="U365" s="4"/>
      <c r="V365" s="4"/>
      <c r="W365" s="4"/>
    </row>
    <row r="366" spans="1:206">
      <c r="A366" s="4">
        <v>50</v>
      </c>
      <c r="B366" s="4">
        <v>0</v>
      </c>
      <c r="C366" s="4">
        <v>0</v>
      </c>
      <c r="D366" s="4">
        <v>1</v>
      </c>
      <c r="E366" s="4">
        <v>225</v>
      </c>
      <c r="F366" s="4">
        <f>ROUND(Source!AV361,O366)</f>
        <v>1071308.1200000001</v>
      </c>
      <c r="G366" s="4" t="s">
        <v>71</v>
      </c>
      <c r="H366" s="4" t="s">
        <v>72</v>
      </c>
      <c r="I366" s="4"/>
      <c r="J366" s="4"/>
      <c r="K366" s="4">
        <v>225</v>
      </c>
      <c r="L366" s="4">
        <v>4</v>
      </c>
      <c r="M366" s="4">
        <v>3</v>
      </c>
      <c r="N366" s="4" t="s">
        <v>3</v>
      </c>
      <c r="O366" s="4">
        <v>2</v>
      </c>
      <c r="P366" s="4"/>
      <c r="Q366" s="4"/>
      <c r="R366" s="4"/>
      <c r="S366" s="4"/>
      <c r="T366" s="4"/>
      <c r="U366" s="4"/>
      <c r="V366" s="4"/>
      <c r="W366" s="4"/>
    </row>
    <row r="367" spans="1:206">
      <c r="A367" s="4">
        <v>50</v>
      </c>
      <c r="B367" s="4">
        <v>0</v>
      </c>
      <c r="C367" s="4">
        <v>0</v>
      </c>
      <c r="D367" s="4">
        <v>1</v>
      </c>
      <c r="E367" s="4">
        <v>226</v>
      </c>
      <c r="F367" s="4">
        <f>ROUND(Source!AW361,O367)</f>
        <v>1071308.1200000001</v>
      </c>
      <c r="G367" s="4" t="s">
        <v>73</v>
      </c>
      <c r="H367" s="4" t="s">
        <v>74</v>
      </c>
      <c r="I367" s="4"/>
      <c r="J367" s="4"/>
      <c r="K367" s="4">
        <v>226</v>
      </c>
      <c r="L367" s="4">
        <v>5</v>
      </c>
      <c r="M367" s="4">
        <v>3</v>
      </c>
      <c r="N367" s="4" t="s">
        <v>3</v>
      </c>
      <c r="O367" s="4">
        <v>2</v>
      </c>
      <c r="P367" s="4"/>
      <c r="Q367" s="4"/>
      <c r="R367" s="4"/>
      <c r="S367" s="4"/>
      <c r="T367" s="4"/>
      <c r="U367" s="4"/>
      <c r="V367" s="4"/>
      <c r="W367" s="4"/>
    </row>
    <row r="368" spans="1:206">
      <c r="A368" s="4">
        <v>50</v>
      </c>
      <c r="B368" s="4">
        <v>0</v>
      </c>
      <c r="C368" s="4">
        <v>0</v>
      </c>
      <c r="D368" s="4">
        <v>1</v>
      </c>
      <c r="E368" s="4">
        <v>227</v>
      </c>
      <c r="F368" s="4">
        <f>ROUND(Source!AX361,O368)</f>
        <v>0</v>
      </c>
      <c r="G368" s="4" t="s">
        <v>75</v>
      </c>
      <c r="H368" s="4" t="s">
        <v>76</v>
      </c>
      <c r="I368" s="4"/>
      <c r="J368" s="4"/>
      <c r="K368" s="4">
        <v>227</v>
      </c>
      <c r="L368" s="4">
        <v>6</v>
      </c>
      <c r="M368" s="4">
        <v>3</v>
      </c>
      <c r="N368" s="4" t="s">
        <v>3</v>
      </c>
      <c r="O368" s="4">
        <v>2</v>
      </c>
      <c r="P368" s="4"/>
      <c r="Q368" s="4"/>
      <c r="R368" s="4"/>
      <c r="S368" s="4"/>
      <c r="T368" s="4"/>
      <c r="U368" s="4"/>
      <c r="V368" s="4"/>
      <c r="W368" s="4"/>
    </row>
    <row r="369" spans="1:23">
      <c r="A369" s="4">
        <v>50</v>
      </c>
      <c r="B369" s="4">
        <v>0</v>
      </c>
      <c r="C369" s="4">
        <v>0</v>
      </c>
      <c r="D369" s="4">
        <v>1</v>
      </c>
      <c r="E369" s="4">
        <v>228</v>
      </c>
      <c r="F369" s="4">
        <f>ROUND(Source!AY361,O369)</f>
        <v>1071308.1200000001</v>
      </c>
      <c r="G369" s="4" t="s">
        <v>77</v>
      </c>
      <c r="H369" s="4" t="s">
        <v>78</v>
      </c>
      <c r="I369" s="4"/>
      <c r="J369" s="4"/>
      <c r="K369" s="4">
        <v>228</v>
      </c>
      <c r="L369" s="4">
        <v>7</v>
      </c>
      <c r="M369" s="4">
        <v>3</v>
      </c>
      <c r="N369" s="4" t="s">
        <v>3</v>
      </c>
      <c r="O369" s="4">
        <v>2</v>
      </c>
      <c r="P369" s="4"/>
      <c r="Q369" s="4"/>
      <c r="R369" s="4"/>
      <c r="S369" s="4"/>
      <c r="T369" s="4"/>
      <c r="U369" s="4"/>
      <c r="V369" s="4"/>
      <c r="W369" s="4"/>
    </row>
    <row r="370" spans="1:23">
      <c r="A370" s="4">
        <v>50</v>
      </c>
      <c r="B370" s="4">
        <v>0</v>
      </c>
      <c r="C370" s="4">
        <v>0</v>
      </c>
      <c r="D370" s="4">
        <v>1</v>
      </c>
      <c r="E370" s="4">
        <v>216</v>
      </c>
      <c r="F370" s="4">
        <f>ROUND(Source!AP361,O370)</f>
        <v>0</v>
      </c>
      <c r="G370" s="4" t="s">
        <v>79</v>
      </c>
      <c r="H370" s="4" t="s">
        <v>80</v>
      </c>
      <c r="I370" s="4"/>
      <c r="J370" s="4"/>
      <c r="K370" s="4">
        <v>216</v>
      </c>
      <c r="L370" s="4">
        <v>8</v>
      </c>
      <c r="M370" s="4">
        <v>3</v>
      </c>
      <c r="N370" s="4" t="s">
        <v>3</v>
      </c>
      <c r="O370" s="4">
        <v>2</v>
      </c>
      <c r="P370" s="4"/>
      <c r="Q370" s="4"/>
      <c r="R370" s="4"/>
      <c r="S370" s="4"/>
      <c r="T370" s="4"/>
      <c r="U370" s="4"/>
      <c r="V370" s="4"/>
      <c r="W370" s="4"/>
    </row>
    <row r="371" spans="1:23">
      <c r="A371" s="4">
        <v>50</v>
      </c>
      <c r="B371" s="4">
        <v>0</v>
      </c>
      <c r="C371" s="4">
        <v>0</v>
      </c>
      <c r="D371" s="4">
        <v>1</v>
      </c>
      <c r="E371" s="4">
        <v>223</v>
      </c>
      <c r="F371" s="4">
        <f>ROUND(Source!AQ361,O371)</f>
        <v>0</v>
      </c>
      <c r="G371" s="4" t="s">
        <v>81</v>
      </c>
      <c r="H371" s="4" t="s">
        <v>82</v>
      </c>
      <c r="I371" s="4"/>
      <c r="J371" s="4"/>
      <c r="K371" s="4">
        <v>223</v>
      </c>
      <c r="L371" s="4">
        <v>9</v>
      </c>
      <c r="M371" s="4">
        <v>3</v>
      </c>
      <c r="N371" s="4" t="s">
        <v>3</v>
      </c>
      <c r="O371" s="4">
        <v>2</v>
      </c>
      <c r="P371" s="4"/>
      <c r="Q371" s="4"/>
      <c r="R371" s="4"/>
      <c r="S371" s="4"/>
      <c r="T371" s="4"/>
      <c r="U371" s="4"/>
      <c r="V371" s="4"/>
      <c r="W371" s="4"/>
    </row>
    <row r="372" spans="1:23">
      <c r="A372" s="4">
        <v>50</v>
      </c>
      <c r="B372" s="4">
        <v>0</v>
      </c>
      <c r="C372" s="4">
        <v>0</v>
      </c>
      <c r="D372" s="4">
        <v>1</v>
      </c>
      <c r="E372" s="4">
        <v>229</v>
      </c>
      <c r="F372" s="4">
        <f>ROUND(Source!AZ361,O372)</f>
        <v>0</v>
      </c>
      <c r="G372" s="4" t="s">
        <v>83</v>
      </c>
      <c r="H372" s="4" t="s">
        <v>84</v>
      </c>
      <c r="I372" s="4"/>
      <c r="J372" s="4"/>
      <c r="K372" s="4">
        <v>229</v>
      </c>
      <c r="L372" s="4">
        <v>10</v>
      </c>
      <c r="M372" s="4">
        <v>3</v>
      </c>
      <c r="N372" s="4" t="s">
        <v>3</v>
      </c>
      <c r="O372" s="4">
        <v>2</v>
      </c>
      <c r="P372" s="4"/>
      <c r="Q372" s="4"/>
      <c r="R372" s="4"/>
      <c r="S372" s="4"/>
      <c r="T372" s="4"/>
      <c r="U372" s="4"/>
      <c r="V372" s="4"/>
      <c r="W372" s="4"/>
    </row>
    <row r="373" spans="1:23">
      <c r="A373" s="4">
        <v>50</v>
      </c>
      <c r="B373" s="4">
        <v>0</v>
      </c>
      <c r="C373" s="4">
        <v>0</v>
      </c>
      <c r="D373" s="4">
        <v>1</v>
      </c>
      <c r="E373" s="4">
        <v>203</v>
      </c>
      <c r="F373" s="4">
        <f>ROUND(Source!Q361,O373)</f>
        <v>55597.54</v>
      </c>
      <c r="G373" s="4" t="s">
        <v>85</v>
      </c>
      <c r="H373" s="4" t="s">
        <v>86</v>
      </c>
      <c r="I373" s="4"/>
      <c r="J373" s="4"/>
      <c r="K373" s="4">
        <v>203</v>
      </c>
      <c r="L373" s="4">
        <v>11</v>
      </c>
      <c r="M373" s="4">
        <v>3</v>
      </c>
      <c r="N373" s="4" t="s">
        <v>3</v>
      </c>
      <c r="O373" s="4">
        <v>2</v>
      </c>
      <c r="P373" s="4"/>
      <c r="Q373" s="4"/>
      <c r="R373" s="4"/>
      <c r="S373" s="4"/>
      <c r="T373" s="4"/>
      <c r="U373" s="4"/>
      <c r="V373" s="4"/>
      <c r="W373" s="4"/>
    </row>
    <row r="374" spans="1:23">
      <c r="A374" s="4">
        <v>50</v>
      </c>
      <c r="B374" s="4">
        <v>0</v>
      </c>
      <c r="C374" s="4">
        <v>0</v>
      </c>
      <c r="D374" s="4">
        <v>1</v>
      </c>
      <c r="E374" s="4">
        <v>231</v>
      </c>
      <c r="F374" s="4">
        <f>ROUND(Source!BB361,O374)</f>
        <v>0</v>
      </c>
      <c r="G374" s="4" t="s">
        <v>87</v>
      </c>
      <c r="H374" s="4" t="s">
        <v>88</v>
      </c>
      <c r="I374" s="4"/>
      <c r="J374" s="4"/>
      <c r="K374" s="4">
        <v>231</v>
      </c>
      <c r="L374" s="4">
        <v>12</v>
      </c>
      <c r="M374" s="4">
        <v>3</v>
      </c>
      <c r="N374" s="4" t="s">
        <v>3</v>
      </c>
      <c r="O374" s="4">
        <v>2</v>
      </c>
      <c r="P374" s="4"/>
      <c r="Q374" s="4"/>
      <c r="R374" s="4"/>
      <c r="S374" s="4"/>
      <c r="T374" s="4"/>
      <c r="U374" s="4"/>
      <c r="V374" s="4"/>
      <c r="W374" s="4"/>
    </row>
    <row r="375" spans="1:23">
      <c r="A375" s="4">
        <v>50</v>
      </c>
      <c r="B375" s="4">
        <v>0</v>
      </c>
      <c r="C375" s="4">
        <v>0</v>
      </c>
      <c r="D375" s="4">
        <v>1</v>
      </c>
      <c r="E375" s="4">
        <v>204</v>
      </c>
      <c r="F375" s="4">
        <f>ROUND(Source!R361,O375)</f>
        <v>21255.279999999999</v>
      </c>
      <c r="G375" s="4" t="s">
        <v>89</v>
      </c>
      <c r="H375" s="4" t="s">
        <v>90</v>
      </c>
      <c r="I375" s="4"/>
      <c r="J375" s="4"/>
      <c r="K375" s="4">
        <v>204</v>
      </c>
      <c r="L375" s="4">
        <v>13</v>
      </c>
      <c r="M375" s="4">
        <v>3</v>
      </c>
      <c r="N375" s="4" t="s">
        <v>3</v>
      </c>
      <c r="O375" s="4">
        <v>2</v>
      </c>
      <c r="P375" s="4"/>
      <c r="Q375" s="4"/>
      <c r="R375" s="4"/>
      <c r="S375" s="4"/>
      <c r="T375" s="4"/>
      <c r="U375" s="4"/>
      <c r="V375" s="4"/>
      <c r="W375" s="4"/>
    </row>
    <row r="376" spans="1:23">
      <c r="A376" s="4">
        <v>50</v>
      </c>
      <c r="B376" s="4">
        <v>0</v>
      </c>
      <c r="C376" s="4">
        <v>0</v>
      </c>
      <c r="D376" s="4">
        <v>1</v>
      </c>
      <c r="E376" s="4">
        <v>205</v>
      </c>
      <c r="F376" s="4">
        <f>ROUND(Source!S361,O376)</f>
        <v>466206.32</v>
      </c>
      <c r="G376" s="4" t="s">
        <v>91</v>
      </c>
      <c r="H376" s="4" t="s">
        <v>92</v>
      </c>
      <c r="I376" s="4"/>
      <c r="J376" s="4"/>
      <c r="K376" s="4">
        <v>205</v>
      </c>
      <c r="L376" s="4">
        <v>14</v>
      </c>
      <c r="M376" s="4">
        <v>3</v>
      </c>
      <c r="N376" s="4" t="s">
        <v>3</v>
      </c>
      <c r="O376" s="4">
        <v>2</v>
      </c>
      <c r="P376" s="4"/>
      <c r="Q376" s="4"/>
      <c r="R376" s="4"/>
      <c r="S376" s="4"/>
      <c r="T376" s="4"/>
      <c r="U376" s="4"/>
      <c r="V376" s="4"/>
      <c r="W376" s="4"/>
    </row>
    <row r="377" spans="1:23">
      <c r="A377" s="4">
        <v>50</v>
      </c>
      <c r="B377" s="4">
        <v>0</v>
      </c>
      <c r="C377" s="4">
        <v>0</v>
      </c>
      <c r="D377" s="4">
        <v>1</v>
      </c>
      <c r="E377" s="4">
        <v>232</v>
      </c>
      <c r="F377" s="4">
        <f>ROUND(Source!BC361,O377)</f>
        <v>0</v>
      </c>
      <c r="G377" s="4" t="s">
        <v>93</v>
      </c>
      <c r="H377" s="4" t="s">
        <v>94</v>
      </c>
      <c r="I377" s="4"/>
      <c r="J377" s="4"/>
      <c r="K377" s="4">
        <v>232</v>
      </c>
      <c r="L377" s="4">
        <v>15</v>
      </c>
      <c r="M377" s="4">
        <v>3</v>
      </c>
      <c r="N377" s="4" t="s">
        <v>3</v>
      </c>
      <c r="O377" s="4">
        <v>2</v>
      </c>
      <c r="P377" s="4"/>
      <c r="Q377" s="4"/>
      <c r="R377" s="4"/>
      <c r="S377" s="4"/>
      <c r="T377" s="4"/>
      <c r="U377" s="4"/>
      <c r="V377" s="4"/>
      <c r="W377" s="4"/>
    </row>
    <row r="378" spans="1:23">
      <c r="A378" s="4">
        <v>50</v>
      </c>
      <c r="B378" s="4">
        <v>0</v>
      </c>
      <c r="C378" s="4">
        <v>0</v>
      </c>
      <c r="D378" s="4">
        <v>1</v>
      </c>
      <c r="E378" s="4">
        <v>214</v>
      </c>
      <c r="F378" s="4">
        <f>ROUND(Source!AS361,O378)</f>
        <v>0</v>
      </c>
      <c r="G378" s="4" t="s">
        <v>95</v>
      </c>
      <c r="H378" s="4" t="s">
        <v>96</v>
      </c>
      <c r="I378" s="4"/>
      <c r="J378" s="4"/>
      <c r="K378" s="4">
        <v>214</v>
      </c>
      <c r="L378" s="4">
        <v>16</v>
      </c>
      <c r="M378" s="4">
        <v>3</v>
      </c>
      <c r="N378" s="4" t="s">
        <v>3</v>
      </c>
      <c r="O378" s="4">
        <v>2</v>
      </c>
      <c r="P378" s="4"/>
      <c r="Q378" s="4"/>
      <c r="R378" s="4"/>
      <c r="S378" s="4"/>
      <c r="T378" s="4"/>
      <c r="U378" s="4"/>
      <c r="V378" s="4"/>
      <c r="W378" s="4"/>
    </row>
    <row r="379" spans="1:23">
      <c r="A379" s="4">
        <v>50</v>
      </c>
      <c r="B379" s="4">
        <v>0</v>
      </c>
      <c r="C379" s="4">
        <v>0</v>
      </c>
      <c r="D379" s="4">
        <v>1</v>
      </c>
      <c r="E379" s="4">
        <v>215</v>
      </c>
      <c r="F379" s="4">
        <f>ROUND(Source!AT361,O379)</f>
        <v>0</v>
      </c>
      <c r="G379" s="4" t="s">
        <v>97</v>
      </c>
      <c r="H379" s="4" t="s">
        <v>98</v>
      </c>
      <c r="I379" s="4"/>
      <c r="J379" s="4"/>
      <c r="K379" s="4">
        <v>215</v>
      </c>
      <c r="L379" s="4">
        <v>17</v>
      </c>
      <c r="M379" s="4">
        <v>3</v>
      </c>
      <c r="N379" s="4" t="s">
        <v>3</v>
      </c>
      <c r="O379" s="4">
        <v>2</v>
      </c>
      <c r="P379" s="4"/>
      <c r="Q379" s="4"/>
      <c r="R379" s="4"/>
      <c r="S379" s="4"/>
      <c r="T379" s="4"/>
      <c r="U379" s="4"/>
      <c r="V379" s="4"/>
      <c r="W379" s="4"/>
    </row>
    <row r="380" spans="1:23">
      <c r="A380" s="4">
        <v>50</v>
      </c>
      <c r="B380" s="4">
        <v>0</v>
      </c>
      <c r="C380" s="4">
        <v>0</v>
      </c>
      <c r="D380" s="4">
        <v>1</v>
      </c>
      <c r="E380" s="4">
        <v>217</v>
      </c>
      <c r="F380" s="4">
        <f>ROUND(Source!AU361,O380)</f>
        <v>1991088.33</v>
      </c>
      <c r="G380" s="4" t="s">
        <v>99</v>
      </c>
      <c r="H380" s="4" t="s">
        <v>100</v>
      </c>
      <c r="I380" s="4"/>
      <c r="J380" s="4"/>
      <c r="K380" s="4">
        <v>217</v>
      </c>
      <c r="L380" s="4">
        <v>18</v>
      </c>
      <c r="M380" s="4">
        <v>3</v>
      </c>
      <c r="N380" s="4" t="s">
        <v>3</v>
      </c>
      <c r="O380" s="4">
        <v>2</v>
      </c>
      <c r="P380" s="4"/>
      <c r="Q380" s="4"/>
      <c r="R380" s="4"/>
      <c r="S380" s="4"/>
      <c r="T380" s="4"/>
      <c r="U380" s="4"/>
      <c r="V380" s="4"/>
      <c r="W380" s="4"/>
    </row>
    <row r="381" spans="1:23">
      <c r="A381" s="4">
        <v>50</v>
      </c>
      <c r="B381" s="4">
        <v>0</v>
      </c>
      <c r="C381" s="4">
        <v>0</v>
      </c>
      <c r="D381" s="4">
        <v>1</v>
      </c>
      <c r="E381" s="4">
        <v>230</v>
      </c>
      <c r="F381" s="4">
        <f>ROUND(Source!BA361,O381)</f>
        <v>0</v>
      </c>
      <c r="G381" s="4" t="s">
        <v>101</v>
      </c>
      <c r="H381" s="4" t="s">
        <v>102</v>
      </c>
      <c r="I381" s="4"/>
      <c r="J381" s="4"/>
      <c r="K381" s="4">
        <v>230</v>
      </c>
      <c r="L381" s="4">
        <v>19</v>
      </c>
      <c r="M381" s="4">
        <v>3</v>
      </c>
      <c r="N381" s="4" t="s">
        <v>3</v>
      </c>
      <c r="O381" s="4">
        <v>2</v>
      </c>
      <c r="P381" s="4"/>
      <c r="Q381" s="4"/>
      <c r="R381" s="4"/>
      <c r="S381" s="4"/>
      <c r="T381" s="4"/>
      <c r="U381" s="4"/>
      <c r="V381" s="4"/>
      <c r="W381" s="4"/>
    </row>
    <row r="382" spans="1:23">
      <c r="A382" s="4">
        <v>50</v>
      </c>
      <c r="B382" s="4">
        <v>0</v>
      </c>
      <c r="C382" s="4">
        <v>0</v>
      </c>
      <c r="D382" s="4">
        <v>1</v>
      </c>
      <c r="E382" s="4">
        <v>206</v>
      </c>
      <c r="F382" s="4">
        <f>ROUND(Source!T361,O382)</f>
        <v>0</v>
      </c>
      <c r="G382" s="4" t="s">
        <v>103</v>
      </c>
      <c r="H382" s="4" t="s">
        <v>104</v>
      </c>
      <c r="I382" s="4"/>
      <c r="J382" s="4"/>
      <c r="K382" s="4">
        <v>206</v>
      </c>
      <c r="L382" s="4">
        <v>20</v>
      </c>
      <c r="M382" s="4">
        <v>3</v>
      </c>
      <c r="N382" s="4" t="s">
        <v>3</v>
      </c>
      <c r="O382" s="4">
        <v>2</v>
      </c>
      <c r="P382" s="4"/>
      <c r="Q382" s="4"/>
      <c r="R382" s="4"/>
      <c r="S382" s="4"/>
      <c r="T382" s="4"/>
      <c r="U382" s="4"/>
      <c r="V382" s="4"/>
      <c r="W382" s="4"/>
    </row>
    <row r="383" spans="1:23">
      <c r="A383" s="4">
        <v>50</v>
      </c>
      <c r="B383" s="4">
        <v>0</v>
      </c>
      <c r="C383" s="4">
        <v>0</v>
      </c>
      <c r="D383" s="4">
        <v>1</v>
      </c>
      <c r="E383" s="4">
        <v>207</v>
      </c>
      <c r="F383" s="4">
        <f>Source!U361</f>
        <v>2250.7538860028253</v>
      </c>
      <c r="G383" s="4" t="s">
        <v>105</v>
      </c>
      <c r="H383" s="4" t="s">
        <v>106</v>
      </c>
      <c r="I383" s="4"/>
      <c r="J383" s="4"/>
      <c r="K383" s="4">
        <v>207</v>
      </c>
      <c r="L383" s="4">
        <v>21</v>
      </c>
      <c r="M383" s="4">
        <v>3</v>
      </c>
      <c r="N383" s="4" t="s">
        <v>3</v>
      </c>
      <c r="O383" s="4">
        <v>-1</v>
      </c>
      <c r="P383" s="4"/>
      <c r="Q383" s="4"/>
      <c r="R383" s="4"/>
      <c r="S383" s="4"/>
      <c r="T383" s="4"/>
      <c r="U383" s="4"/>
      <c r="V383" s="4"/>
      <c r="W383" s="4"/>
    </row>
    <row r="384" spans="1:23">
      <c r="A384" s="4">
        <v>50</v>
      </c>
      <c r="B384" s="4">
        <v>0</v>
      </c>
      <c r="C384" s="4">
        <v>0</v>
      </c>
      <c r="D384" s="4">
        <v>1</v>
      </c>
      <c r="E384" s="4">
        <v>208</v>
      </c>
      <c r="F384" s="4">
        <f>Source!V361</f>
        <v>0</v>
      </c>
      <c r="G384" s="4" t="s">
        <v>107</v>
      </c>
      <c r="H384" s="4" t="s">
        <v>108</v>
      </c>
      <c r="I384" s="4"/>
      <c r="J384" s="4"/>
      <c r="K384" s="4">
        <v>208</v>
      </c>
      <c r="L384" s="4">
        <v>22</v>
      </c>
      <c r="M384" s="4">
        <v>3</v>
      </c>
      <c r="N384" s="4" t="s">
        <v>3</v>
      </c>
      <c r="O384" s="4">
        <v>-1</v>
      </c>
      <c r="P384" s="4"/>
      <c r="Q384" s="4"/>
      <c r="R384" s="4"/>
      <c r="S384" s="4"/>
      <c r="T384" s="4"/>
      <c r="U384" s="4"/>
      <c r="V384" s="4"/>
      <c r="W384" s="4"/>
    </row>
    <row r="385" spans="1:206">
      <c r="A385" s="4">
        <v>50</v>
      </c>
      <c r="B385" s="4">
        <v>0</v>
      </c>
      <c r="C385" s="4">
        <v>0</v>
      </c>
      <c r="D385" s="4">
        <v>1</v>
      </c>
      <c r="E385" s="4">
        <v>209</v>
      </c>
      <c r="F385" s="4">
        <f>ROUND(Source!W361,O385)</f>
        <v>0</v>
      </c>
      <c r="G385" s="4" t="s">
        <v>109</v>
      </c>
      <c r="H385" s="4" t="s">
        <v>110</v>
      </c>
      <c r="I385" s="4"/>
      <c r="J385" s="4"/>
      <c r="K385" s="4">
        <v>209</v>
      </c>
      <c r="L385" s="4">
        <v>23</v>
      </c>
      <c r="M385" s="4">
        <v>3</v>
      </c>
      <c r="N385" s="4" t="s">
        <v>3</v>
      </c>
      <c r="O385" s="4">
        <v>2</v>
      </c>
      <c r="P385" s="4"/>
      <c r="Q385" s="4"/>
      <c r="R385" s="4"/>
      <c r="S385" s="4"/>
      <c r="T385" s="4"/>
      <c r="U385" s="4"/>
      <c r="V385" s="4"/>
      <c r="W385" s="4"/>
    </row>
    <row r="386" spans="1:206">
      <c r="A386" s="4">
        <v>50</v>
      </c>
      <c r="B386" s="4">
        <v>0</v>
      </c>
      <c r="C386" s="4">
        <v>0</v>
      </c>
      <c r="D386" s="4">
        <v>1</v>
      </c>
      <c r="E386" s="4">
        <v>210</v>
      </c>
      <c r="F386" s="4">
        <f>ROUND(Source!X361,O386)</f>
        <v>328399.99</v>
      </c>
      <c r="G386" s="4" t="s">
        <v>111</v>
      </c>
      <c r="H386" s="4" t="s">
        <v>112</v>
      </c>
      <c r="I386" s="4"/>
      <c r="J386" s="4"/>
      <c r="K386" s="4">
        <v>210</v>
      </c>
      <c r="L386" s="4">
        <v>24</v>
      </c>
      <c r="M386" s="4">
        <v>3</v>
      </c>
      <c r="N386" s="4" t="s">
        <v>3</v>
      </c>
      <c r="O386" s="4">
        <v>2</v>
      </c>
      <c r="P386" s="4"/>
      <c r="Q386" s="4"/>
      <c r="R386" s="4"/>
      <c r="S386" s="4"/>
      <c r="T386" s="4"/>
      <c r="U386" s="4"/>
      <c r="V386" s="4"/>
      <c r="W386" s="4"/>
    </row>
    <row r="387" spans="1:206">
      <c r="A387" s="4">
        <v>50</v>
      </c>
      <c r="B387" s="4">
        <v>0</v>
      </c>
      <c r="C387" s="4">
        <v>0</v>
      </c>
      <c r="D387" s="4">
        <v>1</v>
      </c>
      <c r="E387" s="4">
        <v>211</v>
      </c>
      <c r="F387" s="4">
        <f>ROUND(Source!Y361,O387)</f>
        <v>46620.67</v>
      </c>
      <c r="G387" s="4" t="s">
        <v>113</v>
      </c>
      <c r="H387" s="4" t="s">
        <v>114</v>
      </c>
      <c r="I387" s="4"/>
      <c r="J387" s="4"/>
      <c r="K387" s="4">
        <v>211</v>
      </c>
      <c r="L387" s="4">
        <v>25</v>
      </c>
      <c r="M387" s="4">
        <v>3</v>
      </c>
      <c r="N387" s="4" t="s">
        <v>3</v>
      </c>
      <c r="O387" s="4">
        <v>2</v>
      </c>
      <c r="P387" s="4"/>
      <c r="Q387" s="4"/>
      <c r="R387" s="4"/>
      <c r="S387" s="4"/>
      <c r="T387" s="4"/>
      <c r="U387" s="4"/>
      <c r="V387" s="4"/>
      <c r="W387" s="4"/>
    </row>
    <row r="388" spans="1:206">
      <c r="A388" s="4">
        <v>50</v>
      </c>
      <c r="B388" s="4">
        <v>0</v>
      </c>
      <c r="C388" s="4">
        <v>0</v>
      </c>
      <c r="D388" s="4">
        <v>1</v>
      </c>
      <c r="E388" s="4">
        <v>224</v>
      </c>
      <c r="F388" s="4">
        <f>ROUND(Source!AR361,O388)</f>
        <v>1991088.33</v>
      </c>
      <c r="G388" s="4" t="s">
        <v>115</v>
      </c>
      <c r="H388" s="4" t="s">
        <v>116</v>
      </c>
      <c r="I388" s="4"/>
      <c r="J388" s="4"/>
      <c r="K388" s="4">
        <v>224</v>
      </c>
      <c r="L388" s="4">
        <v>26</v>
      </c>
      <c r="M388" s="4">
        <v>3</v>
      </c>
      <c r="N388" s="4" t="s">
        <v>3</v>
      </c>
      <c r="O388" s="4">
        <v>2</v>
      </c>
      <c r="P388" s="4"/>
      <c r="Q388" s="4"/>
      <c r="R388" s="4"/>
      <c r="S388" s="4"/>
      <c r="T388" s="4"/>
      <c r="U388" s="4"/>
      <c r="V388" s="4"/>
      <c r="W388" s="4"/>
    </row>
    <row r="390" spans="1:206">
      <c r="A390" s="2">
        <v>51</v>
      </c>
      <c r="B390" s="2">
        <f>B12</f>
        <v>426</v>
      </c>
      <c r="C390" s="2">
        <f>A12</f>
        <v>1</v>
      </c>
      <c r="D390" s="2">
        <f>ROW(A12)</f>
        <v>12</v>
      </c>
      <c r="E390" s="2"/>
      <c r="F390" s="2" t="str">
        <f>IF(F12&lt;&gt;"",F12,"")</f>
        <v/>
      </c>
      <c r="G390" s="2" t="str">
        <f>IF(G12&lt;&gt;"",G12,"")</f>
        <v>Цветник № 10 Кр Маяка 1-1_2_лот</v>
      </c>
      <c r="H390" s="2">
        <v>0</v>
      </c>
      <c r="I390" s="2"/>
      <c r="J390" s="2"/>
      <c r="K390" s="2"/>
      <c r="L390" s="2"/>
      <c r="M390" s="2"/>
      <c r="N390" s="2"/>
      <c r="O390" s="2">
        <f t="shared" ref="O390:T390" si="280">ROUND(O361,2)</f>
        <v>1593111.98</v>
      </c>
      <c r="P390" s="2">
        <f t="shared" si="280"/>
        <v>1071308.1200000001</v>
      </c>
      <c r="Q390" s="2">
        <f t="shared" si="280"/>
        <v>55597.54</v>
      </c>
      <c r="R390" s="2">
        <f t="shared" si="280"/>
        <v>21255.279999999999</v>
      </c>
      <c r="S390" s="2">
        <f t="shared" si="280"/>
        <v>466206.32</v>
      </c>
      <c r="T390" s="2">
        <f t="shared" si="280"/>
        <v>0</v>
      </c>
      <c r="U390" s="2">
        <f>U361</f>
        <v>2250.7538860028253</v>
      </c>
      <c r="V390" s="2">
        <f>V361</f>
        <v>0</v>
      </c>
      <c r="W390" s="2">
        <f>ROUND(W361,2)</f>
        <v>0</v>
      </c>
      <c r="X390" s="2">
        <f>ROUND(X361,2)</f>
        <v>328399.99</v>
      </c>
      <c r="Y390" s="2">
        <f>ROUND(Y361,2)</f>
        <v>46620.67</v>
      </c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>
        <f t="shared" ref="AO390:BC390" si="281">ROUND(AO361,2)</f>
        <v>0</v>
      </c>
      <c r="AP390" s="2">
        <f t="shared" si="281"/>
        <v>0</v>
      </c>
      <c r="AQ390" s="2">
        <f t="shared" si="281"/>
        <v>0</v>
      </c>
      <c r="AR390" s="2">
        <f t="shared" si="281"/>
        <v>1991088.33</v>
      </c>
      <c r="AS390" s="2">
        <f t="shared" si="281"/>
        <v>0</v>
      </c>
      <c r="AT390" s="2">
        <f t="shared" si="281"/>
        <v>0</v>
      </c>
      <c r="AU390" s="2">
        <f t="shared" si="281"/>
        <v>1991088.33</v>
      </c>
      <c r="AV390" s="2">
        <f t="shared" si="281"/>
        <v>1071308.1200000001</v>
      </c>
      <c r="AW390" s="2">
        <f t="shared" si="281"/>
        <v>1071308.1200000001</v>
      </c>
      <c r="AX390" s="2">
        <f t="shared" si="281"/>
        <v>0</v>
      </c>
      <c r="AY390" s="2">
        <f t="shared" si="281"/>
        <v>1071308.1200000001</v>
      </c>
      <c r="AZ390" s="2">
        <f t="shared" si="281"/>
        <v>0</v>
      </c>
      <c r="BA390" s="2">
        <f t="shared" si="281"/>
        <v>0</v>
      </c>
      <c r="BB390" s="2">
        <f t="shared" si="281"/>
        <v>0</v>
      </c>
      <c r="BC390" s="2">
        <f t="shared" si="281"/>
        <v>0</v>
      </c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>
        <v>0</v>
      </c>
    </row>
    <row r="392" spans="1:206">
      <c r="A392" s="4">
        <v>50</v>
      </c>
      <c r="B392" s="4">
        <v>0</v>
      </c>
      <c r="C392" s="4">
        <v>0</v>
      </c>
      <c r="D392" s="4">
        <v>1</v>
      </c>
      <c r="E392" s="4">
        <v>201</v>
      </c>
      <c r="F392" s="4">
        <f>ROUND(Source!O390,O392)</f>
        <v>1593111.98</v>
      </c>
      <c r="G392" s="4" t="s">
        <v>65</v>
      </c>
      <c r="H392" s="4" t="s">
        <v>66</v>
      </c>
      <c r="I392" s="4"/>
      <c r="J392" s="4"/>
      <c r="K392" s="4">
        <v>201</v>
      </c>
      <c r="L392" s="4">
        <v>1</v>
      </c>
      <c r="M392" s="4">
        <v>3</v>
      </c>
      <c r="N392" s="4" t="s">
        <v>3</v>
      </c>
      <c r="O392" s="4">
        <v>2</v>
      </c>
      <c r="P392" s="4"/>
      <c r="Q392" s="4"/>
      <c r="R392" s="4"/>
      <c r="S392" s="4"/>
      <c r="T392" s="4"/>
      <c r="U392" s="4"/>
      <c r="V392" s="4"/>
      <c r="W392" s="4"/>
    </row>
    <row r="393" spans="1:206">
      <c r="A393" s="4">
        <v>50</v>
      </c>
      <c r="B393" s="4">
        <v>0</v>
      </c>
      <c r="C393" s="4">
        <v>0</v>
      </c>
      <c r="D393" s="4">
        <v>1</v>
      </c>
      <c r="E393" s="4">
        <v>202</v>
      </c>
      <c r="F393" s="4">
        <f>ROUND(Source!P390,O393)</f>
        <v>1071308.1200000001</v>
      </c>
      <c r="G393" s="4" t="s">
        <v>67</v>
      </c>
      <c r="H393" s="4" t="s">
        <v>68</v>
      </c>
      <c r="I393" s="4"/>
      <c r="J393" s="4"/>
      <c r="K393" s="4">
        <v>202</v>
      </c>
      <c r="L393" s="4">
        <v>2</v>
      </c>
      <c r="M393" s="4">
        <v>3</v>
      </c>
      <c r="N393" s="4" t="s">
        <v>3</v>
      </c>
      <c r="O393" s="4">
        <v>2</v>
      </c>
      <c r="P393" s="4"/>
      <c r="Q393" s="4"/>
      <c r="R393" s="4"/>
      <c r="S393" s="4"/>
      <c r="T393" s="4"/>
      <c r="U393" s="4"/>
      <c r="V393" s="4"/>
      <c r="W393" s="4"/>
    </row>
    <row r="394" spans="1:206">
      <c r="A394" s="4">
        <v>50</v>
      </c>
      <c r="B394" s="4">
        <v>0</v>
      </c>
      <c r="C394" s="4">
        <v>0</v>
      </c>
      <c r="D394" s="4">
        <v>1</v>
      </c>
      <c r="E394" s="4">
        <v>222</v>
      </c>
      <c r="F394" s="4">
        <f>ROUND(Source!AO390,O394)</f>
        <v>0</v>
      </c>
      <c r="G394" s="4" t="s">
        <v>69</v>
      </c>
      <c r="H394" s="4" t="s">
        <v>70</v>
      </c>
      <c r="I394" s="4"/>
      <c r="J394" s="4"/>
      <c r="K394" s="4">
        <v>222</v>
      </c>
      <c r="L394" s="4">
        <v>3</v>
      </c>
      <c r="M394" s="4">
        <v>3</v>
      </c>
      <c r="N394" s="4" t="s">
        <v>3</v>
      </c>
      <c r="O394" s="4">
        <v>2</v>
      </c>
      <c r="P394" s="4"/>
      <c r="Q394" s="4"/>
      <c r="R394" s="4"/>
      <c r="S394" s="4"/>
      <c r="T394" s="4"/>
      <c r="U394" s="4"/>
      <c r="V394" s="4"/>
      <c r="W394" s="4"/>
    </row>
    <row r="395" spans="1:206">
      <c r="A395" s="4">
        <v>50</v>
      </c>
      <c r="B395" s="4">
        <v>0</v>
      </c>
      <c r="C395" s="4">
        <v>0</v>
      </c>
      <c r="D395" s="4">
        <v>1</v>
      </c>
      <c r="E395" s="4">
        <v>225</v>
      </c>
      <c r="F395" s="4">
        <f>ROUND(Source!AV390,O395)</f>
        <v>1071308.1200000001</v>
      </c>
      <c r="G395" s="4" t="s">
        <v>71</v>
      </c>
      <c r="H395" s="4" t="s">
        <v>72</v>
      </c>
      <c r="I395" s="4"/>
      <c r="J395" s="4"/>
      <c r="K395" s="4">
        <v>225</v>
      </c>
      <c r="L395" s="4">
        <v>4</v>
      </c>
      <c r="M395" s="4">
        <v>3</v>
      </c>
      <c r="N395" s="4" t="s">
        <v>3</v>
      </c>
      <c r="O395" s="4">
        <v>2</v>
      </c>
      <c r="P395" s="4"/>
      <c r="Q395" s="4"/>
      <c r="R395" s="4"/>
      <c r="S395" s="4"/>
      <c r="T395" s="4"/>
      <c r="U395" s="4"/>
      <c r="V395" s="4"/>
      <c r="W395" s="4"/>
    </row>
    <row r="396" spans="1:206">
      <c r="A396" s="4">
        <v>50</v>
      </c>
      <c r="B396" s="4">
        <v>0</v>
      </c>
      <c r="C396" s="4">
        <v>0</v>
      </c>
      <c r="D396" s="4">
        <v>1</v>
      </c>
      <c r="E396" s="4">
        <v>226</v>
      </c>
      <c r="F396" s="4">
        <f>ROUND(Source!AW390,O396)</f>
        <v>1071308.1200000001</v>
      </c>
      <c r="G396" s="4" t="s">
        <v>73</v>
      </c>
      <c r="H396" s="4" t="s">
        <v>74</v>
      </c>
      <c r="I396" s="4"/>
      <c r="J396" s="4"/>
      <c r="K396" s="4">
        <v>226</v>
      </c>
      <c r="L396" s="4">
        <v>5</v>
      </c>
      <c r="M396" s="4">
        <v>3</v>
      </c>
      <c r="N396" s="4" t="s">
        <v>3</v>
      </c>
      <c r="O396" s="4">
        <v>2</v>
      </c>
      <c r="P396" s="4"/>
      <c r="Q396" s="4"/>
      <c r="R396" s="4"/>
      <c r="S396" s="4"/>
      <c r="T396" s="4"/>
      <c r="U396" s="4"/>
      <c r="V396" s="4"/>
      <c r="W396" s="4"/>
    </row>
    <row r="397" spans="1:206">
      <c r="A397" s="4">
        <v>50</v>
      </c>
      <c r="B397" s="4">
        <v>0</v>
      </c>
      <c r="C397" s="4">
        <v>0</v>
      </c>
      <c r="D397" s="4">
        <v>1</v>
      </c>
      <c r="E397" s="4">
        <v>227</v>
      </c>
      <c r="F397" s="4">
        <f>ROUND(Source!AX390,O397)</f>
        <v>0</v>
      </c>
      <c r="G397" s="4" t="s">
        <v>75</v>
      </c>
      <c r="H397" s="4" t="s">
        <v>76</v>
      </c>
      <c r="I397" s="4"/>
      <c r="J397" s="4"/>
      <c r="K397" s="4">
        <v>227</v>
      </c>
      <c r="L397" s="4">
        <v>6</v>
      </c>
      <c r="M397" s="4">
        <v>3</v>
      </c>
      <c r="N397" s="4" t="s">
        <v>3</v>
      </c>
      <c r="O397" s="4">
        <v>2</v>
      </c>
      <c r="P397" s="4"/>
      <c r="Q397" s="4"/>
      <c r="R397" s="4"/>
      <c r="S397" s="4"/>
      <c r="T397" s="4"/>
      <c r="U397" s="4"/>
      <c r="V397" s="4"/>
      <c r="W397" s="4"/>
    </row>
    <row r="398" spans="1:206">
      <c r="A398" s="4">
        <v>50</v>
      </c>
      <c r="B398" s="4">
        <v>0</v>
      </c>
      <c r="C398" s="4">
        <v>0</v>
      </c>
      <c r="D398" s="4">
        <v>1</v>
      </c>
      <c r="E398" s="4">
        <v>228</v>
      </c>
      <c r="F398" s="4">
        <f>ROUND(Source!AY390,O398)</f>
        <v>1071308.1200000001</v>
      </c>
      <c r="G398" s="4" t="s">
        <v>77</v>
      </c>
      <c r="H398" s="4" t="s">
        <v>78</v>
      </c>
      <c r="I398" s="4"/>
      <c r="J398" s="4"/>
      <c r="K398" s="4">
        <v>228</v>
      </c>
      <c r="L398" s="4">
        <v>7</v>
      </c>
      <c r="M398" s="4">
        <v>3</v>
      </c>
      <c r="N398" s="4" t="s">
        <v>3</v>
      </c>
      <c r="O398" s="4">
        <v>2</v>
      </c>
      <c r="P398" s="4"/>
      <c r="Q398" s="4"/>
      <c r="R398" s="4"/>
      <c r="S398" s="4"/>
      <c r="T398" s="4"/>
      <c r="U398" s="4"/>
      <c r="V398" s="4"/>
      <c r="W398" s="4"/>
    </row>
    <row r="399" spans="1:206">
      <c r="A399" s="4">
        <v>50</v>
      </c>
      <c r="B399" s="4">
        <v>0</v>
      </c>
      <c r="C399" s="4">
        <v>0</v>
      </c>
      <c r="D399" s="4">
        <v>1</v>
      </c>
      <c r="E399" s="4">
        <v>216</v>
      </c>
      <c r="F399" s="4">
        <f>ROUND(Source!AP390,O399)</f>
        <v>0</v>
      </c>
      <c r="G399" s="4" t="s">
        <v>79</v>
      </c>
      <c r="H399" s="4" t="s">
        <v>80</v>
      </c>
      <c r="I399" s="4"/>
      <c r="J399" s="4"/>
      <c r="K399" s="4">
        <v>216</v>
      </c>
      <c r="L399" s="4">
        <v>8</v>
      </c>
      <c r="M399" s="4">
        <v>3</v>
      </c>
      <c r="N399" s="4" t="s">
        <v>3</v>
      </c>
      <c r="O399" s="4">
        <v>2</v>
      </c>
      <c r="P399" s="4"/>
      <c r="Q399" s="4"/>
      <c r="R399" s="4"/>
      <c r="S399" s="4"/>
      <c r="T399" s="4"/>
      <c r="U399" s="4"/>
      <c r="V399" s="4"/>
      <c r="W399" s="4"/>
    </row>
    <row r="400" spans="1:206">
      <c r="A400" s="4">
        <v>50</v>
      </c>
      <c r="B400" s="4">
        <v>0</v>
      </c>
      <c r="C400" s="4">
        <v>0</v>
      </c>
      <c r="D400" s="4">
        <v>1</v>
      </c>
      <c r="E400" s="4">
        <v>223</v>
      </c>
      <c r="F400" s="4">
        <f>ROUND(Source!AQ390,O400)</f>
        <v>0</v>
      </c>
      <c r="G400" s="4" t="s">
        <v>81</v>
      </c>
      <c r="H400" s="4" t="s">
        <v>82</v>
      </c>
      <c r="I400" s="4"/>
      <c r="J400" s="4"/>
      <c r="K400" s="4">
        <v>223</v>
      </c>
      <c r="L400" s="4">
        <v>9</v>
      </c>
      <c r="M400" s="4">
        <v>3</v>
      </c>
      <c r="N400" s="4" t="s">
        <v>3</v>
      </c>
      <c r="O400" s="4">
        <v>2</v>
      </c>
      <c r="P400" s="4"/>
      <c r="Q400" s="4"/>
      <c r="R400" s="4"/>
      <c r="S400" s="4"/>
      <c r="T400" s="4"/>
      <c r="U400" s="4"/>
      <c r="V400" s="4"/>
      <c r="W400" s="4"/>
    </row>
    <row r="401" spans="1:23">
      <c r="A401" s="4">
        <v>50</v>
      </c>
      <c r="B401" s="4">
        <v>0</v>
      </c>
      <c r="C401" s="4">
        <v>0</v>
      </c>
      <c r="D401" s="4">
        <v>1</v>
      </c>
      <c r="E401" s="4">
        <v>229</v>
      </c>
      <c r="F401" s="4">
        <f>ROUND(Source!AZ390,O401)</f>
        <v>0</v>
      </c>
      <c r="G401" s="4" t="s">
        <v>83</v>
      </c>
      <c r="H401" s="4" t="s">
        <v>84</v>
      </c>
      <c r="I401" s="4"/>
      <c r="J401" s="4"/>
      <c r="K401" s="4">
        <v>229</v>
      </c>
      <c r="L401" s="4">
        <v>10</v>
      </c>
      <c r="M401" s="4">
        <v>3</v>
      </c>
      <c r="N401" s="4" t="s">
        <v>3</v>
      </c>
      <c r="O401" s="4">
        <v>2</v>
      </c>
      <c r="P401" s="4"/>
      <c r="Q401" s="4"/>
      <c r="R401" s="4"/>
      <c r="S401" s="4"/>
      <c r="T401" s="4"/>
      <c r="U401" s="4"/>
      <c r="V401" s="4"/>
      <c r="W401" s="4"/>
    </row>
    <row r="402" spans="1:23">
      <c r="A402" s="4">
        <v>50</v>
      </c>
      <c r="B402" s="4">
        <v>0</v>
      </c>
      <c r="C402" s="4">
        <v>0</v>
      </c>
      <c r="D402" s="4">
        <v>1</v>
      </c>
      <c r="E402" s="4">
        <v>203</v>
      </c>
      <c r="F402" s="4">
        <f>ROUND(Source!Q390,O402)</f>
        <v>55597.54</v>
      </c>
      <c r="G402" s="4" t="s">
        <v>85</v>
      </c>
      <c r="H402" s="4" t="s">
        <v>86</v>
      </c>
      <c r="I402" s="4"/>
      <c r="J402" s="4"/>
      <c r="K402" s="4">
        <v>203</v>
      </c>
      <c r="L402" s="4">
        <v>11</v>
      </c>
      <c r="M402" s="4">
        <v>3</v>
      </c>
      <c r="N402" s="4" t="s">
        <v>3</v>
      </c>
      <c r="O402" s="4">
        <v>2</v>
      </c>
      <c r="P402" s="4"/>
      <c r="Q402" s="4"/>
      <c r="R402" s="4"/>
      <c r="S402" s="4"/>
      <c r="T402" s="4"/>
      <c r="U402" s="4"/>
      <c r="V402" s="4"/>
      <c r="W402" s="4"/>
    </row>
    <row r="403" spans="1:23">
      <c r="A403" s="4">
        <v>50</v>
      </c>
      <c r="B403" s="4">
        <v>0</v>
      </c>
      <c r="C403" s="4">
        <v>0</v>
      </c>
      <c r="D403" s="4">
        <v>1</v>
      </c>
      <c r="E403" s="4">
        <v>231</v>
      </c>
      <c r="F403" s="4">
        <f>ROUND(Source!BB390,O403)</f>
        <v>0</v>
      </c>
      <c r="G403" s="4" t="s">
        <v>87</v>
      </c>
      <c r="H403" s="4" t="s">
        <v>88</v>
      </c>
      <c r="I403" s="4"/>
      <c r="J403" s="4"/>
      <c r="K403" s="4">
        <v>231</v>
      </c>
      <c r="L403" s="4">
        <v>12</v>
      </c>
      <c r="M403" s="4">
        <v>3</v>
      </c>
      <c r="N403" s="4" t="s">
        <v>3</v>
      </c>
      <c r="O403" s="4">
        <v>2</v>
      </c>
      <c r="P403" s="4"/>
      <c r="Q403" s="4"/>
      <c r="R403" s="4"/>
      <c r="S403" s="4"/>
      <c r="T403" s="4"/>
      <c r="U403" s="4"/>
      <c r="V403" s="4"/>
      <c r="W403" s="4"/>
    </row>
    <row r="404" spans="1:23">
      <c r="A404" s="4">
        <v>50</v>
      </c>
      <c r="B404" s="4">
        <v>0</v>
      </c>
      <c r="C404" s="4">
        <v>0</v>
      </c>
      <c r="D404" s="4">
        <v>1</v>
      </c>
      <c r="E404" s="4">
        <v>204</v>
      </c>
      <c r="F404" s="4">
        <f>ROUND(Source!R390,O404)</f>
        <v>21255.279999999999</v>
      </c>
      <c r="G404" s="4" t="s">
        <v>89</v>
      </c>
      <c r="H404" s="4" t="s">
        <v>90</v>
      </c>
      <c r="I404" s="4"/>
      <c r="J404" s="4"/>
      <c r="K404" s="4">
        <v>204</v>
      </c>
      <c r="L404" s="4">
        <v>13</v>
      </c>
      <c r="M404" s="4">
        <v>3</v>
      </c>
      <c r="N404" s="4" t="s">
        <v>3</v>
      </c>
      <c r="O404" s="4">
        <v>2</v>
      </c>
      <c r="P404" s="4"/>
      <c r="Q404" s="4"/>
      <c r="R404" s="4"/>
      <c r="S404" s="4"/>
      <c r="T404" s="4"/>
      <c r="U404" s="4"/>
      <c r="V404" s="4"/>
      <c r="W404" s="4"/>
    </row>
    <row r="405" spans="1:23">
      <c r="A405" s="4">
        <v>50</v>
      </c>
      <c r="B405" s="4">
        <v>0</v>
      </c>
      <c r="C405" s="4">
        <v>0</v>
      </c>
      <c r="D405" s="4">
        <v>1</v>
      </c>
      <c r="E405" s="4">
        <v>205</v>
      </c>
      <c r="F405" s="4">
        <f>ROUND(Source!S390,O405)</f>
        <v>466206.32</v>
      </c>
      <c r="G405" s="4" t="s">
        <v>91</v>
      </c>
      <c r="H405" s="4" t="s">
        <v>92</v>
      </c>
      <c r="I405" s="4"/>
      <c r="J405" s="4"/>
      <c r="K405" s="4">
        <v>205</v>
      </c>
      <c r="L405" s="4">
        <v>14</v>
      </c>
      <c r="M405" s="4">
        <v>3</v>
      </c>
      <c r="N405" s="4" t="s">
        <v>3</v>
      </c>
      <c r="O405" s="4">
        <v>2</v>
      </c>
      <c r="P405" s="4"/>
      <c r="Q405" s="4"/>
      <c r="R405" s="4"/>
      <c r="S405" s="4"/>
      <c r="T405" s="4"/>
      <c r="U405" s="4"/>
      <c r="V405" s="4"/>
      <c r="W405" s="4"/>
    </row>
    <row r="406" spans="1:23">
      <c r="A406" s="4">
        <v>50</v>
      </c>
      <c r="B406" s="4">
        <v>0</v>
      </c>
      <c r="C406" s="4">
        <v>0</v>
      </c>
      <c r="D406" s="4">
        <v>1</v>
      </c>
      <c r="E406" s="4">
        <v>232</v>
      </c>
      <c r="F406" s="4">
        <f>ROUND(Source!BC390,O406)</f>
        <v>0</v>
      </c>
      <c r="G406" s="4" t="s">
        <v>93</v>
      </c>
      <c r="H406" s="4" t="s">
        <v>94</v>
      </c>
      <c r="I406" s="4"/>
      <c r="J406" s="4"/>
      <c r="K406" s="4">
        <v>232</v>
      </c>
      <c r="L406" s="4">
        <v>15</v>
      </c>
      <c r="M406" s="4">
        <v>3</v>
      </c>
      <c r="N406" s="4" t="s">
        <v>3</v>
      </c>
      <c r="O406" s="4">
        <v>2</v>
      </c>
      <c r="P406" s="4"/>
      <c r="Q406" s="4"/>
      <c r="R406" s="4"/>
      <c r="S406" s="4"/>
      <c r="T406" s="4"/>
      <c r="U406" s="4"/>
      <c r="V406" s="4"/>
      <c r="W406" s="4"/>
    </row>
    <row r="407" spans="1:23">
      <c r="A407" s="4">
        <v>50</v>
      </c>
      <c r="B407" s="4">
        <v>0</v>
      </c>
      <c r="C407" s="4">
        <v>0</v>
      </c>
      <c r="D407" s="4">
        <v>1</v>
      </c>
      <c r="E407" s="4">
        <v>214</v>
      </c>
      <c r="F407" s="4">
        <f>ROUND(Source!AS390,O407)</f>
        <v>0</v>
      </c>
      <c r="G407" s="4" t="s">
        <v>95</v>
      </c>
      <c r="H407" s="4" t="s">
        <v>96</v>
      </c>
      <c r="I407" s="4"/>
      <c r="J407" s="4"/>
      <c r="K407" s="4">
        <v>214</v>
      </c>
      <c r="L407" s="4">
        <v>16</v>
      </c>
      <c r="M407" s="4">
        <v>3</v>
      </c>
      <c r="N407" s="4" t="s">
        <v>3</v>
      </c>
      <c r="O407" s="4">
        <v>2</v>
      </c>
      <c r="P407" s="4"/>
      <c r="Q407" s="4"/>
      <c r="R407" s="4"/>
      <c r="S407" s="4"/>
      <c r="T407" s="4"/>
      <c r="U407" s="4"/>
      <c r="V407" s="4"/>
      <c r="W407" s="4"/>
    </row>
    <row r="408" spans="1:23">
      <c r="A408" s="4">
        <v>50</v>
      </c>
      <c r="B408" s="4">
        <v>0</v>
      </c>
      <c r="C408" s="4">
        <v>0</v>
      </c>
      <c r="D408" s="4">
        <v>1</v>
      </c>
      <c r="E408" s="4">
        <v>215</v>
      </c>
      <c r="F408" s="4">
        <f>ROUND(Source!AT390,O408)</f>
        <v>0</v>
      </c>
      <c r="G408" s="4" t="s">
        <v>97</v>
      </c>
      <c r="H408" s="4" t="s">
        <v>98</v>
      </c>
      <c r="I408" s="4"/>
      <c r="J408" s="4"/>
      <c r="K408" s="4">
        <v>215</v>
      </c>
      <c r="L408" s="4">
        <v>17</v>
      </c>
      <c r="M408" s="4">
        <v>3</v>
      </c>
      <c r="N408" s="4" t="s">
        <v>3</v>
      </c>
      <c r="O408" s="4">
        <v>2</v>
      </c>
      <c r="P408" s="4"/>
      <c r="Q408" s="4"/>
      <c r="R408" s="4"/>
      <c r="S408" s="4"/>
      <c r="T408" s="4"/>
      <c r="U408" s="4"/>
      <c r="V408" s="4"/>
      <c r="W408" s="4"/>
    </row>
    <row r="409" spans="1:23">
      <c r="A409" s="4">
        <v>50</v>
      </c>
      <c r="B409" s="4">
        <v>0</v>
      </c>
      <c r="C409" s="4">
        <v>0</v>
      </c>
      <c r="D409" s="4">
        <v>1</v>
      </c>
      <c r="E409" s="4">
        <v>217</v>
      </c>
      <c r="F409" s="4">
        <f>ROUND(Source!AU390,O409)</f>
        <v>1991088.33</v>
      </c>
      <c r="G409" s="4" t="s">
        <v>99</v>
      </c>
      <c r="H409" s="4" t="s">
        <v>100</v>
      </c>
      <c r="I409" s="4"/>
      <c r="J409" s="4"/>
      <c r="K409" s="4">
        <v>217</v>
      </c>
      <c r="L409" s="4">
        <v>18</v>
      </c>
      <c r="M409" s="4">
        <v>3</v>
      </c>
      <c r="N409" s="4" t="s">
        <v>3</v>
      </c>
      <c r="O409" s="4">
        <v>2</v>
      </c>
      <c r="P409" s="4"/>
      <c r="Q409" s="4"/>
      <c r="R409" s="4"/>
      <c r="S409" s="4"/>
      <c r="T409" s="4"/>
      <c r="U409" s="4"/>
      <c r="V409" s="4"/>
      <c r="W409" s="4"/>
    </row>
    <row r="410" spans="1:23">
      <c r="A410" s="4">
        <v>50</v>
      </c>
      <c r="B410" s="4">
        <v>0</v>
      </c>
      <c r="C410" s="4">
        <v>0</v>
      </c>
      <c r="D410" s="4">
        <v>1</v>
      </c>
      <c r="E410" s="4">
        <v>230</v>
      </c>
      <c r="F410" s="4">
        <f>ROUND(Source!BA390,O410)</f>
        <v>0</v>
      </c>
      <c r="G410" s="4" t="s">
        <v>101</v>
      </c>
      <c r="H410" s="4" t="s">
        <v>102</v>
      </c>
      <c r="I410" s="4"/>
      <c r="J410" s="4"/>
      <c r="K410" s="4">
        <v>230</v>
      </c>
      <c r="L410" s="4">
        <v>19</v>
      </c>
      <c r="M410" s="4">
        <v>3</v>
      </c>
      <c r="N410" s="4" t="s">
        <v>3</v>
      </c>
      <c r="O410" s="4">
        <v>2</v>
      </c>
      <c r="P410" s="4"/>
      <c r="Q410" s="4"/>
      <c r="R410" s="4"/>
      <c r="S410" s="4"/>
      <c r="T410" s="4"/>
      <c r="U410" s="4"/>
      <c r="V410" s="4"/>
      <c r="W410" s="4"/>
    </row>
    <row r="411" spans="1:23">
      <c r="A411" s="4">
        <v>50</v>
      </c>
      <c r="B411" s="4">
        <v>0</v>
      </c>
      <c r="C411" s="4">
        <v>0</v>
      </c>
      <c r="D411" s="4">
        <v>1</v>
      </c>
      <c r="E411" s="4">
        <v>206</v>
      </c>
      <c r="F411" s="4">
        <f>ROUND(Source!T390,O411)</f>
        <v>0</v>
      </c>
      <c r="G411" s="4" t="s">
        <v>103</v>
      </c>
      <c r="H411" s="4" t="s">
        <v>104</v>
      </c>
      <c r="I411" s="4"/>
      <c r="J411" s="4"/>
      <c r="K411" s="4">
        <v>206</v>
      </c>
      <c r="L411" s="4">
        <v>20</v>
      </c>
      <c r="M411" s="4">
        <v>3</v>
      </c>
      <c r="N411" s="4" t="s">
        <v>3</v>
      </c>
      <c r="O411" s="4">
        <v>2</v>
      </c>
      <c r="P411" s="4"/>
      <c r="Q411" s="4"/>
      <c r="R411" s="4"/>
      <c r="S411" s="4"/>
      <c r="T411" s="4"/>
      <c r="U411" s="4"/>
      <c r="V411" s="4"/>
      <c r="W411" s="4"/>
    </row>
    <row r="412" spans="1:23">
      <c r="A412" s="4">
        <v>50</v>
      </c>
      <c r="B412" s="4">
        <v>0</v>
      </c>
      <c r="C412" s="4">
        <v>0</v>
      </c>
      <c r="D412" s="4">
        <v>1</v>
      </c>
      <c r="E412" s="4">
        <v>207</v>
      </c>
      <c r="F412" s="4">
        <f>Source!U390</f>
        <v>2250.7538860028253</v>
      </c>
      <c r="G412" s="4" t="s">
        <v>105</v>
      </c>
      <c r="H412" s="4" t="s">
        <v>106</v>
      </c>
      <c r="I412" s="4"/>
      <c r="J412" s="4"/>
      <c r="K412" s="4">
        <v>207</v>
      </c>
      <c r="L412" s="4">
        <v>21</v>
      </c>
      <c r="M412" s="4">
        <v>3</v>
      </c>
      <c r="N412" s="4" t="s">
        <v>3</v>
      </c>
      <c r="O412" s="4">
        <v>-1</v>
      </c>
      <c r="P412" s="4"/>
      <c r="Q412" s="4"/>
      <c r="R412" s="4"/>
      <c r="S412" s="4"/>
      <c r="T412" s="4"/>
      <c r="U412" s="4"/>
      <c r="V412" s="4"/>
      <c r="W412" s="4"/>
    </row>
    <row r="413" spans="1:23">
      <c r="A413" s="4">
        <v>50</v>
      </c>
      <c r="B413" s="4">
        <v>0</v>
      </c>
      <c r="C413" s="4">
        <v>0</v>
      </c>
      <c r="D413" s="4">
        <v>1</v>
      </c>
      <c r="E413" s="4">
        <v>208</v>
      </c>
      <c r="F413" s="4">
        <f>Source!V390</f>
        <v>0</v>
      </c>
      <c r="G413" s="4" t="s">
        <v>107</v>
      </c>
      <c r="H413" s="4" t="s">
        <v>108</v>
      </c>
      <c r="I413" s="4"/>
      <c r="J413" s="4"/>
      <c r="K413" s="4">
        <v>208</v>
      </c>
      <c r="L413" s="4">
        <v>22</v>
      </c>
      <c r="M413" s="4">
        <v>3</v>
      </c>
      <c r="N413" s="4" t="s">
        <v>3</v>
      </c>
      <c r="O413" s="4">
        <v>-1</v>
      </c>
      <c r="P413" s="4"/>
      <c r="Q413" s="4"/>
      <c r="R413" s="4"/>
      <c r="S413" s="4"/>
      <c r="T413" s="4"/>
      <c r="U413" s="4"/>
      <c r="V413" s="4"/>
      <c r="W413" s="4"/>
    </row>
    <row r="414" spans="1:23">
      <c r="A414" s="4">
        <v>50</v>
      </c>
      <c r="B414" s="4">
        <v>0</v>
      </c>
      <c r="C414" s="4">
        <v>0</v>
      </c>
      <c r="D414" s="4">
        <v>1</v>
      </c>
      <c r="E414" s="4">
        <v>209</v>
      </c>
      <c r="F414" s="4">
        <f>ROUND(Source!W390,O414)</f>
        <v>0</v>
      </c>
      <c r="G414" s="4" t="s">
        <v>109</v>
      </c>
      <c r="H414" s="4" t="s">
        <v>110</v>
      </c>
      <c r="I414" s="4"/>
      <c r="J414" s="4"/>
      <c r="K414" s="4">
        <v>209</v>
      </c>
      <c r="L414" s="4">
        <v>23</v>
      </c>
      <c r="M414" s="4">
        <v>3</v>
      </c>
      <c r="N414" s="4" t="s">
        <v>3</v>
      </c>
      <c r="O414" s="4">
        <v>2</v>
      </c>
      <c r="P414" s="4"/>
      <c r="Q414" s="4"/>
      <c r="R414" s="4"/>
      <c r="S414" s="4"/>
      <c r="T414" s="4"/>
      <c r="U414" s="4"/>
      <c r="V414" s="4"/>
      <c r="W414" s="4"/>
    </row>
    <row r="415" spans="1:23">
      <c r="A415" s="4">
        <v>50</v>
      </c>
      <c r="B415" s="4">
        <v>0</v>
      </c>
      <c r="C415" s="4">
        <v>0</v>
      </c>
      <c r="D415" s="4">
        <v>1</v>
      </c>
      <c r="E415" s="4">
        <v>210</v>
      </c>
      <c r="F415" s="4">
        <f>ROUND(Source!X390,O415)</f>
        <v>328399.99</v>
      </c>
      <c r="G415" s="4" t="s">
        <v>111</v>
      </c>
      <c r="H415" s="4" t="s">
        <v>112</v>
      </c>
      <c r="I415" s="4"/>
      <c r="J415" s="4"/>
      <c r="K415" s="4">
        <v>210</v>
      </c>
      <c r="L415" s="4">
        <v>24</v>
      </c>
      <c r="M415" s="4">
        <v>3</v>
      </c>
      <c r="N415" s="4" t="s">
        <v>3</v>
      </c>
      <c r="O415" s="4">
        <v>2</v>
      </c>
      <c r="P415" s="4"/>
      <c r="Q415" s="4"/>
      <c r="R415" s="4"/>
      <c r="S415" s="4"/>
      <c r="T415" s="4"/>
      <c r="U415" s="4"/>
      <c r="V415" s="4"/>
      <c r="W415" s="4"/>
    </row>
    <row r="416" spans="1:23">
      <c r="A416" s="4">
        <v>50</v>
      </c>
      <c r="B416" s="4">
        <v>0</v>
      </c>
      <c r="C416" s="4">
        <v>0</v>
      </c>
      <c r="D416" s="4">
        <v>1</v>
      </c>
      <c r="E416" s="4">
        <v>211</v>
      </c>
      <c r="F416" s="4">
        <f>ROUND(Source!Y390,O416)</f>
        <v>46620.67</v>
      </c>
      <c r="G416" s="4" t="s">
        <v>113</v>
      </c>
      <c r="H416" s="4" t="s">
        <v>114</v>
      </c>
      <c r="I416" s="4"/>
      <c r="J416" s="4"/>
      <c r="K416" s="4">
        <v>211</v>
      </c>
      <c r="L416" s="4">
        <v>25</v>
      </c>
      <c r="M416" s="4">
        <v>3</v>
      </c>
      <c r="N416" s="4" t="s">
        <v>3</v>
      </c>
      <c r="O416" s="4">
        <v>2</v>
      </c>
      <c r="P416" s="4"/>
      <c r="Q416" s="4"/>
      <c r="R416" s="4"/>
      <c r="S416" s="4"/>
      <c r="T416" s="4"/>
      <c r="U416" s="4"/>
      <c r="V416" s="4"/>
      <c r="W416" s="4"/>
    </row>
    <row r="417" spans="1:23">
      <c r="A417" s="4">
        <v>50</v>
      </c>
      <c r="B417" s="4">
        <v>0</v>
      </c>
      <c r="C417" s="4">
        <v>0</v>
      </c>
      <c r="D417" s="4">
        <v>1</v>
      </c>
      <c r="E417" s="4">
        <v>224</v>
      </c>
      <c r="F417" s="4">
        <f>ROUND(Source!AR390,O417)</f>
        <v>1991088.33</v>
      </c>
      <c r="G417" s="4" t="s">
        <v>115</v>
      </c>
      <c r="H417" s="4" t="s">
        <v>116</v>
      </c>
      <c r="I417" s="4"/>
      <c r="J417" s="4"/>
      <c r="K417" s="4">
        <v>224</v>
      </c>
      <c r="L417" s="4">
        <v>26</v>
      </c>
      <c r="M417" s="4">
        <v>3</v>
      </c>
      <c r="N417" s="4" t="s">
        <v>3</v>
      </c>
      <c r="O417" s="4">
        <v>2</v>
      </c>
      <c r="P417" s="4"/>
      <c r="Q417" s="4"/>
      <c r="R417" s="4"/>
      <c r="S417" s="4"/>
      <c r="T417" s="4"/>
      <c r="U417" s="4"/>
      <c r="V417" s="4"/>
      <c r="W417" s="4"/>
    </row>
    <row r="418" spans="1:23">
      <c r="A418" s="4">
        <v>50</v>
      </c>
      <c r="B418" s="4">
        <v>1</v>
      </c>
      <c r="C418" s="4">
        <v>0</v>
      </c>
      <c r="D418" s="4">
        <v>2</v>
      </c>
      <c r="E418" s="4">
        <v>0</v>
      </c>
      <c r="F418" s="4">
        <f>ROUND(F417,O418)</f>
        <v>1991088.33</v>
      </c>
      <c r="G418" s="4" t="s">
        <v>4</v>
      </c>
      <c r="H418" s="4" t="s">
        <v>117</v>
      </c>
      <c r="I418" s="4"/>
      <c r="J418" s="4"/>
      <c r="K418" s="4">
        <v>212</v>
      </c>
      <c r="L418" s="4">
        <v>27</v>
      </c>
      <c r="M418" s="4">
        <v>0</v>
      </c>
      <c r="N418" s="4" t="s">
        <v>3</v>
      </c>
      <c r="O418" s="4">
        <v>2</v>
      </c>
      <c r="P418" s="4"/>
      <c r="Q418" s="4"/>
      <c r="R418" s="4"/>
      <c r="S418" s="4"/>
      <c r="T418" s="4"/>
      <c r="U418" s="4"/>
      <c r="V418" s="4"/>
      <c r="W418" s="4"/>
    </row>
    <row r="419" spans="1:23">
      <c r="A419" s="4">
        <v>50</v>
      </c>
      <c r="B419" s="4">
        <v>1</v>
      </c>
      <c r="C419" s="4">
        <v>0</v>
      </c>
      <c r="D419" s="4">
        <v>2</v>
      </c>
      <c r="E419" s="4">
        <v>0</v>
      </c>
      <c r="F419" s="4">
        <f>ROUND(F418*0.2,O419)</f>
        <v>398217.67</v>
      </c>
      <c r="G419" s="4" t="s">
        <v>23</v>
      </c>
      <c r="H419" s="4" t="s">
        <v>118</v>
      </c>
      <c r="I419" s="4"/>
      <c r="J419" s="4"/>
      <c r="K419" s="4">
        <v>212</v>
      </c>
      <c r="L419" s="4">
        <v>28</v>
      </c>
      <c r="M419" s="4">
        <v>0</v>
      </c>
      <c r="N419" s="4" t="s">
        <v>3</v>
      </c>
      <c r="O419" s="4">
        <v>2</v>
      </c>
      <c r="P419" s="4"/>
      <c r="Q419" s="4"/>
      <c r="R419" s="4"/>
      <c r="S419" s="4"/>
      <c r="T419" s="4"/>
      <c r="U419" s="4"/>
      <c r="V419" s="4"/>
      <c r="W419" s="4"/>
    </row>
    <row r="420" spans="1:23">
      <c r="A420" s="4">
        <v>50</v>
      </c>
      <c r="B420" s="4">
        <v>1</v>
      </c>
      <c r="C420" s="4">
        <v>0</v>
      </c>
      <c r="D420" s="4">
        <v>2</v>
      </c>
      <c r="E420" s="4">
        <v>0</v>
      </c>
      <c r="F420" s="4">
        <f>ROUND(F418+F419,O420)</f>
        <v>2389306</v>
      </c>
      <c r="G420" s="4" t="s">
        <v>27</v>
      </c>
      <c r="H420" s="4" t="s">
        <v>119</v>
      </c>
      <c r="I420" s="4"/>
      <c r="J420" s="4"/>
      <c r="K420" s="4">
        <v>212</v>
      </c>
      <c r="L420" s="4">
        <v>29</v>
      </c>
      <c r="M420" s="4">
        <v>0</v>
      </c>
      <c r="N420" s="4" t="s">
        <v>3</v>
      </c>
      <c r="O420" s="4">
        <v>2</v>
      </c>
      <c r="P420" s="4"/>
      <c r="Q420" s="4"/>
      <c r="R420" s="4"/>
      <c r="S420" s="4"/>
      <c r="T420" s="4"/>
      <c r="U420" s="4"/>
      <c r="V420" s="4"/>
      <c r="W420" s="4"/>
    </row>
    <row r="421" spans="1:23">
      <c r="A421" s="4">
        <v>50</v>
      </c>
      <c r="B421" s="4">
        <v>1</v>
      </c>
      <c r="C421" s="4">
        <v>0</v>
      </c>
      <c r="D421" s="4">
        <v>2</v>
      </c>
      <c r="E421" s="4">
        <v>0</v>
      </c>
      <c r="F421" s="4">
        <v>2228216.9500000002</v>
      </c>
      <c r="G421" s="4" t="s">
        <v>31</v>
      </c>
      <c r="H421" s="4" t="s">
        <v>336</v>
      </c>
      <c r="I421" s="4"/>
      <c r="J421" s="4"/>
      <c r="K421" s="4">
        <v>212</v>
      </c>
      <c r="L421" s="4">
        <v>30</v>
      </c>
      <c r="M421" s="4">
        <v>0</v>
      </c>
      <c r="N421" s="4" t="s">
        <v>3</v>
      </c>
      <c r="O421" s="4">
        <v>2</v>
      </c>
      <c r="P421" s="4"/>
      <c r="Q421" s="4"/>
      <c r="R421" s="4"/>
      <c r="S421" s="4"/>
      <c r="T421" s="4"/>
      <c r="U421" s="4"/>
      <c r="V421" s="4"/>
      <c r="W421" s="4"/>
    </row>
    <row r="424" spans="1:23">
      <c r="A424">
        <v>-1</v>
      </c>
    </row>
    <row r="426" spans="1:23">
      <c r="A426" s="3">
        <v>75</v>
      </c>
      <c r="B426" s="3" t="s">
        <v>337</v>
      </c>
      <c r="C426" s="3">
        <v>2020</v>
      </c>
      <c r="D426" s="3">
        <v>0</v>
      </c>
      <c r="E426" s="3">
        <v>10</v>
      </c>
      <c r="F426" s="3">
        <v>0</v>
      </c>
      <c r="G426" s="3">
        <v>0</v>
      </c>
      <c r="H426" s="3">
        <v>1</v>
      </c>
      <c r="I426" s="3">
        <v>0</v>
      </c>
      <c r="J426" s="3">
        <v>1</v>
      </c>
      <c r="K426" s="3">
        <v>78</v>
      </c>
      <c r="L426" s="3">
        <v>30</v>
      </c>
      <c r="M426" s="3">
        <v>0</v>
      </c>
      <c r="N426" s="3">
        <v>42225948</v>
      </c>
      <c r="O426" s="3">
        <v>1</v>
      </c>
    </row>
    <row r="430" spans="1:23">
      <c r="A430">
        <v>65</v>
      </c>
      <c r="C430">
        <v>1</v>
      </c>
      <c r="D430">
        <v>0</v>
      </c>
      <c r="E430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EC54"/>
  <sheetViews>
    <sheetView workbookViewId="0"/>
  </sheetViews>
  <sheetFormatPr defaultColWidth="9.140625" defaultRowHeight="12.75"/>
  <cols>
    <col min="1" max="256" width="9.140625" customWidth="1"/>
  </cols>
  <sheetData>
    <row r="1" spans="1:133">
      <c r="A1">
        <v>0</v>
      </c>
      <c r="B1" t="s">
        <v>0</v>
      </c>
      <c r="D1" t="s">
        <v>338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36063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>
      <c r="A12" s="1">
        <v>1</v>
      </c>
      <c r="B12" s="1">
        <v>54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>
      <c r="A14" s="1">
        <v>22</v>
      </c>
      <c r="B14" s="1">
        <v>0</v>
      </c>
      <c r="C14" s="1">
        <v>0</v>
      </c>
      <c r="D14" s="1">
        <v>42225948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>
      <c r="A16" s="5">
        <v>3</v>
      </c>
      <c r="B16" s="5">
        <v>1</v>
      </c>
      <c r="C16" s="5" t="s">
        <v>12</v>
      </c>
      <c r="D16" s="5" t="s">
        <v>13</v>
      </c>
      <c r="E16" s="6">
        <f>(Source!F378)/1000</f>
        <v>0</v>
      </c>
      <c r="F16" s="6">
        <f>(Source!F379)/1000</f>
        <v>0</v>
      </c>
      <c r="G16" s="6">
        <f>(Source!F370)/1000</f>
        <v>0</v>
      </c>
      <c r="H16" s="6">
        <f>(Source!F380)/1000+(Source!F381)/1000</f>
        <v>1991.08833</v>
      </c>
      <c r="I16" s="6">
        <f>E16+F16+G16+H16</f>
        <v>1991.08833</v>
      </c>
      <c r="J16" s="6">
        <f>(Source!F376)/1000</f>
        <v>466.20632000000001</v>
      </c>
      <c r="AI16" s="5">
        <v>0</v>
      </c>
      <c r="AJ16" s="5">
        <v>-1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1593111.98</v>
      </c>
      <c r="AU16" s="6">
        <v>1071308.1200000001</v>
      </c>
      <c r="AV16" s="6">
        <v>0</v>
      </c>
      <c r="AW16" s="6">
        <v>0</v>
      </c>
      <c r="AX16" s="6">
        <v>0</v>
      </c>
      <c r="AY16" s="6">
        <v>55597.54</v>
      </c>
      <c r="AZ16" s="6">
        <v>21255.279999999999</v>
      </c>
      <c r="BA16" s="6">
        <v>466206.32</v>
      </c>
      <c r="BB16" s="6">
        <v>0</v>
      </c>
      <c r="BC16" s="6">
        <v>0</v>
      </c>
      <c r="BD16" s="6">
        <v>1991088.33</v>
      </c>
      <c r="BE16" s="6">
        <v>0</v>
      </c>
      <c r="BF16" s="6">
        <v>2250.7538860028249</v>
      </c>
      <c r="BG16" s="6">
        <v>0</v>
      </c>
      <c r="BH16" s="6">
        <v>0</v>
      </c>
      <c r="BI16" s="6">
        <v>328399.99</v>
      </c>
      <c r="BJ16" s="6">
        <v>46620.67</v>
      </c>
      <c r="BK16" s="6">
        <v>1991088.33</v>
      </c>
    </row>
    <row r="18" spans="1:19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1991.08833</v>
      </c>
      <c r="I18" s="7">
        <f>SUMIF(A16:A17,3,I16:I17)</f>
        <v>1991.08833</v>
      </c>
      <c r="J18" s="7">
        <f>SUMIF(A16:A17,3,J16:J17)</f>
        <v>466.20632000000001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1593111.98</v>
      </c>
      <c r="G20" s="4" t="s">
        <v>65</v>
      </c>
      <c r="H20" s="4" t="s">
        <v>66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1071308.1200000001</v>
      </c>
      <c r="G21" s="4" t="s">
        <v>67</v>
      </c>
      <c r="H21" s="4" t="s">
        <v>68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69</v>
      </c>
      <c r="H22" s="4" t="s">
        <v>70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1071308.1200000001</v>
      </c>
      <c r="G23" s="4" t="s">
        <v>71</v>
      </c>
      <c r="H23" s="4" t="s">
        <v>72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1071308.1200000001</v>
      </c>
      <c r="G24" s="4" t="s">
        <v>73</v>
      </c>
      <c r="H24" s="4" t="s">
        <v>74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75</v>
      </c>
      <c r="H25" s="4" t="s">
        <v>76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1071308.1200000001</v>
      </c>
      <c r="G26" s="4" t="s">
        <v>77</v>
      </c>
      <c r="H26" s="4" t="s">
        <v>78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79</v>
      </c>
      <c r="H27" s="4" t="s">
        <v>80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81</v>
      </c>
      <c r="H28" s="4" t="s">
        <v>82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83</v>
      </c>
      <c r="H29" s="4" t="s">
        <v>84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55597.54</v>
      </c>
      <c r="G30" s="4" t="s">
        <v>85</v>
      </c>
      <c r="H30" s="4" t="s">
        <v>86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87</v>
      </c>
      <c r="H31" s="4" t="s">
        <v>88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21255.279999999999</v>
      </c>
      <c r="G32" s="4" t="s">
        <v>89</v>
      </c>
      <c r="H32" s="4" t="s">
        <v>90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466206.32</v>
      </c>
      <c r="G33" s="4" t="s">
        <v>91</v>
      </c>
      <c r="H33" s="4" t="s">
        <v>92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93</v>
      </c>
      <c r="H34" s="4" t="s">
        <v>94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95</v>
      </c>
      <c r="H35" s="4" t="s">
        <v>96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97</v>
      </c>
      <c r="H36" s="4" t="s">
        <v>98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1991088.33</v>
      </c>
      <c r="G37" s="4" t="s">
        <v>99</v>
      </c>
      <c r="H37" s="4" t="s">
        <v>100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101</v>
      </c>
      <c r="H38" s="4" t="s">
        <v>102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103</v>
      </c>
      <c r="H39" s="4" t="s">
        <v>104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2250.7538860028249</v>
      </c>
      <c r="G40" s="4" t="s">
        <v>105</v>
      </c>
      <c r="H40" s="4" t="s">
        <v>106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107</v>
      </c>
      <c r="H41" s="4" t="s">
        <v>108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109</v>
      </c>
      <c r="H42" s="4" t="s">
        <v>110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>
      <c r="A43" s="4">
        <v>50</v>
      </c>
      <c r="B43" s="4">
        <v>0</v>
      </c>
      <c r="C43" s="4">
        <v>0</v>
      </c>
      <c r="D43" s="4">
        <v>1</v>
      </c>
      <c r="E43" s="4">
        <v>210</v>
      </c>
      <c r="F43" s="4">
        <v>328399.99</v>
      </c>
      <c r="G43" s="4" t="s">
        <v>111</v>
      </c>
      <c r="H43" s="4" t="s">
        <v>112</v>
      </c>
      <c r="I43" s="4"/>
      <c r="J43" s="4"/>
      <c r="K43" s="4">
        <v>210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>
      <c r="A44" s="4">
        <v>50</v>
      </c>
      <c r="B44" s="4">
        <v>0</v>
      </c>
      <c r="C44" s="4">
        <v>0</v>
      </c>
      <c r="D44" s="4">
        <v>1</v>
      </c>
      <c r="E44" s="4">
        <v>211</v>
      </c>
      <c r="F44" s="4">
        <v>46620.67</v>
      </c>
      <c r="G44" s="4" t="s">
        <v>113</v>
      </c>
      <c r="H44" s="4" t="s">
        <v>114</v>
      </c>
      <c r="I44" s="4"/>
      <c r="J44" s="4"/>
      <c r="K44" s="4">
        <v>211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>
      <c r="A45" s="4">
        <v>50</v>
      </c>
      <c r="B45" s="4">
        <v>0</v>
      </c>
      <c r="C45" s="4">
        <v>0</v>
      </c>
      <c r="D45" s="4">
        <v>1</v>
      </c>
      <c r="E45" s="4">
        <v>224</v>
      </c>
      <c r="F45" s="4">
        <v>1991088.33</v>
      </c>
      <c r="G45" s="4" t="s">
        <v>115</v>
      </c>
      <c r="H45" s="4" t="s">
        <v>116</v>
      </c>
      <c r="I45" s="4"/>
      <c r="J45" s="4"/>
      <c r="K45" s="4">
        <v>224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>
      <c r="A46" s="4">
        <v>50</v>
      </c>
      <c r="B46" s="4">
        <v>1</v>
      </c>
      <c r="C46" s="4">
        <v>0</v>
      </c>
      <c r="D46" s="4">
        <v>2</v>
      </c>
      <c r="E46" s="4">
        <v>0</v>
      </c>
      <c r="F46" s="4">
        <v>1991088.33</v>
      </c>
      <c r="G46" s="4" t="s">
        <v>4</v>
      </c>
      <c r="H46" s="4" t="s">
        <v>117</v>
      </c>
      <c r="I46" s="4"/>
      <c r="J46" s="4"/>
      <c r="K46" s="4">
        <v>212</v>
      </c>
      <c r="L46" s="4">
        <v>27</v>
      </c>
      <c r="M46" s="4">
        <v>0</v>
      </c>
      <c r="N46" s="4" t="s">
        <v>3</v>
      </c>
      <c r="O46" s="4">
        <v>2</v>
      </c>
      <c r="P46" s="4"/>
    </row>
    <row r="47" spans="1:16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398217.67</v>
      </c>
      <c r="G47" s="4" t="s">
        <v>23</v>
      </c>
      <c r="H47" s="4" t="s">
        <v>118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2389306</v>
      </c>
      <c r="G48" s="4" t="s">
        <v>27</v>
      </c>
      <c r="H48" s="4" t="s">
        <v>119</v>
      </c>
      <c r="I48" s="4"/>
      <c r="J48" s="4"/>
      <c r="K48" s="4">
        <v>212</v>
      </c>
      <c r="L48" s="4">
        <v>29</v>
      </c>
      <c r="M48" s="4">
        <v>0</v>
      </c>
      <c r="N48" s="4" t="s">
        <v>3</v>
      </c>
      <c r="O48" s="4">
        <v>2</v>
      </c>
      <c r="P48" s="4"/>
    </row>
    <row r="49" spans="1:16">
      <c r="A49" s="4">
        <v>50</v>
      </c>
      <c r="B49" s="4">
        <v>1</v>
      </c>
      <c r="C49" s="4">
        <v>0</v>
      </c>
      <c r="D49" s="4">
        <v>2</v>
      </c>
      <c r="E49" s="4">
        <v>0</v>
      </c>
      <c r="F49" s="4">
        <v>2228216.9500000002</v>
      </c>
      <c r="G49" s="4" t="s">
        <v>31</v>
      </c>
      <c r="H49" s="4" t="s">
        <v>336</v>
      </c>
      <c r="I49" s="4"/>
      <c r="J49" s="4"/>
      <c r="K49" s="4">
        <v>212</v>
      </c>
      <c r="L49" s="4">
        <v>30</v>
      </c>
      <c r="M49" s="4">
        <v>0</v>
      </c>
      <c r="N49" s="4" t="s">
        <v>3</v>
      </c>
      <c r="O49" s="4">
        <v>2</v>
      </c>
      <c r="P49" s="4"/>
    </row>
    <row r="51" spans="1:16">
      <c r="A51">
        <v>-1</v>
      </c>
    </row>
    <row r="54" spans="1:16">
      <c r="A54" s="3">
        <v>75</v>
      </c>
      <c r="B54" s="3" t="s">
        <v>337</v>
      </c>
      <c r="C54" s="3">
        <v>2020</v>
      </c>
      <c r="D54" s="3">
        <v>0</v>
      </c>
      <c r="E54" s="3">
        <v>10</v>
      </c>
      <c r="F54" s="3">
        <v>0</v>
      </c>
      <c r="G54" s="3">
        <v>0</v>
      </c>
      <c r="H54" s="3">
        <v>1</v>
      </c>
      <c r="I54" s="3">
        <v>0</v>
      </c>
      <c r="J54" s="3">
        <v>1</v>
      </c>
      <c r="K54" s="3">
        <v>78</v>
      </c>
      <c r="L54" s="3">
        <v>30</v>
      </c>
      <c r="M54" s="3">
        <v>0</v>
      </c>
      <c r="N54" s="3">
        <v>42225948</v>
      </c>
      <c r="O54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C205"/>
  <sheetViews>
    <sheetView workbookViewId="0"/>
  </sheetViews>
  <sheetFormatPr defaultColWidth="9.140625" defaultRowHeight="12.75"/>
  <cols>
    <col min="1" max="256" width="9.140625" customWidth="1"/>
  </cols>
  <sheetData>
    <row r="1" spans="1:107">
      <c r="A1">
        <f>ROW(Source!A28)</f>
        <v>28</v>
      </c>
      <c r="B1">
        <v>42225948</v>
      </c>
      <c r="C1">
        <v>42224968</v>
      </c>
      <c r="D1">
        <v>38786840</v>
      </c>
      <c r="E1">
        <v>27</v>
      </c>
      <c r="F1">
        <v>1</v>
      </c>
      <c r="G1">
        <v>27</v>
      </c>
      <c r="H1">
        <v>1</v>
      </c>
      <c r="I1" t="s">
        <v>339</v>
      </c>
      <c r="J1" t="s">
        <v>3</v>
      </c>
      <c r="K1" t="s">
        <v>340</v>
      </c>
      <c r="L1">
        <v>1191</v>
      </c>
      <c r="N1">
        <v>1013</v>
      </c>
      <c r="O1" t="s">
        <v>341</v>
      </c>
      <c r="P1" t="s">
        <v>341</v>
      </c>
      <c r="Q1">
        <v>1</v>
      </c>
      <c r="W1">
        <v>0</v>
      </c>
      <c r="X1">
        <v>476480486</v>
      </c>
      <c r="Y1">
        <v>41.38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41.38</v>
      </c>
      <c r="AU1" t="s">
        <v>3</v>
      </c>
      <c r="AV1">
        <v>1</v>
      </c>
      <c r="AW1">
        <v>2</v>
      </c>
      <c r="AX1">
        <v>42224971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23.276250000000001</v>
      </c>
      <c r="CY1">
        <f>AD1</f>
        <v>0</v>
      </c>
      <c r="CZ1">
        <f>AH1</f>
        <v>0</v>
      </c>
      <c r="DA1">
        <f>AL1</f>
        <v>1</v>
      </c>
      <c r="DB1">
        <f t="shared" ref="DB1:DB8" si="0">ROUND(ROUND(AT1*CZ1,2),6)</f>
        <v>0</v>
      </c>
      <c r="DC1">
        <f t="shared" ref="DC1:DC8" si="1">ROUND(ROUND(AT1*AG1,2),6)</f>
        <v>0</v>
      </c>
    </row>
    <row r="2" spans="1:107">
      <c r="A2">
        <f>ROW(Source!A28)</f>
        <v>28</v>
      </c>
      <c r="B2">
        <v>42225948</v>
      </c>
      <c r="C2">
        <v>42224968</v>
      </c>
      <c r="D2">
        <v>38799022</v>
      </c>
      <c r="E2">
        <v>1</v>
      </c>
      <c r="F2">
        <v>1</v>
      </c>
      <c r="G2">
        <v>27</v>
      </c>
      <c r="H2">
        <v>2</v>
      </c>
      <c r="I2" t="s">
        <v>342</v>
      </c>
      <c r="J2" t="s">
        <v>343</v>
      </c>
      <c r="K2" t="s">
        <v>344</v>
      </c>
      <c r="L2">
        <v>1368</v>
      </c>
      <c r="N2">
        <v>1011</v>
      </c>
      <c r="O2" t="s">
        <v>345</v>
      </c>
      <c r="P2" t="s">
        <v>345</v>
      </c>
      <c r="Q2">
        <v>1</v>
      </c>
      <c r="W2">
        <v>0</v>
      </c>
      <c r="X2">
        <v>1879655707</v>
      </c>
      <c r="Y2">
        <v>1.84</v>
      </c>
      <c r="AA2">
        <v>0</v>
      </c>
      <c r="AB2">
        <v>812.16</v>
      </c>
      <c r="AC2">
        <v>448.48</v>
      </c>
      <c r="AD2">
        <v>0</v>
      </c>
      <c r="AE2">
        <v>0</v>
      </c>
      <c r="AF2">
        <v>812.16</v>
      </c>
      <c r="AG2">
        <v>448.48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1.84</v>
      </c>
      <c r="AU2" t="s">
        <v>3</v>
      </c>
      <c r="AV2">
        <v>0</v>
      </c>
      <c r="AW2">
        <v>2</v>
      </c>
      <c r="AX2">
        <v>42224972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Y2*Source!I28</f>
        <v>1.0350000000000001</v>
      </c>
      <c r="CY2">
        <f>AB2</f>
        <v>812.16</v>
      </c>
      <c r="CZ2">
        <f>AF2</f>
        <v>812.16</v>
      </c>
      <c r="DA2">
        <f>AJ2</f>
        <v>1</v>
      </c>
      <c r="DB2">
        <f t="shared" si="0"/>
        <v>1494.37</v>
      </c>
      <c r="DC2">
        <f t="shared" si="1"/>
        <v>825.2</v>
      </c>
    </row>
    <row r="3" spans="1:107">
      <c r="A3">
        <f>ROW(Source!A29)</f>
        <v>29</v>
      </c>
      <c r="B3">
        <v>42225948</v>
      </c>
      <c r="C3">
        <v>42224973</v>
      </c>
      <c r="D3">
        <v>38786840</v>
      </c>
      <c r="E3">
        <v>27</v>
      </c>
      <c r="F3">
        <v>1</v>
      </c>
      <c r="G3">
        <v>27</v>
      </c>
      <c r="H3">
        <v>1</v>
      </c>
      <c r="I3" t="s">
        <v>339</v>
      </c>
      <c r="J3" t="s">
        <v>3</v>
      </c>
      <c r="K3" t="s">
        <v>340</v>
      </c>
      <c r="L3">
        <v>1191</v>
      </c>
      <c r="N3">
        <v>1013</v>
      </c>
      <c r="O3" t="s">
        <v>341</v>
      </c>
      <c r="P3" t="s">
        <v>341</v>
      </c>
      <c r="Q3">
        <v>1</v>
      </c>
      <c r="W3">
        <v>0</v>
      </c>
      <c r="X3">
        <v>476480486</v>
      </c>
      <c r="Y3">
        <v>8.27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8.27</v>
      </c>
      <c r="AU3" t="s">
        <v>3</v>
      </c>
      <c r="AV3">
        <v>1</v>
      </c>
      <c r="AW3">
        <v>2</v>
      </c>
      <c r="AX3">
        <v>42224976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Y3*Source!I29</f>
        <v>-4.6518749999999995</v>
      </c>
      <c r="CY3">
        <f>AD3</f>
        <v>0</v>
      </c>
      <c r="CZ3">
        <f>AH3</f>
        <v>0</v>
      </c>
      <c r="DA3">
        <f>AL3</f>
        <v>1</v>
      </c>
      <c r="DB3">
        <f t="shared" si="0"/>
        <v>0</v>
      </c>
      <c r="DC3">
        <f t="shared" si="1"/>
        <v>0</v>
      </c>
    </row>
    <row r="4" spans="1:107">
      <c r="A4">
        <f>ROW(Source!A29)</f>
        <v>29</v>
      </c>
      <c r="B4">
        <v>42225948</v>
      </c>
      <c r="C4">
        <v>42224973</v>
      </c>
      <c r="D4">
        <v>38799022</v>
      </c>
      <c r="E4">
        <v>1</v>
      </c>
      <c r="F4">
        <v>1</v>
      </c>
      <c r="G4">
        <v>27</v>
      </c>
      <c r="H4">
        <v>2</v>
      </c>
      <c r="I4" t="s">
        <v>342</v>
      </c>
      <c r="J4" t="s">
        <v>343</v>
      </c>
      <c r="K4" t="s">
        <v>344</v>
      </c>
      <c r="L4">
        <v>1368</v>
      </c>
      <c r="N4">
        <v>1011</v>
      </c>
      <c r="O4" t="s">
        <v>345</v>
      </c>
      <c r="P4" t="s">
        <v>345</v>
      </c>
      <c r="Q4">
        <v>1</v>
      </c>
      <c r="W4">
        <v>0</v>
      </c>
      <c r="X4">
        <v>1879655707</v>
      </c>
      <c r="Y4">
        <v>0.46</v>
      </c>
      <c r="AA4">
        <v>0</v>
      </c>
      <c r="AB4">
        <v>812.16</v>
      </c>
      <c r="AC4">
        <v>448.48</v>
      </c>
      <c r="AD4">
        <v>0</v>
      </c>
      <c r="AE4">
        <v>0</v>
      </c>
      <c r="AF4">
        <v>812.16</v>
      </c>
      <c r="AG4">
        <v>448.48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0.46</v>
      </c>
      <c r="AU4" t="s">
        <v>3</v>
      </c>
      <c r="AV4">
        <v>0</v>
      </c>
      <c r="AW4">
        <v>2</v>
      </c>
      <c r="AX4">
        <v>42224977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Y4*Source!I29</f>
        <v>-0.25875000000000004</v>
      </c>
      <c r="CY4">
        <f>AB4</f>
        <v>812.16</v>
      </c>
      <c r="CZ4">
        <f>AF4</f>
        <v>812.16</v>
      </c>
      <c r="DA4">
        <f>AJ4</f>
        <v>1</v>
      </c>
      <c r="DB4">
        <f t="shared" si="0"/>
        <v>373.59</v>
      </c>
      <c r="DC4">
        <f t="shared" si="1"/>
        <v>206.3</v>
      </c>
    </row>
    <row r="5" spans="1:107">
      <c r="A5">
        <f>ROW(Source!A30)</f>
        <v>30</v>
      </c>
      <c r="B5">
        <v>42225948</v>
      </c>
      <c r="C5">
        <v>42224978</v>
      </c>
      <c r="D5">
        <v>38786840</v>
      </c>
      <c r="E5">
        <v>27</v>
      </c>
      <c r="F5">
        <v>1</v>
      </c>
      <c r="G5">
        <v>27</v>
      </c>
      <c r="H5">
        <v>1</v>
      </c>
      <c r="I5" t="s">
        <v>339</v>
      </c>
      <c r="J5" t="s">
        <v>3</v>
      </c>
      <c r="K5" t="s">
        <v>340</v>
      </c>
      <c r="L5">
        <v>1191</v>
      </c>
      <c r="N5">
        <v>1013</v>
      </c>
      <c r="O5" t="s">
        <v>341</v>
      </c>
      <c r="P5" t="s">
        <v>341</v>
      </c>
      <c r="Q5">
        <v>1</v>
      </c>
      <c r="W5">
        <v>0</v>
      </c>
      <c r="X5">
        <v>476480486</v>
      </c>
      <c r="Y5">
        <v>85.94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85.94</v>
      </c>
      <c r="AU5" t="s">
        <v>3</v>
      </c>
      <c r="AV5">
        <v>1</v>
      </c>
      <c r="AW5">
        <v>2</v>
      </c>
      <c r="AX5">
        <v>42224980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Y5*Source!I30</f>
        <v>16.11375</v>
      </c>
      <c r="CY5">
        <f>AD5</f>
        <v>0</v>
      </c>
      <c r="CZ5">
        <f>AH5</f>
        <v>0</v>
      </c>
      <c r="DA5">
        <f>AL5</f>
        <v>1</v>
      </c>
      <c r="DB5">
        <f t="shared" si="0"/>
        <v>0</v>
      </c>
      <c r="DC5">
        <f t="shared" si="1"/>
        <v>0</v>
      </c>
    </row>
    <row r="6" spans="1:107">
      <c r="A6">
        <f>ROW(Source!A31)</f>
        <v>31</v>
      </c>
      <c r="B6">
        <v>42225948</v>
      </c>
      <c r="C6">
        <v>42224981</v>
      </c>
      <c r="D6">
        <v>38786840</v>
      </c>
      <c r="E6">
        <v>27</v>
      </c>
      <c r="F6">
        <v>1</v>
      </c>
      <c r="G6">
        <v>27</v>
      </c>
      <c r="H6">
        <v>1</v>
      </c>
      <c r="I6" t="s">
        <v>339</v>
      </c>
      <c r="J6" t="s">
        <v>3</v>
      </c>
      <c r="K6" t="s">
        <v>340</v>
      </c>
      <c r="L6">
        <v>1191</v>
      </c>
      <c r="N6">
        <v>1013</v>
      </c>
      <c r="O6" t="s">
        <v>341</v>
      </c>
      <c r="P6" t="s">
        <v>341</v>
      </c>
      <c r="Q6">
        <v>1</v>
      </c>
      <c r="W6">
        <v>0</v>
      </c>
      <c r="X6">
        <v>476480486</v>
      </c>
      <c r="Y6">
        <v>21.48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21.48</v>
      </c>
      <c r="AU6" t="s">
        <v>3</v>
      </c>
      <c r="AV6">
        <v>1</v>
      </c>
      <c r="AW6">
        <v>2</v>
      </c>
      <c r="AX6">
        <v>42224983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Y6*Source!I31</f>
        <v>-4.0274999999999999</v>
      </c>
      <c r="CY6">
        <f>AD6</f>
        <v>0</v>
      </c>
      <c r="CZ6">
        <f>AH6</f>
        <v>0</v>
      </c>
      <c r="DA6">
        <f>AL6</f>
        <v>1</v>
      </c>
      <c r="DB6">
        <f t="shared" si="0"/>
        <v>0</v>
      </c>
      <c r="DC6">
        <f t="shared" si="1"/>
        <v>0</v>
      </c>
    </row>
    <row r="7" spans="1:107">
      <c r="A7">
        <f>ROW(Source!A32)</f>
        <v>32</v>
      </c>
      <c r="B7">
        <v>42225948</v>
      </c>
      <c r="C7">
        <v>42224984</v>
      </c>
      <c r="D7">
        <v>38786840</v>
      </c>
      <c r="E7">
        <v>27</v>
      </c>
      <c r="F7">
        <v>1</v>
      </c>
      <c r="G7">
        <v>27</v>
      </c>
      <c r="H7">
        <v>1</v>
      </c>
      <c r="I7" t="s">
        <v>339</v>
      </c>
      <c r="J7" t="s">
        <v>3</v>
      </c>
      <c r="K7" t="s">
        <v>340</v>
      </c>
      <c r="L7">
        <v>1191</v>
      </c>
      <c r="N7">
        <v>1013</v>
      </c>
      <c r="O7" t="s">
        <v>341</v>
      </c>
      <c r="P7" t="s">
        <v>341</v>
      </c>
      <c r="Q7">
        <v>1</v>
      </c>
      <c r="W7">
        <v>0</v>
      </c>
      <c r="X7">
        <v>476480486</v>
      </c>
      <c r="Y7">
        <v>53.7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53.7</v>
      </c>
      <c r="AU7" t="s">
        <v>3</v>
      </c>
      <c r="AV7">
        <v>1</v>
      </c>
      <c r="AW7">
        <v>2</v>
      </c>
      <c r="AX7">
        <v>42224987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Y7*Source!I32</f>
        <v>40.275000000000006</v>
      </c>
      <c r="CY7">
        <f>AD7</f>
        <v>0</v>
      </c>
      <c r="CZ7">
        <f>AH7</f>
        <v>0</v>
      </c>
      <c r="DA7">
        <f>AL7</f>
        <v>1</v>
      </c>
      <c r="DB7">
        <f t="shared" si="0"/>
        <v>0</v>
      </c>
      <c r="DC7">
        <f t="shared" si="1"/>
        <v>0</v>
      </c>
    </row>
    <row r="8" spans="1:107">
      <c r="A8">
        <f>ROW(Source!A32)</f>
        <v>32</v>
      </c>
      <c r="B8">
        <v>42225948</v>
      </c>
      <c r="C8">
        <v>42224984</v>
      </c>
      <c r="D8">
        <v>38803640</v>
      </c>
      <c r="E8">
        <v>1</v>
      </c>
      <c r="F8">
        <v>1</v>
      </c>
      <c r="G8">
        <v>27</v>
      </c>
      <c r="H8">
        <v>3</v>
      </c>
      <c r="I8" t="s">
        <v>346</v>
      </c>
      <c r="J8" t="s">
        <v>347</v>
      </c>
      <c r="K8" t="s">
        <v>348</v>
      </c>
      <c r="L8">
        <v>1339</v>
      </c>
      <c r="N8">
        <v>1007</v>
      </c>
      <c r="O8" t="s">
        <v>349</v>
      </c>
      <c r="P8" t="s">
        <v>349</v>
      </c>
      <c r="Q8">
        <v>1</v>
      </c>
      <c r="W8">
        <v>0</v>
      </c>
      <c r="X8">
        <v>-1277312656</v>
      </c>
      <c r="Y8">
        <v>20</v>
      </c>
      <c r="AA8">
        <v>753.67</v>
      </c>
      <c r="AB8">
        <v>0</v>
      </c>
      <c r="AC8">
        <v>0</v>
      </c>
      <c r="AD8">
        <v>0</v>
      </c>
      <c r="AE8">
        <v>753.67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20</v>
      </c>
      <c r="AU8" t="s">
        <v>3</v>
      </c>
      <c r="AV8">
        <v>0</v>
      </c>
      <c r="AW8">
        <v>2</v>
      </c>
      <c r="AX8">
        <v>42224988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Y8*Source!I32</f>
        <v>15</v>
      </c>
      <c r="CY8">
        <f>AA8</f>
        <v>753.67</v>
      </c>
      <c r="CZ8">
        <f>AE8</f>
        <v>753.67</v>
      </c>
      <c r="DA8">
        <f>AI8</f>
        <v>1</v>
      </c>
      <c r="DB8">
        <f t="shared" si="0"/>
        <v>15073.4</v>
      </c>
      <c r="DC8">
        <f t="shared" si="1"/>
        <v>0</v>
      </c>
    </row>
    <row r="9" spans="1:107">
      <c r="A9">
        <f>ROW(Source!A33)</f>
        <v>33</v>
      </c>
      <c r="B9">
        <v>42225948</v>
      </c>
      <c r="C9">
        <v>42224989</v>
      </c>
      <c r="D9">
        <v>38786840</v>
      </c>
      <c r="E9">
        <v>27</v>
      </c>
      <c r="F9">
        <v>1</v>
      </c>
      <c r="G9">
        <v>27</v>
      </c>
      <c r="H9">
        <v>1</v>
      </c>
      <c r="I9" t="s">
        <v>339</v>
      </c>
      <c r="J9" t="s">
        <v>3</v>
      </c>
      <c r="K9" t="s">
        <v>340</v>
      </c>
      <c r="L9">
        <v>1191</v>
      </c>
      <c r="N9">
        <v>1013</v>
      </c>
      <c r="O9" t="s">
        <v>341</v>
      </c>
      <c r="P9" t="s">
        <v>341</v>
      </c>
      <c r="Q9">
        <v>1</v>
      </c>
      <c r="W9">
        <v>0</v>
      </c>
      <c r="X9">
        <v>476480486</v>
      </c>
      <c r="Y9">
        <v>12.46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1</v>
      </c>
      <c r="AQ9">
        <v>0</v>
      </c>
      <c r="AR9">
        <v>0</v>
      </c>
      <c r="AS9" t="s">
        <v>3</v>
      </c>
      <c r="AT9">
        <v>6.23</v>
      </c>
      <c r="AU9" t="s">
        <v>43</v>
      </c>
      <c r="AV9">
        <v>1</v>
      </c>
      <c r="AW9">
        <v>2</v>
      </c>
      <c r="AX9">
        <v>42224992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Y9*Source!I33</f>
        <v>9.3450000000000006</v>
      </c>
      <c r="CY9">
        <f>AD9</f>
        <v>0</v>
      </c>
      <c r="CZ9">
        <f>AH9</f>
        <v>0</v>
      </c>
      <c r="DA9">
        <f>AL9</f>
        <v>1</v>
      </c>
      <c r="DB9">
        <f>ROUND((ROUND(AT9*CZ9,2)*2),6)</f>
        <v>0</v>
      </c>
      <c r="DC9">
        <f>ROUND((ROUND(AT9*AG9,2)*2),6)</f>
        <v>0</v>
      </c>
    </row>
    <row r="10" spans="1:107">
      <c r="A10">
        <f>ROW(Source!A33)</f>
        <v>33</v>
      </c>
      <c r="B10">
        <v>42225948</v>
      </c>
      <c r="C10">
        <v>42224989</v>
      </c>
      <c r="D10">
        <v>38803640</v>
      </c>
      <c r="E10">
        <v>1</v>
      </c>
      <c r="F10">
        <v>1</v>
      </c>
      <c r="G10">
        <v>27</v>
      </c>
      <c r="H10">
        <v>3</v>
      </c>
      <c r="I10" t="s">
        <v>346</v>
      </c>
      <c r="J10" t="s">
        <v>347</v>
      </c>
      <c r="K10" t="s">
        <v>348</v>
      </c>
      <c r="L10">
        <v>1339</v>
      </c>
      <c r="N10">
        <v>1007</v>
      </c>
      <c r="O10" t="s">
        <v>349</v>
      </c>
      <c r="P10" t="s">
        <v>349</v>
      </c>
      <c r="Q10">
        <v>1</v>
      </c>
      <c r="W10">
        <v>0</v>
      </c>
      <c r="X10">
        <v>-1277312656</v>
      </c>
      <c r="Y10">
        <v>10</v>
      </c>
      <c r="AA10">
        <v>753.67</v>
      </c>
      <c r="AB10">
        <v>0</v>
      </c>
      <c r="AC10">
        <v>0</v>
      </c>
      <c r="AD10">
        <v>0</v>
      </c>
      <c r="AE10">
        <v>753.67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 t="s">
        <v>3</v>
      </c>
      <c r="AT10">
        <v>5</v>
      </c>
      <c r="AU10" t="s">
        <v>43</v>
      </c>
      <c r="AV10">
        <v>0</v>
      </c>
      <c r="AW10">
        <v>2</v>
      </c>
      <c r="AX10">
        <v>42224993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Y10*Source!I33</f>
        <v>7.5</v>
      </c>
      <c r="CY10">
        <f>AA10</f>
        <v>753.67</v>
      </c>
      <c r="CZ10">
        <f>AE10</f>
        <v>753.67</v>
      </c>
      <c r="DA10">
        <f>AI10</f>
        <v>1</v>
      </c>
      <c r="DB10">
        <f>ROUND((ROUND(AT10*CZ10,2)*2),6)</f>
        <v>7536.7</v>
      </c>
      <c r="DC10">
        <f>ROUND((ROUND(AT10*AG10,2)*2),6)</f>
        <v>0</v>
      </c>
    </row>
    <row r="11" spans="1:107">
      <c r="A11">
        <f>ROW(Source!A34)</f>
        <v>34</v>
      </c>
      <c r="B11">
        <v>42225948</v>
      </c>
      <c r="C11">
        <v>42224994</v>
      </c>
      <c r="D11">
        <v>38786840</v>
      </c>
      <c r="E11">
        <v>27</v>
      </c>
      <c r="F11">
        <v>1</v>
      </c>
      <c r="G11">
        <v>27</v>
      </c>
      <c r="H11">
        <v>1</v>
      </c>
      <c r="I11" t="s">
        <v>339</v>
      </c>
      <c r="J11" t="s">
        <v>3</v>
      </c>
      <c r="K11" t="s">
        <v>340</v>
      </c>
      <c r="L11">
        <v>1191</v>
      </c>
      <c r="N11">
        <v>1013</v>
      </c>
      <c r="O11" t="s">
        <v>341</v>
      </c>
      <c r="P11" t="s">
        <v>341</v>
      </c>
      <c r="Q11">
        <v>1</v>
      </c>
      <c r="W11">
        <v>0</v>
      </c>
      <c r="X11">
        <v>476480486</v>
      </c>
      <c r="Y11">
        <v>155.26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155.26</v>
      </c>
      <c r="AU11" t="s">
        <v>3</v>
      </c>
      <c r="AV11">
        <v>1</v>
      </c>
      <c r="AW11">
        <v>2</v>
      </c>
      <c r="AX11">
        <v>42225003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Y11*Source!I34</f>
        <v>116.44499999999999</v>
      </c>
      <c r="CY11">
        <f>AD11</f>
        <v>0</v>
      </c>
      <c r="CZ11">
        <f>AH11</f>
        <v>0</v>
      </c>
      <c r="DA11">
        <f>AL11</f>
        <v>1</v>
      </c>
      <c r="DB11">
        <f t="shared" ref="DB11:DB18" si="2">ROUND(ROUND(AT11*CZ11,2),6)</f>
        <v>0</v>
      </c>
      <c r="DC11">
        <f t="shared" ref="DC11:DC18" si="3">ROUND(ROUND(AT11*AG11,2),6)</f>
        <v>0</v>
      </c>
    </row>
    <row r="12" spans="1:107">
      <c r="A12">
        <f>ROW(Source!A34)</f>
        <v>34</v>
      </c>
      <c r="B12">
        <v>42225948</v>
      </c>
      <c r="C12">
        <v>42224994</v>
      </c>
      <c r="D12">
        <v>38801771</v>
      </c>
      <c r="E12">
        <v>1</v>
      </c>
      <c r="F12">
        <v>1</v>
      </c>
      <c r="G12">
        <v>27</v>
      </c>
      <c r="H12">
        <v>3</v>
      </c>
      <c r="I12" t="s">
        <v>350</v>
      </c>
      <c r="J12" t="s">
        <v>351</v>
      </c>
      <c r="K12" t="s">
        <v>352</v>
      </c>
      <c r="L12">
        <v>1346</v>
      </c>
      <c r="N12">
        <v>1009</v>
      </c>
      <c r="O12" t="s">
        <v>353</v>
      </c>
      <c r="P12" t="s">
        <v>353</v>
      </c>
      <c r="Q12">
        <v>1</v>
      </c>
      <c r="W12">
        <v>0</v>
      </c>
      <c r="X12">
        <v>-2033961190</v>
      </c>
      <c r="Y12">
        <v>0.8</v>
      </c>
      <c r="AA12">
        <v>171.21</v>
      </c>
      <c r="AB12">
        <v>0</v>
      </c>
      <c r="AC12">
        <v>0</v>
      </c>
      <c r="AD12">
        <v>0</v>
      </c>
      <c r="AE12">
        <v>171.21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0.8</v>
      </c>
      <c r="AU12" t="s">
        <v>3</v>
      </c>
      <c r="AV12">
        <v>0</v>
      </c>
      <c r="AW12">
        <v>2</v>
      </c>
      <c r="AX12">
        <v>42225004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Y12*Source!I34</f>
        <v>0.60000000000000009</v>
      </c>
      <c r="CY12">
        <f t="shared" ref="CY12:CY18" si="4">AA12</f>
        <v>171.21</v>
      </c>
      <c r="CZ12">
        <f t="shared" ref="CZ12:CZ18" si="5">AE12</f>
        <v>171.21</v>
      </c>
      <c r="DA12">
        <f t="shared" ref="DA12:DA18" si="6">AI12</f>
        <v>1</v>
      </c>
      <c r="DB12">
        <f t="shared" si="2"/>
        <v>136.97</v>
      </c>
      <c r="DC12">
        <f t="shared" si="3"/>
        <v>0</v>
      </c>
    </row>
    <row r="13" spans="1:107">
      <c r="A13">
        <f>ROW(Source!A34)</f>
        <v>34</v>
      </c>
      <c r="B13">
        <v>42225948</v>
      </c>
      <c r="C13">
        <v>42224994</v>
      </c>
      <c r="D13">
        <v>38801911</v>
      </c>
      <c r="E13">
        <v>1</v>
      </c>
      <c r="F13">
        <v>1</v>
      </c>
      <c r="G13">
        <v>27</v>
      </c>
      <c r="H13">
        <v>3</v>
      </c>
      <c r="I13" t="s">
        <v>354</v>
      </c>
      <c r="J13" t="s">
        <v>355</v>
      </c>
      <c r="K13" t="s">
        <v>356</v>
      </c>
      <c r="L13">
        <v>1339</v>
      </c>
      <c r="N13">
        <v>1007</v>
      </c>
      <c r="O13" t="s">
        <v>349</v>
      </c>
      <c r="P13" t="s">
        <v>349</v>
      </c>
      <c r="Q13">
        <v>1</v>
      </c>
      <c r="W13">
        <v>0</v>
      </c>
      <c r="X13">
        <v>1927597627</v>
      </c>
      <c r="Y13">
        <v>30</v>
      </c>
      <c r="AA13">
        <v>35.25</v>
      </c>
      <c r="AB13">
        <v>0</v>
      </c>
      <c r="AC13">
        <v>0</v>
      </c>
      <c r="AD13">
        <v>0</v>
      </c>
      <c r="AE13">
        <v>35.25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30</v>
      </c>
      <c r="AU13" t="s">
        <v>3</v>
      </c>
      <c r="AV13">
        <v>0</v>
      </c>
      <c r="AW13">
        <v>2</v>
      </c>
      <c r="AX13">
        <v>42225005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Y13*Source!I34</f>
        <v>22.5</v>
      </c>
      <c r="CY13">
        <f t="shared" si="4"/>
        <v>35.25</v>
      </c>
      <c r="CZ13">
        <f t="shared" si="5"/>
        <v>35.25</v>
      </c>
      <c r="DA13">
        <f t="shared" si="6"/>
        <v>1</v>
      </c>
      <c r="DB13">
        <f t="shared" si="2"/>
        <v>1057.5</v>
      </c>
      <c r="DC13">
        <f t="shared" si="3"/>
        <v>0</v>
      </c>
    </row>
    <row r="14" spans="1:107">
      <c r="A14">
        <f>ROW(Source!A34)</f>
        <v>34</v>
      </c>
      <c r="B14">
        <v>42225948</v>
      </c>
      <c r="C14">
        <v>42224994</v>
      </c>
      <c r="D14">
        <v>38800613</v>
      </c>
      <c r="E14">
        <v>1</v>
      </c>
      <c r="F14">
        <v>1</v>
      </c>
      <c r="G14">
        <v>27</v>
      </c>
      <c r="H14">
        <v>3</v>
      </c>
      <c r="I14" t="s">
        <v>357</v>
      </c>
      <c r="J14" t="s">
        <v>358</v>
      </c>
      <c r="K14" t="s">
        <v>359</v>
      </c>
      <c r="L14">
        <v>1339</v>
      </c>
      <c r="N14">
        <v>1007</v>
      </c>
      <c r="O14" t="s">
        <v>349</v>
      </c>
      <c r="P14" t="s">
        <v>349</v>
      </c>
      <c r="Q14">
        <v>1</v>
      </c>
      <c r="W14">
        <v>0</v>
      </c>
      <c r="X14">
        <v>538447250</v>
      </c>
      <c r="Y14">
        <v>8.0000000000000002E-3</v>
      </c>
      <c r="AA14">
        <v>7098.7</v>
      </c>
      <c r="AB14">
        <v>0</v>
      </c>
      <c r="AC14">
        <v>0</v>
      </c>
      <c r="AD14">
        <v>0</v>
      </c>
      <c r="AE14">
        <v>7098.7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8.0000000000000002E-3</v>
      </c>
      <c r="AU14" t="s">
        <v>3</v>
      </c>
      <c r="AV14">
        <v>0</v>
      </c>
      <c r="AW14">
        <v>2</v>
      </c>
      <c r="AX14">
        <v>42225006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Y14*Source!I34</f>
        <v>6.0000000000000001E-3</v>
      </c>
      <c r="CY14">
        <f t="shared" si="4"/>
        <v>7098.7</v>
      </c>
      <c r="CZ14">
        <f t="shared" si="5"/>
        <v>7098.7</v>
      </c>
      <c r="DA14">
        <f t="shared" si="6"/>
        <v>1</v>
      </c>
      <c r="DB14">
        <f t="shared" si="2"/>
        <v>56.79</v>
      </c>
      <c r="DC14">
        <f t="shared" si="3"/>
        <v>0</v>
      </c>
    </row>
    <row r="15" spans="1:107">
      <c r="A15">
        <f>ROW(Source!A34)</f>
        <v>34</v>
      </c>
      <c r="B15">
        <v>42225948</v>
      </c>
      <c r="C15">
        <v>42224994</v>
      </c>
      <c r="D15">
        <v>38803465</v>
      </c>
      <c r="E15">
        <v>1</v>
      </c>
      <c r="F15">
        <v>1</v>
      </c>
      <c r="G15">
        <v>27</v>
      </c>
      <c r="H15">
        <v>3</v>
      </c>
      <c r="I15" t="s">
        <v>53</v>
      </c>
      <c r="J15" t="s">
        <v>55</v>
      </c>
      <c r="K15" t="s">
        <v>54</v>
      </c>
      <c r="L15">
        <v>1354</v>
      </c>
      <c r="N15">
        <v>1010</v>
      </c>
      <c r="O15" t="s">
        <v>51</v>
      </c>
      <c r="P15" t="s">
        <v>51</v>
      </c>
      <c r="Q15">
        <v>1</v>
      </c>
      <c r="W15">
        <v>0</v>
      </c>
      <c r="X15">
        <v>-849394457</v>
      </c>
      <c r="Y15">
        <v>420</v>
      </c>
      <c r="AA15">
        <v>189</v>
      </c>
      <c r="AB15">
        <v>0</v>
      </c>
      <c r="AC15">
        <v>0</v>
      </c>
      <c r="AD15">
        <v>0</v>
      </c>
      <c r="AE15">
        <v>189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3</v>
      </c>
      <c r="AT15">
        <v>420</v>
      </c>
      <c r="AU15" t="s">
        <v>3</v>
      </c>
      <c r="AV15">
        <v>0</v>
      </c>
      <c r="AW15">
        <v>1</v>
      </c>
      <c r="AX15">
        <v>-1</v>
      </c>
      <c r="AY15">
        <v>0</v>
      </c>
      <c r="AZ15">
        <v>0</v>
      </c>
      <c r="BA15" t="s">
        <v>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Y15*Source!I34</f>
        <v>315</v>
      </c>
      <c r="CY15">
        <f t="shared" si="4"/>
        <v>189</v>
      </c>
      <c r="CZ15">
        <f t="shared" si="5"/>
        <v>189</v>
      </c>
      <c r="DA15">
        <f t="shared" si="6"/>
        <v>1</v>
      </c>
      <c r="DB15">
        <f t="shared" si="2"/>
        <v>79380</v>
      </c>
      <c r="DC15">
        <f t="shared" si="3"/>
        <v>0</v>
      </c>
    </row>
    <row r="16" spans="1:107">
      <c r="A16">
        <f>ROW(Source!A34)</f>
        <v>34</v>
      </c>
      <c r="B16">
        <v>42225948</v>
      </c>
      <c r="C16">
        <v>42224994</v>
      </c>
      <c r="D16">
        <v>38803642</v>
      </c>
      <c r="E16">
        <v>1</v>
      </c>
      <c r="F16">
        <v>1</v>
      </c>
      <c r="G16">
        <v>27</v>
      </c>
      <c r="H16">
        <v>3</v>
      </c>
      <c r="I16" t="s">
        <v>360</v>
      </c>
      <c r="J16" t="s">
        <v>361</v>
      </c>
      <c r="K16" t="s">
        <v>362</v>
      </c>
      <c r="L16">
        <v>1339</v>
      </c>
      <c r="N16">
        <v>1007</v>
      </c>
      <c r="O16" t="s">
        <v>349</v>
      </c>
      <c r="P16" t="s">
        <v>349</v>
      </c>
      <c r="Q16">
        <v>1</v>
      </c>
      <c r="W16">
        <v>0</v>
      </c>
      <c r="X16">
        <v>1865477211</v>
      </c>
      <c r="Y16">
        <v>2</v>
      </c>
      <c r="AA16">
        <v>1105</v>
      </c>
      <c r="AB16">
        <v>0</v>
      </c>
      <c r="AC16">
        <v>0</v>
      </c>
      <c r="AD16">
        <v>0</v>
      </c>
      <c r="AE16">
        <v>1105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2</v>
      </c>
      <c r="AU16" t="s">
        <v>3</v>
      </c>
      <c r="AV16">
        <v>0</v>
      </c>
      <c r="AW16">
        <v>2</v>
      </c>
      <c r="AX16">
        <v>42225007</v>
      </c>
      <c r="AY16">
        <v>1</v>
      </c>
      <c r="AZ16">
        <v>0</v>
      </c>
      <c r="BA16">
        <v>15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Y16*Source!I34</f>
        <v>1.5</v>
      </c>
      <c r="CY16">
        <f t="shared" si="4"/>
        <v>1105</v>
      </c>
      <c r="CZ16">
        <f t="shared" si="5"/>
        <v>1105</v>
      </c>
      <c r="DA16">
        <f t="shared" si="6"/>
        <v>1</v>
      </c>
      <c r="DB16">
        <f t="shared" si="2"/>
        <v>2210</v>
      </c>
      <c r="DC16">
        <f t="shared" si="3"/>
        <v>0</v>
      </c>
    </row>
    <row r="17" spans="1:107">
      <c r="A17">
        <f>ROW(Source!A34)</f>
        <v>34</v>
      </c>
      <c r="B17">
        <v>42225948</v>
      </c>
      <c r="C17">
        <v>42224994</v>
      </c>
      <c r="D17">
        <v>38786925</v>
      </c>
      <c r="E17">
        <v>27</v>
      </c>
      <c r="F17">
        <v>1</v>
      </c>
      <c r="G17">
        <v>27</v>
      </c>
      <c r="H17">
        <v>3</v>
      </c>
      <c r="I17" t="s">
        <v>49</v>
      </c>
      <c r="J17" t="s">
        <v>3</v>
      </c>
      <c r="K17" t="s">
        <v>50</v>
      </c>
      <c r="L17">
        <v>1354</v>
      </c>
      <c r="N17">
        <v>1010</v>
      </c>
      <c r="O17" t="s">
        <v>51</v>
      </c>
      <c r="P17" t="s">
        <v>51</v>
      </c>
      <c r="Q17">
        <v>1</v>
      </c>
      <c r="W17">
        <v>0</v>
      </c>
      <c r="X17">
        <v>-2077348890</v>
      </c>
      <c r="Y17">
        <v>1680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 t="s">
        <v>3</v>
      </c>
      <c r="AT17">
        <v>1680</v>
      </c>
      <c r="AU17" t="s">
        <v>3</v>
      </c>
      <c r="AV17">
        <v>0</v>
      </c>
      <c r="AW17">
        <v>2</v>
      </c>
      <c r="AX17">
        <v>42225008</v>
      </c>
      <c r="AY17">
        <v>1</v>
      </c>
      <c r="AZ17">
        <v>0</v>
      </c>
      <c r="BA17">
        <v>16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Y17*Source!I34</f>
        <v>1260</v>
      </c>
      <c r="CY17">
        <f t="shared" si="4"/>
        <v>0</v>
      </c>
      <c r="CZ17">
        <f t="shared" si="5"/>
        <v>0</v>
      </c>
      <c r="DA17">
        <f t="shared" si="6"/>
        <v>1</v>
      </c>
      <c r="DB17">
        <f t="shared" si="2"/>
        <v>0</v>
      </c>
      <c r="DC17">
        <f t="shared" si="3"/>
        <v>0</v>
      </c>
    </row>
    <row r="18" spans="1:107">
      <c r="A18">
        <f>ROW(Source!A34)</f>
        <v>34</v>
      </c>
      <c r="B18">
        <v>42225948</v>
      </c>
      <c r="C18">
        <v>42224994</v>
      </c>
      <c r="D18">
        <v>0</v>
      </c>
      <c r="E18">
        <v>0</v>
      </c>
      <c r="F18">
        <v>1</v>
      </c>
      <c r="G18">
        <v>27</v>
      </c>
      <c r="H18">
        <v>3</v>
      </c>
      <c r="I18" t="s">
        <v>57</v>
      </c>
      <c r="J18" t="s">
        <v>3</v>
      </c>
      <c r="K18" t="s">
        <v>58</v>
      </c>
      <c r="L18">
        <v>1354</v>
      </c>
      <c r="N18">
        <v>1010</v>
      </c>
      <c r="O18" t="s">
        <v>51</v>
      </c>
      <c r="P18" t="s">
        <v>51</v>
      </c>
      <c r="Q18">
        <v>1</v>
      </c>
      <c r="W18">
        <v>0</v>
      </c>
      <c r="X18">
        <v>1132781643</v>
      </c>
      <c r="Y18">
        <v>640</v>
      </c>
      <c r="AA18">
        <v>124.17</v>
      </c>
      <c r="AB18">
        <v>0</v>
      </c>
      <c r="AC18">
        <v>0</v>
      </c>
      <c r="AD18">
        <v>0</v>
      </c>
      <c r="AE18">
        <v>124.17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 t="s">
        <v>3</v>
      </c>
      <c r="AT18">
        <v>640</v>
      </c>
      <c r="AU18" t="s">
        <v>3</v>
      </c>
      <c r="AV18">
        <v>0</v>
      </c>
      <c r="AW18">
        <v>1</v>
      </c>
      <c r="AX18">
        <v>-1</v>
      </c>
      <c r="AY18">
        <v>0</v>
      </c>
      <c r="AZ18">
        <v>0</v>
      </c>
      <c r="BA18" t="s">
        <v>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Y18*Source!I34</f>
        <v>480</v>
      </c>
      <c r="CY18">
        <f t="shared" si="4"/>
        <v>124.17</v>
      </c>
      <c r="CZ18">
        <f t="shared" si="5"/>
        <v>124.17</v>
      </c>
      <c r="DA18">
        <f t="shared" si="6"/>
        <v>1</v>
      </c>
      <c r="DB18">
        <f t="shared" si="2"/>
        <v>79468.800000000003</v>
      </c>
      <c r="DC18">
        <f t="shared" si="3"/>
        <v>0</v>
      </c>
    </row>
    <row r="19" spans="1:107">
      <c r="A19">
        <f>ROW(Source!A38)</f>
        <v>38</v>
      </c>
      <c r="B19">
        <v>42225948</v>
      </c>
      <c r="C19">
        <v>42225012</v>
      </c>
      <c r="D19">
        <v>38786840</v>
      </c>
      <c r="E19">
        <v>27</v>
      </c>
      <c r="F19">
        <v>1</v>
      </c>
      <c r="G19">
        <v>27</v>
      </c>
      <c r="H19">
        <v>1</v>
      </c>
      <c r="I19" t="s">
        <v>339</v>
      </c>
      <c r="J19" t="s">
        <v>3</v>
      </c>
      <c r="K19" t="s">
        <v>340</v>
      </c>
      <c r="L19">
        <v>1191</v>
      </c>
      <c r="N19">
        <v>1013</v>
      </c>
      <c r="O19" t="s">
        <v>341</v>
      </c>
      <c r="P19" t="s">
        <v>341</v>
      </c>
      <c r="Q19">
        <v>1</v>
      </c>
      <c r="W19">
        <v>0</v>
      </c>
      <c r="X19">
        <v>476480486</v>
      </c>
      <c r="Y19">
        <v>4.6706666628999995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1</v>
      </c>
      <c r="AQ19">
        <v>0</v>
      </c>
      <c r="AR19">
        <v>0</v>
      </c>
      <c r="AS19" t="s">
        <v>3</v>
      </c>
      <c r="AT19">
        <v>7.91</v>
      </c>
      <c r="AU19" t="s">
        <v>63</v>
      </c>
      <c r="AV19">
        <v>1</v>
      </c>
      <c r="AW19">
        <v>2</v>
      </c>
      <c r="AX19">
        <v>42225017</v>
      </c>
      <c r="AY19">
        <v>1</v>
      </c>
      <c r="AZ19">
        <v>0</v>
      </c>
      <c r="BA19">
        <v>17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Y19*Source!I38</f>
        <v>-3.5029999971749994</v>
      </c>
      <c r="CY19">
        <f>AD19</f>
        <v>0</v>
      </c>
      <c r="CZ19">
        <f>AH19</f>
        <v>0</v>
      </c>
      <c r="DA19">
        <f>AL19</f>
        <v>1</v>
      </c>
      <c r="DB19">
        <f>ROUND((ROUND(AT19*CZ19,2)*0.59047619),6)</f>
        <v>0</v>
      </c>
      <c r="DC19">
        <f>ROUND((ROUND(AT19*AG19,2)*0.59047619),6)</f>
        <v>0</v>
      </c>
    </row>
    <row r="20" spans="1:107">
      <c r="A20">
        <f>ROW(Source!A38)</f>
        <v>38</v>
      </c>
      <c r="B20">
        <v>42225948</v>
      </c>
      <c r="C20">
        <v>42225012</v>
      </c>
      <c r="D20">
        <v>38801771</v>
      </c>
      <c r="E20">
        <v>1</v>
      </c>
      <c r="F20">
        <v>1</v>
      </c>
      <c r="G20">
        <v>27</v>
      </c>
      <c r="H20">
        <v>3</v>
      </c>
      <c r="I20" t="s">
        <v>350</v>
      </c>
      <c r="J20" t="s">
        <v>351</v>
      </c>
      <c r="K20" t="s">
        <v>352</v>
      </c>
      <c r="L20">
        <v>1346</v>
      </c>
      <c r="N20">
        <v>1009</v>
      </c>
      <c r="O20" t="s">
        <v>353</v>
      </c>
      <c r="P20" t="s">
        <v>353</v>
      </c>
      <c r="Q20">
        <v>1</v>
      </c>
      <c r="W20">
        <v>0</v>
      </c>
      <c r="X20">
        <v>-2033961190</v>
      </c>
      <c r="Y20">
        <v>0.29523809499999998</v>
      </c>
      <c r="AA20">
        <v>171.21</v>
      </c>
      <c r="AB20">
        <v>0</v>
      </c>
      <c r="AC20">
        <v>0</v>
      </c>
      <c r="AD20">
        <v>0</v>
      </c>
      <c r="AE20">
        <v>171.21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1</v>
      </c>
      <c r="AQ20">
        <v>0</v>
      </c>
      <c r="AR20">
        <v>0</v>
      </c>
      <c r="AS20" t="s">
        <v>3</v>
      </c>
      <c r="AT20">
        <v>0.5</v>
      </c>
      <c r="AU20" t="s">
        <v>63</v>
      </c>
      <c r="AV20">
        <v>0</v>
      </c>
      <c r="AW20">
        <v>2</v>
      </c>
      <c r="AX20">
        <v>42225018</v>
      </c>
      <c r="AY20">
        <v>1</v>
      </c>
      <c r="AZ20">
        <v>0</v>
      </c>
      <c r="BA20">
        <v>18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Y20*Source!I38</f>
        <v>-0.22142857124999998</v>
      </c>
      <c r="CY20">
        <f>AA20</f>
        <v>171.21</v>
      </c>
      <c r="CZ20">
        <f>AE20</f>
        <v>171.21</v>
      </c>
      <c r="DA20">
        <f>AI20</f>
        <v>1</v>
      </c>
      <c r="DB20">
        <f>ROUND((ROUND(AT20*CZ20,2)*0.59047619),6)</f>
        <v>50.550666999999997</v>
      </c>
      <c r="DC20">
        <f>ROUND((ROUND(AT20*AG20,2)*0.59047619),6)</f>
        <v>0</v>
      </c>
    </row>
    <row r="21" spans="1:107">
      <c r="A21">
        <f>ROW(Source!A38)</f>
        <v>38</v>
      </c>
      <c r="B21">
        <v>42225948</v>
      </c>
      <c r="C21">
        <v>42225012</v>
      </c>
      <c r="D21">
        <v>38800613</v>
      </c>
      <c r="E21">
        <v>1</v>
      </c>
      <c r="F21">
        <v>1</v>
      </c>
      <c r="G21">
        <v>27</v>
      </c>
      <c r="H21">
        <v>3</v>
      </c>
      <c r="I21" t="s">
        <v>357</v>
      </c>
      <c r="J21" t="s">
        <v>358</v>
      </c>
      <c r="K21" t="s">
        <v>359</v>
      </c>
      <c r="L21">
        <v>1339</v>
      </c>
      <c r="N21">
        <v>1007</v>
      </c>
      <c r="O21" t="s">
        <v>349</v>
      </c>
      <c r="P21" t="s">
        <v>349</v>
      </c>
      <c r="Q21">
        <v>1</v>
      </c>
      <c r="W21">
        <v>0</v>
      </c>
      <c r="X21">
        <v>538447250</v>
      </c>
      <c r="Y21">
        <v>2.9523809499999998E-3</v>
      </c>
      <c r="AA21">
        <v>7098.7</v>
      </c>
      <c r="AB21">
        <v>0</v>
      </c>
      <c r="AC21">
        <v>0</v>
      </c>
      <c r="AD21">
        <v>0</v>
      </c>
      <c r="AE21">
        <v>7098.7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1</v>
      </c>
      <c r="AQ21">
        <v>0</v>
      </c>
      <c r="AR21">
        <v>0</v>
      </c>
      <c r="AS21" t="s">
        <v>3</v>
      </c>
      <c r="AT21">
        <v>5.0000000000000001E-3</v>
      </c>
      <c r="AU21" t="s">
        <v>63</v>
      </c>
      <c r="AV21">
        <v>0</v>
      </c>
      <c r="AW21">
        <v>2</v>
      </c>
      <c r="AX21">
        <v>42225019</v>
      </c>
      <c r="AY21">
        <v>1</v>
      </c>
      <c r="AZ21">
        <v>0</v>
      </c>
      <c r="BA21">
        <v>19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Y21*Source!I38</f>
        <v>-2.2142857124999998E-3</v>
      </c>
      <c r="CY21">
        <f>AA21</f>
        <v>7098.7</v>
      </c>
      <c r="CZ21">
        <f>AE21</f>
        <v>7098.7</v>
      </c>
      <c r="DA21">
        <f>AI21</f>
        <v>1</v>
      </c>
      <c r="DB21">
        <f>ROUND((ROUND(AT21*CZ21,2)*0.59047619),6)</f>
        <v>20.956</v>
      </c>
      <c r="DC21">
        <f>ROUND((ROUND(AT21*AG21,2)*0.59047619),6)</f>
        <v>0</v>
      </c>
    </row>
    <row r="22" spans="1:107">
      <c r="A22">
        <f>ROW(Source!A38)</f>
        <v>38</v>
      </c>
      <c r="B22">
        <v>42225948</v>
      </c>
      <c r="C22">
        <v>42225012</v>
      </c>
      <c r="D22">
        <v>38786925</v>
      </c>
      <c r="E22">
        <v>27</v>
      </c>
      <c r="F22">
        <v>1</v>
      </c>
      <c r="G22">
        <v>27</v>
      </c>
      <c r="H22">
        <v>3</v>
      </c>
      <c r="I22" t="s">
        <v>49</v>
      </c>
      <c r="J22" t="s">
        <v>3</v>
      </c>
      <c r="K22" t="s">
        <v>50</v>
      </c>
      <c r="L22">
        <v>1354</v>
      </c>
      <c r="N22">
        <v>1010</v>
      </c>
      <c r="O22" t="s">
        <v>51</v>
      </c>
      <c r="P22" t="s">
        <v>51</v>
      </c>
      <c r="Q22">
        <v>1</v>
      </c>
      <c r="W22">
        <v>0</v>
      </c>
      <c r="X22">
        <v>-2077348890</v>
      </c>
      <c r="Y22">
        <v>619.99999949999994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0</v>
      </c>
      <c r="AP22">
        <v>1</v>
      </c>
      <c r="AQ22">
        <v>0</v>
      </c>
      <c r="AR22">
        <v>0</v>
      </c>
      <c r="AS22" t="s">
        <v>3</v>
      </c>
      <c r="AT22">
        <v>1050</v>
      </c>
      <c r="AU22" t="s">
        <v>63</v>
      </c>
      <c r="AV22">
        <v>0</v>
      </c>
      <c r="AW22">
        <v>2</v>
      </c>
      <c r="AX22">
        <v>42225020</v>
      </c>
      <c r="AY22">
        <v>1</v>
      </c>
      <c r="AZ22">
        <v>0</v>
      </c>
      <c r="BA22">
        <v>20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Y22*Source!I38</f>
        <v>-464.99999962499999</v>
      </c>
      <c r="CY22">
        <f>AA22</f>
        <v>0</v>
      </c>
      <c r="CZ22">
        <f>AE22</f>
        <v>0</v>
      </c>
      <c r="DA22">
        <f>AI22</f>
        <v>1</v>
      </c>
      <c r="DB22">
        <f>ROUND((ROUND(AT22*CZ22,2)*0.59047619),6)</f>
        <v>0</v>
      </c>
      <c r="DC22">
        <f>ROUND((ROUND(AT22*AG22,2)*0.59047619),6)</f>
        <v>0</v>
      </c>
    </row>
    <row r="23" spans="1:107">
      <c r="A23">
        <f>ROW(Source!A77)</f>
        <v>77</v>
      </c>
      <c r="B23">
        <v>42225948</v>
      </c>
      <c r="C23">
        <v>42225022</v>
      </c>
      <c r="D23">
        <v>38786840</v>
      </c>
      <c r="E23">
        <v>27</v>
      </c>
      <c r="F23">
        <v>1</v>
      </c>
      <c r="G23">
        <v>27</v>
      </c>
      <c r="H23">
        <v>1</v>
      </c>
      <c r="I23" t="s">
        <v>339</v>
      </c>
      <c r="J23" t="s">
        <v>3</v>
      </c>
      <c r="K23" t="s">
        <v>340</v>
      </c>
      <c r="L23">
        <v>1191</v>
      </c>
      <c r="N23">
        <v>1013</v>
      </c>
      <c r="O23" t="s">
        <v>341</v>
      </c>
      <c r="P23" t="s">
        <v>341</v>
      </c>
      <c r="Q23">
        <v>1</v>
      </c>
      <c r="W23">
        <v>0</v>
      </c>
      <c r="X23">
        <v>476480486</v>
      </c>
      <c r="Y23">
        <v>11.11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11.11</v>
      </c>
      <c r="AU23" t="s">
        <v>3</v>
      </c>
      <c r="AV23">
        <v>1</v>
      </c>
      <c r="AW23">
        <v>2</v>
      </c>
      <c r="AX23">
        <v>42225028</v>
      </c>
      <c r="AY23">
        <v>1</v>
      </c>
      <c r="AZ23">
        <v>0</v>
      </c>
      <c r="BA23">
        <v>21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Y23*Source!I77</f>
        <v>101.7676</v>
      </c>
      <c r="CY23">
        <f>AD23</f>
        <v>0</v>
      </c>
      <c r="CZ23">
        <f>AH23</f>
        <v>0</v>
      </c>
      <c r="DA23">
        <f>AL23</f>
        <v>1</v>
      </c>
      <c r="DB23">
        <f t="shared" ref="DB23:DB54" si="7">ROUND(ROUND(AT23*CZ23,2),6)</f>
        <v>0</v>
      </c>
      <c r="DC23">
        <f t="shared" ref="DC23:DC54" si="8">ROUND(ROUND(AT23*AG23,2),6)</f>
        <v>0</v>
      </c>
    </row>
    <row r="24" spans="1:107">
      <c r="A24">
        <f>ROW(Source!A77)</f>
        <v>77</v>
      </c>
      <c r="B24">
        <v>42225948</v>
      </c>
      <c r="C24">
        <v>42225022</v>
      </c>
      <c r="D24">
        <v>38799622</v>
      </c>
      <c r="E24">
        <v>1</v>
      </c>
      <c r="F24">
        <v>1</v>
      </c>
      <c r="G24">
        <v>27</v>
      </c>
      <c r="H24">
        <v>2</v>
      </c>
      <c r="I24" t="s">
        <v>363</v>
      </c>
      <c r="J24" t="s">
        <v>364</v>
      </c>
      <c r="K24" t="s">
        <v>365</v>
      </c>
      <c r="L24">
        <v>1368</v>
      </c>
      <c r="N24">
        <v>1011</v>
      </c>
      <c r="O24" t="s">
        <v>345</v>
      </c>
      <c r="P24" t="s">
        <v>345</v>
      </c>
      <c r="Q24">
        <v>1</v>
      </c>
      <c r="W24">
        <v>0</v>
      </c>
      <c r="X24">
        <v>-582299019</v>
      </c>
      <c r="Y24">
        <v>0.25</v>
      </c>
      <c r="AA24">
        <v>0</v>
      </c>
      <c r="AB24">
        <v>27.58</v>
      </c>
      <c r="AC24">
        <v>12.08</v>
      </c>
      <c r="AD24">
        <v>0</v>
      </c>
      <c r="AE24">
        <v>0</v>
      </c>
      <c r="AF24">
        <v>27.58</v>
      </c>
      <c r="AG24">
        <v>12.08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0.25</v>
      </c>
      <c r="AU24" t="s">
        <v>3</v>
      </c>
      <c r="AV24">
        <v>0</v>
      </c>
      <c r="AW24">
        <v>2</v>
      </c>
      <c r="AX24">
        <v>42225029</v>
      </c>
      <c r="AY24">
        <v>1</v>
      </c>
      <c r="AZ24">
        <v>0</v>
      </c>
      <c r="BA24">
        <v>22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Y24*Source!I77</f>
        <v>2.29</v>
      </c>
      <c r="CY24">
        <f>AB24</f>
        <v>27.58</v>
      </c>
      <c r="CZ24">
        <f>AF24</f>
        <v>27.58</v>
      </c>
      <c r="DA24">
        <f>AJ24</f>
        <v>1</v>
      </c>
      <c r="DB24">
        <f t="shared" si="7"/>
        <v>6.9</v>
      </c>
      <c r="DC24">
        <f t="shared" si="8"/>
        <v>3.02</v>
      </c>
    </row>
    <row r="25" spans="1:107">
      <c r="A25">
        <f>ROW(Source!A77)</f>
        <v>77</v>
      </c>
      <c r="B25">
        <v>42225948</v>
      </c>
      <c r="C25">
        <v>42225022</v>
      </c>
      <c r="D25">
        <v>38799061</v>
      </c>
      <c r="E25">
        <v>1</v>
      </c>
      <c r="F25">
        <v>1</v>
      </c>
      <c r="G25">
        <v>27</v>
      </c>
      <c r="H25">
        <v>2</v>
      </c>
      <c r="I25" t="s">
        <v>366</v>
      </c>
      <c r="J25" t="s">
        <v>367</v>
      </c>
      <c r="K25" t="s">
        <v>368</v>
      </c>
      <c r="L25">
        <v>1368</v>
      </c>
      <c r="N25">
        <v>1011</v>
      </c>
      <c r="O25" t="s">
        <v>345</v>
      </c>
      <c r="P25" t="s">
        <v>345</v>
      </c>
      <c r="Q25">
        <v>1</v>
      </c>
      <c r="W25">
        <v>0</v>
      </c>
      <c r="X25">
        <v>978366829</v>
      </c>
      <c r="Y25">
        <v>0.25</v>
      </c>
      <c r="AA25">
        <v>0</v>
      </c>
      <c r="AB25">
        <v>991.89</v>
      </c>
      <c r="AC25">
        <v>360.79</v>
      </c>
      <c r="AD25">
        <v>0</v>
      </c>
      <c r="AE25">
        <v>0</v>
      </c>
      <c r="AF25">
        <v>991.89</v>
      </c>
      <c r="AG25">
        <v>360.79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0.25</v>
      </c>
      <c r="AU25" t="s">
        <v>3</v>
      </c>
      <c r="AV25">
        <v>0</v>
      </c>
      <c r="AW25">
        <v>2</v>
      </c>
      <c r="AX25">
        <v>42225030</v>
      </c>
      <c r="AY25">
        <v>1</v>
      </c>
      <c r="AZ25">
        <v>0</v>
      </c>
      <c r="BA25">
        <v>23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Y25*Source!I77</f>
        <v>2.29</v>
      </c>
      <c r="CY25">
        <f>AB25</f>
        <v>991.89</v>
      </c>
      <c r="CZ25">
        <f>AF25</f>
        <v>991.89</v>
      </c>
      <c r="DA25">
        <f>AJ25</f>
        <v>1</v>
      </c>
      <c r="DB25">
        <f t="shared" si="7"/>
        <v>247.97</v>
      </c>
      <c r="DC25">
        <f t="shared" si="8"/>
        <v>90.2</v>
      </c>
    </row>
    <row r="26" spans="1:107">
      <c r="A26">
        <f>ROW(Source!A77)</f>
        <v>77</v>
      </c>
      <c r="B26">
        <v>42225948</v>
      </c>
      <c r="C26">
        <v>42225022</v>
      </c>
      <c r="D26">
        <v>38803649</v>
      </c>
      <c r="E26">
        <v>1</v>
      </c>
      <c r="F26">
        <v>1</v>
      </c>
      <c r="G26">
        <v>27</v>
      </c>
      <c r="H26">
        <v>3</v>
      </c>
      <c r="I26" t="s">
        <v>369</v>
      </c>
      <c r="J26" t="s">
        <v>370</v>
      </c>
      <c r="K26" t="s">
        <v>371</v>
      </c>
      <c r="L26">
        <v>1339</v>
      </c>
      <c r="N26">
        <v>1007</v>
      </c>
      <c r="O26" t="s">
        <v>349</v>
      </c>
      <c r="P26" t="s">
        <v>349</v>
      </c>
      <c r="Q26">
        <v>1</v>
      </c>
      <c r="W26">
        <v>0</v>
      </c>
      <c r="X26">
        <v>620872455</v>
      </c>
      <c r="Y26">
        <v>0.7</v>
      </c>
      <c r="AA26">
        <v>810.33</v>
      </c>
      <c r="AB26">
        <v>0</v>
      </c>
      <c r="AC26">
        <v>0</v>
      </c>
      <c r="AD26">
        <v>0</v>
      </c>
      <c r="AE26">
        <v>810.33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0.7</v>
      </c>
      <c r="AU26" t="s">
        <v>3</v>
      </c>
      <c r="AV26">
        <v>0</v>
      </c>
      <c r="AW26">
        <v>2</v>
      </c>
      <c r="AX26">
        <v>42225031</v>
      </c>
      <c r="AY26">
        <v>1</v>
      </c>
      <c r="AZ26">
        <v>0</v>
      </c>
      <c r="BA26">
        <v>24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Y26*Source!I77</f>
        <v>6.4119999999999999</v>
      </c>
      <c r="CY26">
        <f>AA26</f>
        <v>810.33</v>
      </c>
      <c r="CZ26">
        <f>AE26</f>
        <v>810.33</v>
      </c>
      <c r="DA26">
        <f>AI26</f>
        <v>1</v>
      </c>
      <c r="DB26">
        <f t="shared" si="7"/>
        <v>567.23</v>
      </c>
      <c r="DC26">
        <f t="shared" si="8"/>
        <v>0</v>
      </c>
    </row>
    <row r="27" spans="1:107">
      <c r="A27">
        <f>ROW(Source!A77)</f>
        <v>77</v>
      </c>
      <c r="B27">
        <v>42225948</v>
      </c>
      <c r="C27">
        <v>42225022</v>
      </c>
      <c r="D27">
        <v>38803640</v>
      </c>
      <c r="E27">
        <v>1</v>
      </c>
      <c r="F27">
        <v>1</v>
      </c>
      <c r="G27">
        <v>27</v>
      </c>
      <c r="H27">
        <v>3</v>
      </c>
      <c r="I27" t="s">
        <v>346</v>
      </c>
      <c r="J27" t="s">
        <v>372</v>
      </c>
      <c r="K27" t="s">
        <v>348</v>
      </c>
      <c r="L27">
        <v>1339</v>
      </c>
      <c r="N27">
        <v>1007</v>
      </c>
      <c r="O27" t="s">
        <v>349</v>
      </c>
      <c r="P27" t="s">
        <v>349</v>
      </c>
      <c r="Q27">
        <v>1</v>
      </c>
      <c r="W27">
        <v>0</v>
      </c>
      <c r="X27">
        <v>-1172857595</v>
      </c>
      <c r="Y27">
        <v>2</v>
      </c>
      <c r="AA27">
        <v>753.67</v>
      </c>
      <c r="AB27">
        <v>0</v>
      </c>
      <c r="AC27">
        <v>0</v>
      </c>
      <c r="AD27">
        <v>0</v>
      </c>
      <c r="AE27">
        <v>753.67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2</v>
      </c>
      <c r="AU27" t="s">
        <v>3</v>
      </c>
      <c r="AV27">
        <v>0</v>
      </c>
      <c r="AW27">
        <v>2</v>
      </c>
      <c r="AX27">
        <v>42225032</v>
      </c>
      <c r="AY27">
        <v>1</v>
      </c>
      <c r="AZ27">
        <v>0</v>
      </c>
      <c r="BA27">
        <v>25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Y27*Source!I77</f>
        <v>18.32</v>
      </c>
      <c r="CY27">
        <f>AA27</f>
        <v>753.67</v>
      </c>
      <c r="CZ27">
        <f>AE27</f>
        <v>753.67</v>
      </c>
      <c r="DA27">
        <f>AI27</f>
        <v>1</v>
      </c>
      <c r="DB27">
        <f t="shared" si="7"/>
        <v>1507.34</v>
      </c>
      <c r="DC27">
        <f t="shared" si="8"/>
        <v>0</v>
      </c>
    </row>
    <row r="28" spans="1:107">
      <c r="A28">
        <f>ROW(Source!A78)</f>
        <v>78</v>
      </c>
      <c r="B28">
        <v>42225948</v>
      </c>
      <c r="C28">
        <v>42225033</v>
      </c>
      <c r="D28">
        <v>38786840</v>
      </c>
      <c r="E28">
        <v>27</v>
      </c>
      <c r="F28">
        <v>1</v>
      </c>
      <c r="G28">
        <v>27</v>
      </c>
      <c r="H28">
        <v>1</v>
      </c>
      <c r="I28" t="s">
        <v>339</v>
      </c>
      <c r="J28" t="s">
        <v>3</v>
      </c>
      <c r="K28" t="s">
        <v>340</v>
      </c>
      <c r="L28">
        <v>1191</v>
      </c>
      <c r="N28">
        <v>1013</v>
      </c>
      <c r="O28" t="s">
        <v>341</v>
      </c>
      <c r="P28" t="s">
        <v>341</v>
      </c>
      <c r="Q28">
        <v>1</v>
      </c>
      <c r="W28">
        <v>0</v>
      </c>
      <c r="X28">
        <v>476480486</v>
      </c>
      <c r="Y28">
        <v>16.79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16.79</v>
      </c>
      <c r="AU28" t="s">
        <v>3</v>
      </c>
      <c r="AV28">
        <v>1</v>
      </c>
      <c r="AW28">
        <v>2</v>
      </c>
      <c r="AX28">
        <v>42225037</v>
      </c>
      <c r="AY28">
        <v>1</v>
      </c>
      <c r="AZ28">
        <v>0</v>
      </c>
      <c r="BA28">
        <v>26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Y28*Source!I78</f>
        <v>230.69459999999998</v>
      </c>
      <c r="CY28">
        <f>AD28</f>
        <v>0</v>
      </c>
      <c r="CZ28">
        <f>AH28</f>
        <v>0</v>
      </c>
      <c r="DA28">
        <f>AL28</f>
        <v>1</v>
      </c>
      <c r="DB28">
        <f t="shared" si="7"/>
        <v>0</v>
      </c>
      <c r="DC28">
        <f t="shared" si="8"/>
        <v>0</v>
      </c>
    </row>
    <row r="29" spans="1:107">
      <c r="A29">
        <f>ROW(Source!A78)</f>
        <v>78</v>
      </c>
      <c r="B29">
        <v>42225948</v>
      </c>
      <c r="C29">
        <v>42225033</v>
      </c>
      <c r="D29">
        <v>38803649</v>
      </c>
      <c r="E29">
        <v>1</v>
      </c>
      <c r="F29">
        <v>1</v>
      </c>
      <c r="G29">
        <v>27</v>
      </c>
      <c r="H29">
        <v>3</v>
      </c>
      <c r="I29" t="s">
        <v>369</v>
      </c>
      <c r="J29" t="s">
        <v>370</v>
      </c>
      <c r="K29" t="s">
        <v>371</v>
      </c>
      <c r="L29">
        <v>1339</v>
      </c>
      <c r="N29">
        <v>1007</v>
      </c>
      <c r="O29" t="s">
        <v>349</v>
      </c>
      <c r="P29" t="s">
        <v>349</v>
      </c>
      <c r="Q29">
        <v>1</v>
      </c>
      <c r="W29">
        <v>0</v>
      </c>
      <c r="X29">
        <v>620872455</v>
      </c>
      <c r="Y29">
        <v>0.7</v>
      </c>
      <c r="AA29">
        <v>810.33</v>
      </c>
      <c r="AB29">
        <v>0</v>
      </c>
      <c r="AC29">
        <v>0</v>
      </c>
      <c r="AD29">
        <v>0</v>
      </c>
      <c r="AE29">
        <v>810.33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0.7</v>
      </c>
      <c r="AU29" t="s">
        <v>3</v>
      </c>
      <c r="AV29">
        <v>0</v>
      </c>
      <c r="AW29">
        <v>2</v>
      </c>
      <c r="AX29">
        <v>42225038</v>
      </c>
      <c r="AY29">
        <v>1</v>
      </c>
      <c r="AZ29">
        <v>0</v>
      </c>
      <c r="BA29">
        <v>27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Y29*Source!I78</f>
        <v>9.6180000000000003</v>
      </c>
      <c r="CY29">
        <f>AA29</f>
        <v>810.33</v>
      </c>
      <c r="CZ29">
        <f>AE29</f>
        <v>810.33</v>
      </c>
      <c r="DA29">
        <f>AI29</f>
        <v>1</v>
      </c>
      <c r="DB29">
        <f t="shared" si="7"/>
        <v>567.23</v>
      </c>
      <c r="DC29">
        <f t="shared" si="8"/>
        <v>0</v>
      </c>
    </row>
    <row r="30" spans="1:107">
      <c r="A30">
        <f>ROW(Source!A78)</f>
        <v>78</v>
      </c>
      <c r="B30">
        <v>42225948</v>
      </c>
      <c r="C30">
        <v>42225033</v>
      </c>
      <c r="D30">
        <v>38803640</v>
      </c>
      <c r="E30">
        <v>1</v>
      </c>
      <c r="F30">
        <v>1</v>
      </c>
      <c r="G30">
        <v>27</v>
      </c>
      <c r="H30">
        <v>3</v>
      </c>
      <c r="I30" t="s">
        <v>346</v>
      </c>
      <c r="J30" t="s">
        <v>372</v>
      </c>
      <c r="K30" t="s">
        <v>348</v>
      </c>
      <c r="L30">
        <v>1339</v>
      </c>
      <c r="N30">
        <v>1007</v>
      </c>
      <c r="O30" t="s">
        <v>349</v>
      </c>
      <c r="P30" t="s">
        <v>349</v>
      </c>
      <c r="Q30">
        <v>1</v>
      </c>
      <c r="W30">
        <v>0</v>
      </c>
      <c r="X30">
        <v>-1172857595</v>
      </c>
      <c r="Y30">
        <v>2</v>
      </c>
      <c r="AA30">
        <v>753.67</v>
      </c>
      <c r="AB30">
        <v>0</v>
      </c>
      <c r="AC30">
        <v>0</v>
      </c>
      <c r="AD30">
        <v>0</v>
      </c>
      <c r="AE30">
        <v>753.67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2</v>
      </c>
      <c r="AU30" t="s">
        <v>3</v>
      </c>
      <c r="AV30">
        <v>0</v>
      </c>
      <c r="AW30">
        <v>2</v>
      </c>
      <c r="AX30">
        <v>42225039</v>
      </c>
      <c r="AY30">
        <v>1</v>
      </c>
      <c r="AZ30">
        <v>0</v>
      </c>
      <c r="BA30">
        <v>28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Y30*Source!I78</f>
        <v>27.48</v>
      </c>
      <c r="CY30">
        <f>AA30</f>
        <v>753.67</v>
      </c>
      <c r="CZ30">
        <f>AE30</f>
        <v>753.67</v>
      </c>
      <c r="DA30">
        <f>AI30</f>
        <v>1</v>
      </c>
      <c r="DB30">
        <f t="shared" si="7"/>
        <v>1507.34</v>
      </c>
      <c r="DC30">
        <f t="shared" si="8"/>
        <v>0</v>
      </c>
    </row>
    <row r="31" spans="1:107">
      <c r="A31">
        <f>ROW(Source!A79)</f>
        <v>79</v>
      </c>
      <c r="B31">
        <v>42225948</v>
      </c>
      <c r="C31">
        <v>42225040</v>
      </c>
      <c r="D31">
        <v>38799032</v>
      </c>
      <c r="E31">
        <v>1</v>
      </c>
      <c r="F31">
        <v>1</v>
      </c>
      <c r="G31">
        <v>27</v>
      </c>
      <c r="H31">
        <v>2</v>
      </c>
      <c r="I31" t="s">
        <v>373</v>
      </c>
      <c r="J31" t="s">
        <v>374</v>
      </c>
      <c r="K31" t="s">
        <v>375</v>
      </c>
      <c r="L31">
        <v>1368</v>
      </c>
      <c r="N31">
        <v>1011</v>
      </c>
      <c r="O31" t="s">
        <v>345</v>
      </c>
      <c r="P31" t="s">
        <v>345</v>
      </c>
      <c r="Q31">
        <v>1</v>
      </c>
      <c r="W31">
        <v>0</v>
      </c>
      <c r="X31">
        <v>974897901</v>
      </c>
      <c r="Y31">
        <v>0.31</v>
      </c>
      <c r="AA31">
        <v>0</v>
      </c>
      <c r="AB31">
        <v>956.79</v>
      </c>
      <c r="AC31">
        <v>359.44</v>
      </c>
      <c r="AD31">
        <v>0</v>
      </c>
      <c r="AE31">
        <v>0</v>
      </c>
      <c r="AF31">
        <v>956.79</v>
      </c>
      <c r="AG31">
        <v>359.44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0.31</v>
      </c>
      <c r="AU31" t="s">
        <v>3</v>
      </c>
      <c r="AV31">
        <v>0</v>
      </c>
      <c r="AW31">
        <v>2</v>
      </c>
      <c r="AX31">
        <v>42225042</v>
      </c>
      <c r="AY31">
        <v>1</v>
      </c>
      <c r="AZ31">
        <v>0</v>
      </c>
      <c r="BA31">
        <v>29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Y31*Source!I79</f>
        <v>0.74539500000000003</v>
      </c>
      <c r="CY31">
        <f>AB31</f>
        <v>956.79</v>
      </c>
      <c r="CZ31">
        <f>AF31</f>
        <v>956.79</v>
      </c>
      <c r="DA31">
        <f>AJ31</f>
        <v>1</v>
      </c>
      <c r="DB31">
        <f t="shared" si="7"/>
        <v>296.60000000000002</v>
      </c>
      <c r="DC31">
        <f t="shared" si="8"/>
        <v>111.43</v>
      </c>
    </row>
    <row r="32" spans="1:107">
      <c r="A32">
        <f>ROW(Source!A80)</f>
        <v>80</v>
      </c>
      <c r="B32">
        <v>42225948</v>
      </c>
      <c r="C32">
        <v>42225043</v>
      </c>
      <c r="D32">
        <v>38786840</v>
      </c>
      <c r="E32">
        <v>27</v>
      </c>
      <c r="F32">
        <v>1</v>
      </c>
      <c r="G32">
        <v>27</v>
      </c>
      <c r="H32">
        <v>1</v>
      </c>
      <c r="I32" t="s">
        <v>339</v>
      </c>
      <c r="J32" t="s">
        <v>3</v>
      </c>
      <c r="K32" t="s">
        <v>340</v>
      </c>
      <c r="L32">
        <v>1191</v>
      </c>
      <c r="N32">
        <v>1013</v>
      </c>
      <c r="O32" t="s">
        <v>341</v>
      </c>
      <c r="P32" t="s">
        <v>341</v>
      </c>
      <c r="Q32">
        <v>1</v>
      </c>
      <c r="W32">
        <v>0</v>
      </c>
      <c r="X32">
        <v>476480486</v>
      </c>
      <c r="Y32">
        <v>11.73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11.73</v>
      </c>
      <c r="AU32" t="s">
        <v>3</v>
      </c>
      <c r="AV32">
        <v>1</v>
      </c>
      <c r="AW32">
        <v>2</v>
      </c>
      <c r="AX32">
        <v>42225045</v>
      </c>
      <c r="AY32">
        <v>1</v>
      </c>
      <c r="AZ32">
        <v>0</v>
      </c>
      <c r="BA32">
        <v>30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Y32*Source!I80</f>
        <v>9.4015950000000004</v>
      </c>
      <c r="CY32">
        <f>AD32</f>
        <v>0</v>
      </c>
      <c r="CZ32">
        <f>AH32</f>
        <v>0</v>
      </c>
      <c r="DA32">
        <f>AL32</f>
        <v>1</v>
      </c>
      <c r="DB32">
        <f t="shared" si="7"/>
        <v>0</v>
      </c>
      <c r="DC32">
        <f t="shared" si="8"/>
        <v>0</v>
      </c>
    </row>
    <row r="33" spans="1:107">
      <c r="A33">
        <f>ROW(Source!A81)</f>
        <v>81</v>
      </c>
      <c r="B33">
        <v>42225948</v>
      </c>
      <c r="C33">
        <v>42225046</v>
      </c>
      <c r="D33">
        <v>38786840</v>
      </c>
      <c r="E33">
        <v>27</v>
      </c>
      <c r="F33">
        <v>1</v>
      </c>
      <c r="G33">
        <v>27</v>
      </c>
      <c r="H33">
        <v>1</v>
      </c>
      <c r="I33" t="s">
        <v>339</v>
      </c>
      <c r="J33" t="s">
        <v>3</v>
      </c>
      <c r="K33" t="s">
        <v>340</v>
      </c>
      <c r="L33">
        <v>1191</v>
      </c>
      <c r="N33">
        <v>1013</v>
      </c>
      <c r="O33" t="s">
        <v>341</v>
      </c>
      <c r="P33" t="s">
        <v>341</v>
      </c>
      <c r="Q33">
        <v>1</v>
      </c>
      <c r="W33">
        <v>0</v>
      </c>
      <c r="X33">
        <v>476480486</v>
      </c>
      <c r="Y33">
        <v>7.08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7.08</v>
      </c>
      <c r="AU33" t="s">
        <v>3</v>
      </c>
      <c r="AV33">
        <v>1</v>
      </c>
      <c r="AW33">
        <v>2</v>
      </c>
      <c r="AX33">
        <v>42225057</v>
      </c>
      <c r="AY33">
        <v>1</v>
      </c>
      <c r="AZ33">
        <v>0</v>
      </c>
      <c r="BA33">
        <v>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Y33*Source!I81</f>
        <v>162.13200000000001</v>
      </c>
      <c r="CY33">
        <f>AD33</f>
        <v>0</v>
      </c>
      <c r="CZ33">
        <f>AH33</f>
        <v>0</v>
      </c>
      <c r="DA33">
        <f>AL33</f>
        <v>1</v>
      </c>
      <c r="DB33">
        <f t="shared" si="7"/>
        <v>0</v>
      </c>
      <c r="DC33">
        <f t="shared" si="8"/>
        <v>0</v>
      </c>
    </row>
    <row r="34" spans="1:107">
      <c r="A34">
        <f>ROW(Source!A81)</f>
        <v>81</v>
      </c>
      <c r="B34">
        <v>42225948</v>
      </c>
      <c r="C34">
        <v>42225046</v>
      </c>
      <c r="D34">
        <v>38799213</v>
      </c>
      <c r="E34">
        <v>1</v>
      </c>
      <c r="F34">
        <v>1</v>
      </c>
      <c r="G34">
        <v>27</v>
      </c>
      <c r="H34">
        <v>2</v>
      </c>
      <c r="I34" t="s">
        <v>376</v>
      </c>
      <c r="J34" t="s">
        <v>377</v>
      </c>
      <c r="K34" t="s">
        <v>378</v>
      </c>
      <c r="L34">
        <v>1368</v>
      </c>
      <c r="N34">
        <v>1011</v>
      </c>
      <c r="O34" t="s">
        <v>345</v>
      </c>
      <c r="P34" t="s">
        <v>345</v>
      </c>
      <c r="Q34">
        <v>1</v>
      </c>
      <c r="W34">
        <v>0</v>
      </c>
      <c r="X34">
        <v>2042885981</v>
      </c>
      <c r="Y34">
        <v>0.32</v>
      </c>
      <c r="AA34">
        <v>0</v>
      </c>
      <c r="AB34">
        <v>2020.59</v>
      </c>
      <c r="AC34">
        <v>458.56</v>
      </c>
      <c r="AD34">
        <v>0</v>
      </c>
      <c r="AE34">
        <v>0</v>
      </c>
      <c r="AF34">
        <v>2020.59</v>
      </c>
      <c r="AG34">
        <v>458.56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0.32</v>
      </c>
      <c r="AU34" t="s">
        <v>3</v>
      </c>
      <c r="AV34">
        <v>0</v>
      </c>
      <c r="AW34">
        <v>2</v>
      </c>
      <c r="AX34">
        <v>42225058</v>
      </c>
      <c r="AY34">
        <v>1</v>
      </c>
      <c r="AZ34">
        <v>0</v>
      </c>
      <c r="BA34">
        <v>32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Y34*Source!I81</f>
        <v>7.3279999999999994</v>
      </c>
      <c r="CY34">
        <f>AB34</f>
        <v>2020.59</v>
      </c>
      <c r="CZ34">
        <f>AF34</f>
        <v>2020.59</v>
      </c>
      <c r="DA34">
        <f>AJ34</f>
        <v>1</v>
      </c>
      <c r="DB34">
        <f t="shared" si="7"/>
        <v>646.59</v>
      </c>
      <c r="DC34">
        <f t="shared" si="8"/>
        <v>146.74</v>
      </c>
    </row>
    <row r="35" spans="1:107">
      <c r="A35">
        <f>ROW(Source!A81)</f>
        <v>81</v>
      </c>
      <c r="B35">
        <v>42225948</v>
      </c>
      <c r="C35">
        <v>42225046</v>
      </c>
      <c r="D35">
        <v>38801911</v>
      </c>
      <c r="E35">
        <v>1</v>
      </c>
      <c r="F35">
        <v>1</v>
      </c>
      <c r="G35">
        <v>27</v>
      </c>
      <c r="H35">
        <v>3</v>
      </c>
      <c r="I35" t="s">
        <v>354</v>
      </c>
      <c r="J35" t="s">
        <v>355</v>
      </c>
      <c r="K35" t="s">
        <v>356</v>
      </c>
      <c r="L35">
        <v>1339</v>
      </c>
      <c r="N35">
        <v>1007</v>
      </c>
      <c r="O35" t="s">
        <v>349</v>
      </c>
      <c r="P35" t="s">
        <v>349</v>
      </c>
      <c r="Q35">
        <v>1</v>
      </c>
      <c r="W35">
        <v>0</v>
      </c>
      <c r="X35">
        <v>1927597627</v>
      </c>
      <c r="Y35">
        <v>1.07</v>
      </c>
      <c r="AA35">
        <v>35.25</v>
      </c>
      <c r="AB35">
        <v>0</v>
      </c>
      <c r="AC35">
        <v>0</v>
      </c>
      <c r="AD35">
        <v>0</v>
      </c>
      <c r="AE35">
        <v>35.25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1.07</v>
      </c>
      <c r="AU35" t="s">
        <v>3</v>
      </c>
      <c r="AV35">
        <v>0</v>
      </c>
      <c r="AW35">
        <v>2</v>
      </c>
      <c r="AX35">
        <v>42225059</v>
      </c>
      <c r="AY35">
        <v>1</v>
      </c>
      <c r="AZ35">
        <v>0</v>
      </c>
      <c r="BA35">
        <v>33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Y35*Source!I81</f>
        <v>24.503</v>
      </c>
      <c r="CY35">
        <f t="shared" ref="CY35:CY42" si="9">AA35</f>
        <v>35.25</v>
      </c>
      <c r="CZ35">
        <f t="shared" ref="CZ35:CZ42" si="10">AE35</f>
        <v>35.25</v>
      </c>
      <c r="DA35">
        <f t="shared" ref="DA35:DA42" si="11">AI35</f>
        <v>1</v>
      </c>
      <c r="DB35">
        <f t="shared" si="7"/>
        <v>37.72</v>
      </c>
      <c r="DC35">
        <f t="shared" si="8"/>
        <v>0</v>
      </c>
    </row>
    <row r="36" spans="1:107">
      <c r="A36">
        <f>ROW(Source!A81)</f>
        <v>81</v>
      </c>
      <c r="B36">
        <v>42225948</v>
      </c>
      <c r="C36">
        <v>42225046</v>
      </c>
      <c r="D36">
        <v>38803250</v>
      </c>
      <c r="E36">
        <v>1</v>
      </c>
      <c r="F36">
        <v>1</v>
      </c>
      <c r="G36">
        <v>27</v>
      </c>
      <c r="H36">
        <v>3</v>
      </c>
      <c r="I36" t="s">
        <v>143</v>
      </c>
      <c r="J36" t="s">
        <v>145</v>
      </c>
      <c r="K36" t="s">
        <v>144</v>
      </c>
      <c r="L36">
        <v>1354</v>
      </c>
      <c r="N36">
        <v>1010</v>
      </c>
      <c r="O36" t="s">
        <v>51</v>
      </c>
      <c r="P36" t="s">
        <v>51</v>
      </c>
      <c r="Q36">
        <v>1</v>
      </c>
      <c r="W36">
        <v>0</v>
      </c>
      <c r="X36">
        <v>1459060616</v>
      </c>
      <c r="Y36">
        <v>0.87336199999999997</v>
      </c>
      <c r="AA36">
        <v>1409.36</v>
      </c>
      <c r="AB36">
        <v>0</v>
      </c>
      <c r="AC36">
        <v>0</v>
      </c>
      <c r="AD36">
        <v>0</v>
      </c>
      <c r="AE36">
        <v>1409.36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3</v>
      </c>
      <c r="AT36">
        <v>0.87336199999999997</v>
      </c>
      <c r="AU36" t="s">
        <v>3</v>
      </c>
      <c r="AV36">
        <v>0</v>
      </c>
      <c r="AW36">
        <v>1</v>
      </c>
      <c r="AX36">
        <v>-1</v>
      </c>
      <c r="AY36">
        <v>0</v>
      </c>
      <c r="AZ36">
        <v>0</v>
      </c>
      <c r="BA36" t="s">
        <v>3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Y36*Source!I81</f>
        <v>19.999989799999998</v>
      </c>
      <c r="CY36">
        <f t="shared" si="9"/>
        <v>1409.36</v>
      </c>
      <c r="CZ36">
        <f t="shared" si="10"/>
        <v>1409.36</v>
      </c>
      <c r="DA36">
        <f t="shared" si="11"/>
        <v>1</v>
      </c>
      <c r="DB36">
        <f t="shared" si="7"/>
        <v>1230.8800000000001</v>
      </c>
      <c r="DC36">
        <f t="shared" si="8"/>
        <v>0</v>
      </c>
    </row>
    <row r="37" spans="1:107">
      <c r="A37">
        <f>ROW(Source!A81)</f>
        <v>81</v>
      </c>
      <c r="B37">
        <v>42225948</v>
      </c>
      <c r="C37">
        <v>42225046</v>
      </c>
      <c r="D37">
        <v>0</v>
      </c>
      <c r="E37">
        <v>0</v>
      </c>
      <c r="F37">
        <v>1</v>
      </c>
      <c r="G37">
        <v>27</v>
      </c>
      <c r="H37">
        <v>3</v>
      </c>
      <c r="I37" t="s">
        <v>57</v>
      </c>
      <c r="J37" t="s">
        <v>3</v>
      </c>
      <c r="K37" t="s">
        <v>147</v>
      </c>
      <c r="L37">
        <v>1354</v>
      </c>
      <c r="N37">
        <v>1010</v>
      </c>
      <c r="O37" t="s">
        <v>51</v>
      </c>
      <c r="P37" t="s">
        <v>51</v>
      </c>
      <c r="Q37">
        <v>1</v>
      </c>
      <c r="W37">
        <v>0</v>
      </c>
      <c r="X37">
        <v>-894039636</v>
      </c>
      <c r="Y37">
        <v>8.7335999999999997E-2</v>
      </c>
      <c r="AA37">
        <v>875</v>
      </c>
      <c r="AB37">
        <v>0</v>
      </c>
      <c r="AC37">
        <v>0</v>
      </c>
      <c r="AD37">
        <v>0</v>
      </c>
      <c r="AE37">
        <v>875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3</v>
      </c>
      <c r="AT37">
        <v>8.7335999999999997E-2</v>
      </c>
      <c r="AU37" t="s">
        <v>3</v>
      </c>
      <c r="AV37">
        <v>0</v>
      </c>
      <c r="AW37">
        <v>1</v>
      </c>
      <c r="AX37">
        <v>-1</v>
      </c>
      <c r="AY37">
        <v>0</v>
      </c>
      <c r="AZ37">
        <v>0</v>
      </c>
      <c r="BA37" t="s">
        <v>3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Y37*Source!I81</f>
        <v>1.9999943999999998</v>
      </c>
      <c r="CY37">
        <f t="shared" si="9"/>
        <v>875</v>
      </c>
      <c r="CZ37">
        <f t="shared" si="10"/>
        <v>875</v>
      </c>
      <c r="DA37">
        <f t="shared" si="11"/>
        <v>1</v>
      </c>
      <c r="DB37">
        <f t="shared" si="7"/>
        <v>76.42</v>
      </c>
      <c r="DC37">
        <f t="shared" si="8"/>
        <v>0</v>
      </c>
    </row>
    <row r="38" spans="1:107">
      <c r="A38">
        <f>ROW(Source!A81)</f>
        <v>81</v>
      </c>
      <c r="B38">
        <v>42225948</v>
      </c>
      <c r="C38">
        <v>42225046</v>
      </c>
      <c r="D38">
        <v>0</v>
      </c>
      <c r="E38">
        <v>27</v>
      </c>
      <c r="F38">
        <v>1</v>
      </c>
      <c r="G38">
        <v>27</v>
      </c>
      <c r="H38">
        <v>3</v>
      </c>
      <c r="I38" t="s">
        <v>57</v>
      </c>
      <c r="J38" t="s">
        <v>3</v>
      </c>
      <c r="K38" t="s">
        <v>149</v>
      </c>
      <c r="L38">
        <v>1354</v>
      </c>
      <c r="N38">
        <v>1010</v>
      </c>
      <c r="O38" t="s">
        <v>51</v>
      </c>
      <c r="P38" t="s">
        <v>51</v>
      </c>
      <c r="Q38">
        <v>1</v>
      </c>
      <c r="W38">
        <v>0</v>
      </c>
      <c r="X38">
        <v>-2146232133</v>
      </c>
      <c r="Y38">
        <v>7.8602619999999996</v>
      </c>
      <c r="AA38">
        <v>758.33</v>
      </c>
      <c r="AB38">
        <v>0</v>
      </c>
      <c r="AC38">
        <v>0</v>
      </c>
      <c r="AD38">
        <v>0</v>
      </c>
      <c r="AE38">
        <v>758.33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3</v>
      </c>
      <c r="AT38">
        <v>7.8602619999999996</v>
      </c>
      <c r="AU38" t="s">
        <v>3</v>
      </c>
      <c r="AV38">
        <v>0</v>
      </c>
      <c r="AW38">
        <v>1</v>
      </c>
      <c r="AX38">
        <v>-1</v>
      </c>
      <c r="AY38">
        <v>0</v>
      </c>
      <c r="AZ38">
        <v>0</v>
      </c>
      <c r="BA38" t="s">
        <v>3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Y38*Source!I81</f>
        <v>179.99999979999998</v>
      </c>
      <c r="CY38">
        <f t="shared" si="9"/>
        <v>758.33</v>
      </c>
      <c r="CZ38">
        <f t="shared" si="10"/>
        <v>758.33</v>
      </c>
      <c r="DA38">
        <f t="shared" si="11"/>
        <v>1</v>
      </c>
      <c r="DB38">
        <f t="shared" si="7"/>
        <v>5960.67</v>
      </c>
      <c r="DC38">
        <f t="shared" si="8"/>
        <v>0</v>
      </c>
    </row>
    <row r="39" spans="1:107">
      <c r="A39">
        <f>ROW(Source!A81)</f>
        <v>81</v>
      </c>
      <c r="B39">
        <v>42225948</v>
      </c>
      <c r="C39">
        <v>42225046</v>
      </c>
      <c r="D39">
        <v>0</v>
      </c>
      <c r="E39">
        <v>27</v>
      </c>
      <c r="F39">
        <v>1</v>
      </c>
      <c r="G39">
        <v>27</v>
      </c>
      <c r="H39">
        <v>3</v>
      </c>
      <c r="I39" t="s">
        <v>57</v>
      </c>
      <c r="J39" t="s">
        <v>3</v>
      </c>
      <c r="K39" t="s">
        <v>151</v>
      </c>
      <c r="L39">
        <v>1354</v>
      </c>
      <c r="N39">
        <v>1010</v>
      </c>
      <c r="O39" t="s">
        <v>51</v>
      </c>
      <c r="P39" t="s">
        <v>51</v>
      </c>
      <c r="Q39">
        <v>1</v>
      </c>
      <c r="W39">
        <v>0</v>
      </c>
      <c r="X39">
        <v>355500046</v>
      </c>
      <c r="Y39">
        <v>0.96069899999999997</v>
      </c>
      <c r="AA39">
        <v>741.67</v>
      </c>
      <c r="AB39">
        <v>0</v>
      </c>
      <c r="AC39">
        <v>0</v>
      </c>
      <c r="AD39">
        <v>0</v>
      </c>
      <c r="AE39">
        <v>741.67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3</v>
      </c>
      <c r="AT39">
        <v>0.96069899999999997</v>
      </c>
      <c r="AU39" t="s">
        <v>3</v>
      </c>
      <c r="AV39">
        <v>0</v>
      </c>
      <c r="AW39">
        <v>1</v>
      </c>
      <c r="AX39">
        <v>-1</v>
      </c>
      <c r="AY39">
        <v>0</v>
      </c>
      <c r="AZ39">
        <v>0</v>
      </c>
      <c r="BA39" t="s">
        <v>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Y39*Source!I81</f>
        <v>22.000007099999998</v>
      </c>
      <c r="CY39">
        <f t="shared" si="9"/>
        <v>741.67</v>
      </c>
      <c r="CZ39">
        <f t="shared" si="10"/>
        <v>741.67</v>
      </c>
      <c r="DA39">
        <f t="shared" si="11"/>
        <v>1</v>
      </c>
      <c r="DB39">
        <f t="shared" si="7"/>
        <v>712.52</v>
      </c>
      <c r="DC39">
        <f t="shared" si="8"/>
        <v>0</v>
      </c>
    </row>
    <row r="40" spans="1:107">
      <c r="A40">
        <f>ROW(Source!A81)</f>
        <v>81</v>
      </c>
      <c r="B40">
        <v>42225948</v>
      </c>
      <c r="C40">
        <v>42225046</v>
      </c>
      <c r="D40">
        <v>0</v>
      </c>
      <c r="E40">
        <v>27</v>
      </c>
      <c r="F40">
        <v>1</v>
      </c>
      <c r="G40">
        <v>27</v>
      </c>
      <c r="H40">
        <v>3</v>
      </c>
      <c r="I40" t="s">
        <v>57</v>
      </c>
      <c r="J40" t="s">
        <v>3</v>
      </c>
      <c r="K40" t="s">
        <v>153</v>
      </c>
      <c r="L40">
        <v>1354</v>
      </c>
      <c r="N40">
        <v>1010</v>
      </c>
      <c r="O40" t="s">
        <v>51</v>
      </c>
      <c r="P40" t="s">
        <v>51</v>
      </c>
      <c r="Q40">
        <v>1</v>
      </c>
      <c r="W40">
        <v>0</v>
      </c>
      <c r="X40">
        <v>-1038945403</v>
      </c>
      <c r="Y40">
        <v>8.7335999999999997E-2</v>
      </c>
      <c r="AA40">
        <v>1358.33</v>
      </c>
      <c r="AB40">
        <v>0</v>
      </c>
      <c r="AC40">
        <v>0</v>
      </c>
      <c r="AD40">
        <v>0</v>
      </c>
      <c r="AE40">
        <v>1358.33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3</v>
      </c>
      <c r="AT40">
        <v>8.7335999999999997E-2</v>
      </c>
      <c r="AU40" t="s">
        <v>3</v>
      </c>
      <c r="AV40">
        <v>0</v>
      </c>
      <c r="AW40">
        <v>1</v>
      </c>
      <c r="AX40">
        <v>-1</v>
      </c>
      <c r="AY40">
        <v>0</v>
      </c>
      <c r="AZ40">
        <v>0</v>
      </c>
      <c r="BA40" t="s">
        <v>3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Y40*Source!I81</f>
        <v>1.9999943999999998</v>
      </c>
      <c r="CY40">
        <f t="shared" si="9"/>
        <v>1358.33</v>
      </c>
      <c r="CZ40">
        <f t="shared" si="10"/>
        <v>1358.33</v>
      </c>
      <c r="DA40">
        <f t="shared" si="11"/>
        <v>1</v>
      </c>
      <c r="DB40">
        <f t="shared" si="7"/>
        <v>118.63</v>
      </c>
      <c r="DC40">
        <f t="shared" si="8"/>
        <v>0</v>
      </c>
    </row>
    <row r="41" spans="1:107">
      <c r="A41">
        <f>ROW(Source!A81)</f>
        <v>81</v>
      </c>
      <c r="B41">
        <v>42225948</v>
      </c>
      <c r="C41">
        <v>42225046</v>
      </c>
      <c r="D41">
        <v>0</v>
      </c>
      <c r="E41">
        <v>27</v>
      </c>
      <c r="F41">
        <v>1</v>
      </c>
      <c r="G41">
        <v>27</v>
      </c>
      <c r="H41">
        <v>3</v>
      </c>
      <c r="I41" t="s">
        <v>57</v>
      </c>
      <c r="J41" t="s">
        <v>3</v>
      </c>
      <c r="K41" t="s">
        <v>155</v>
      </c>
      <c r="L41">
        <v>1354</v>
      </c>
      <c r="N41">
        <v>1010</v>
      </c>
      <c r="O41" t="s">
        <v>51</v>
      </c>
      <c r="P41" t="s">
        <v>51</v>
      </c>
      <c r="Q41">
        <v>1</v>
      </c>
      <c r="W41">
        <v>0</v>
      </c>
      <c r="X41">
        <v>-32794423</v>
      </c>
      <c r="Y41">
        <v>8.7335999999999997E-2</v>
      </c>
      <c r="AA41">
        <v>1433.33</v>
      </c>
      <c r="AB41">
        <v>0</v>
      </c>
      <c r="AC41">
        <v>0</v>
      </c>
      <c r="AD41">
        <v>0</v>
      </c>
      <c r="AE41">
        <v>1433.33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3</v>
      </c>
      <c r="AT41">
        <v>8.7335999999999997E-2</v>
      </c>
      <c r="AU41" t="s">
        <v>3</v>
      </c>
      <c r="AV41">
        <v>0</v>
      </c>
      <c r="AW41">
        <v>1</v>
      </c>
      <c r="AX41">
        <v>-1</v>
      </c>
      <c r="AY41">
        <v>0</v>
      </c>
      <c r="AZ41">
        <v>0</v>
      </c>
      <c r="BA41" t="s">
        <v>3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Y41*Source!I81</f>
        <v>1.9999943999999998</v>
      </c>
      <c r="CY41">
        <f t="shared" si="9"/>
        <v>1433.33</v>
      </c>
      <c r="CZ41">
        <f t="shared" si="10"/>
        <v>1433.33</v>
      </c>
      <c r="DA41">
        <f t="shared" si="11"/>
        <v>1</v>
      </c>
      <c r="DB41">
        <f t="shared" si="7"/>
        <v>125.18</v>
      </c>
      <c r="DC41">
        <f t="shared" si="8"/>
        <v>0</v>
      </c>
    </row>
    <row r="42" spans="1:107">
      <c r="A42">
        <f>ROW(Source!A81)</f>
        <v>81</v>
      </c>
      <c r="B42">
        <v>42225948</v>
      </c>
      <c r="C42">
        <v>42225046</v>
      </c>
      <c r="D42">
        <v>0</v>
      </c>
      <c r="E42">
        <v>27</v>
      </c>
      <c r="F42">
        <v>1</v>
      </c>
      <c r="G42">
        <v>27</v>
      </c>
      <c r="H42">
        <v>3</v>
      </c>
      <c r="I42" t="s">
        <v>57</v>
      </c>
      <c r="J42" t="s">
        <v>3</v>
      </c>
      <c r="K42" t="s">
        <v>157</v>
      </c>
      <c r="L42">
        <v>1354</v>
      </c>
      <c r="N42">
        <v>1010</v>
      </c>
      <c r="O42" t="s">
        <v>51</v>
      </c>
      <c r="P42" t="s">
        <v>51</v>
      </c>
      <c r="Q42">
        <v>1</v>
      </c>
      <c r="W42">
        <v>0</v>
      </c>
      <c r="X42">
        <v>-1620686808</v>
      </c>
      <c r="Y42">
        <v>4.3667999999999998E-2</v>
      </c>
      <c r="AA42">
        <v>1316.67</v>
      </c>
      <c r="AB42">
        <v>0</v>
      </c>
      <c r="AC42">
        <v>0</v>
      </c>
      <c r="AD42">
        <v>0</v>
      </c>
      <c r="AE42">
        <v>1316.67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3</v>
      </c>
      <c r="AT42">
        <v>4.3667999999999998E-2</v>
      </c>
      <c r="AU42" t="s">
        <v>3</v>
      </c>
      <c r="AV42">
        <v>0</v>
      </c>
      <c r="AW42">
        <v>1</v>
      </c>
      <c r="AX42">
        <v>-1</v>
      </c>
      <c r="AY42">
        <v>0</v>
      </c>
      <c r="AZ42">
        <v>0</v>
      </c>
      <c r="BA42" t="s">
        <v>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Y42*Source!I81</f>
        <v>0.99999719999999992</v>
      </c>
      <c r="CY42">
        <f t="shared" si="9"/>
        <v>1316.67</v>
      </c>
      <c r="CZ42">
        <f t="shared" si="10"/>
        <v>1316.67</v>
      </c>
      <c r="DA42">
        <f t="shared" si="11"/>
        <v>1</v>
      </c>
      <c r="DB42">
        <f t="shared" si="7"/>
        <v>57.5</v>
      </c>
      <c r="DC42">
        <f t="shared" si="8"/>
        <v>0</v>
      </c>
    </row>
    <row r="43" spans="1:107">
      <c r="A43">
        <f>ROW(Source!A126)</f>
        <v>126</v>
      </c>
      <c r="B43">
        <v>42225948</v>
      </c>
      <c r="C43">
        <v>42225068</v>
      </c>
      <c r="D43">
        <v>38786840</v>
      </c>
      <c r="E43">
        <v>27</v>
      </c>
      <c r="F43">
        <v>1</v>
      </c>
      <c r="G43">
        <v>27</v>
      </c>
      <c r="H43">
        <v>1</v>
      </c>
      <c r="I43" t="s">
        <v>339</v>
      </c>
      <c r="J43" t="s">
        <v>3</v>
      </c>
      <c r="K43" t="s">
        <v>340</v>
      </c>
      <c r="L43">
        <v>1191</v>
      </c>
      <c r="N43">
        <v>1013</v>
      </c>
      <c r="O43" t="s">
        <v>341</v>
      </c>
      <c r="P43" t="s">
        <v>341</v>
      </c>
      <c r="Q43">
        <v>1</v>
      </c>
      <c r="W43">
        <v>0</v>
      </c>
      <c r="X43">
        <v>476480486</v>
      </c>
      <c r="Y43">
        <v>34.44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34.44</v>
      </c>
      <c r="AU43" t="s">
        <v>3</v>
      </c>
      <c r="AV43">
        <v>1</v>
      </c>
      <c r="AW43">
        <v>2</v>
      </c>
      <c r="AX43">
        <v>42225073</v>
      </c>
      <c r="AY43">
        <v>1</v>
      </c>
      <c r="AZ43">
        <v>0</v>
      </c>
      <c r="BA43">
        <v>35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Y43*Source!I126</f>
        <v>8.2655999999999992</v>
      </c>
      <c r="CY43">
        <f>AD43</f>
        <v>0</v>
      </c>
      <c r="CZ43">
        <f>AH43</f>
        <v>0</v>
      </c>
      <c r="DA43">
        <f>AL43</f>
        <v>1</v>
      </c>
      <c r="DB43">
        <f t="shared" si="7"/>
        <v>0</v>
      </c>
      <c r="DC43">
        <f t="shared" si="8"/>
        <v>0</v>
      </c>
    </row>
    <row r="44" spans="1:107">
      <c r="A44">
        <f>ROW(Source!A126)</f>
        <v>126</v>
      </c>
      <c r="B44">
        <v>42225948</v>
      </c>
      <c r="C44">
        <v>42225068</v>
      </c>
      <c r="D44">
        <v>38799022</v>
      </c>
      <c r="E44">
        <v>1</v>
      </c>
      <c r="F44">
        <v>1</v>
      </c>
      <c r="G44">
        <v>27</v>
      </c>
      <c r="H44">
        <v>2</v>
      </c>
      <c r="I44" t="s">
        <v>342</v>
      </c>
      <c r="J44" t="s">
        <v>379</v>
      </c>
      <c r="K44" t="s">
        <v>344</v>
      </c>
      <c r="L44">
        <v>1368</v>
      </c>
      <c r="N44">
        <v>1011</v>
      </c>
      <c r="O44" t="s">
        <v>345</v>
      </c>
      <c r="P44" t="s">
        <v>345</v>
      </c>
      <c r="Q44">
        <v>1</v>
      </c>
      <c r="W44">
        <v>0</v>
      </c>
      <c r="X44">
        <v>-229298672</v>
      </c>
      <c r="Y44">
        <v>0.68</v>
      </c>
      <c r="AA44">
        <v>0</v>
      </c>
      <c r="AB44">
        <v>812.16</v>
      </c>
      <c r="AC44">
        <v>448.48</v>
      </c>
      <c r="AD44">
        <v>0</v>
      </c>
      <c r="AE44">
        <v>0</v>
      </c>
      <c r="AF44">
        <v>812.16</v>
      </c>
      <c r="AG44">
        <v>448.48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0.68</v>
      </c>
      <c r="AU44" t="s">
        <v>3</v>
      </c>
      <c r="AV44">
        <v>0</v>
      </c>
      <c r="AW44">
        <v>2</v>
      </c>
      <c r="AX44">
        <v>42225074</v>
      </c>
      <c r="AY44">
        <v>1</v>
      </c>
      <c r="AZ44">
        <v>0</v>
      </c>
      <c r="BA44">
        <v>36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Y44*Source!I126</f>
        <v>0.16320000000000001</v>
      </c>
      <c r="CY44">
        <f>AB44</f>
        <v>812.16</v>
      </c>
      <c r="CZ44">
        <f>AF44</f>
        <v>812.16</v>
      </c>
      <c r="DA44">
        <f>AJ44</f>
        <v>1</v>
      </c>
      <c r="DB44">
        <f t="shared" si="7"/>
        <v>552.27</v>
      </c>
      <c r="DC44">
        <f t="shared" si="8"/>
        <v>304.97000000000003</v>
      </c>
    </row>
    <row r="45" spans="1:107">
      <c r="A45">
        <f>ROW(Source!A126)</f>
        <v>126</v>
      </c>
      <c r="B45">
        <v>42225948</v>
      </c>
      <c r="C45">
        <v>42225068</v>
      </c>
      <c r="D45">
        <v>38803649</v>
      </c>
      <c r="E45">
        <v>1</v>
      </c>
      <c r="F45">
        <v>1</v>
      </c>
      <c r="G45">
        <v>27</v>
      </c>
      <c r="H45">
        <v>3</v>
      </c>
      <c r="I45" t="s">
        <v>369</v>
      </c>
      <c r="J45" t="s">
        <v>370</v>
      </c>
      <c r="K45" t="s">
        <v>371</v>
      </c>
      <c r="L45">
        <v>1339</v>
      </c>
      <c r="N45">
        <v>1007</v>
      </c>
      <c r="O45" t="s">
        <v>349</v>
      </c>
      <c r="P45" t="s">
        <v>349</v>
      </c>
      <c r="Q45">
        <v>1</v>
      </c>
      <c r="W45">
        <v>0</v>
      </c>
      <c r="X45">
        <v>620872455</v>
      </c>
      <c r="Y45">
        <v>2.1</v>
      </c>
      <c r="AA45">
        <v>810.33</v>
      </c>
      <c r="AB45">
        <v>0</v>
      </c>
      <c r="AC45">
        <v>0</v>
      </c>
      <c r="AD45">
        <v>0</v>
      </c>
      <c r="AE45">
        <v>810.33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2.1</v>
      </c>
      <c r="AU45" t="s">
        <v>3</v>
      </c>
      <c r="AV45">
        <v>0</v>
      </c>
      <c r="AW45">
        <v>2</v>
      </c>
      <c r="AX45">
        <v>42225075</v>
      </c>
      <c r="AY45">
        <v>1</v>
      </c>
      <c r="AZ45">
        <v>0</v>
      </c>
      <c r="BA45">
        <v>37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Y45*Source!I126</f>
        <v>0.504</v>
      </c>
      <c r="CY45">
        <f>AA45</f>
        <v>810.33</v>
      </c>
      <c r="CZ45">
        <f>AE45</f>
        <v>810.33</v>
      </c>
      <c r="DA45">
        <f>AI45</f>
        <v>1</v>
      </c>
      <c r="DB45">
        <f t="shared" si="7"/>
        <v>1701.69</v>
      </c>
      <c r="DC45">
        <f t="shared" si="8"/>
        <v>0</v>
      </c>
    </row>
    <row r="46" spans="1:107">
      <c r="A46">
        <f>ROW(Source!A126)</f>
        <v>126</v>
      </c>
      <c r="B46">
        <v>42225948</v>
      </c>
      <c r="C46">
        <v>42225068</v>
      </c>
      <c r="D46">
        <v>38803640</v>
      </c>
      <c r="E46">
        <v>1</v>
      </c>
      <c r="F46">
        <v>1</v>
      </c>
      <c r="G46">
        <v>27</v>
      </c>
      <c r="H46">
        <v>3</v>
      </c>
      <c r="I46" t="s">
        <v>346</v>
      </c>
      <c r="J46" t="s">
        <v>372</v>
      </c>
      <c r="K46" t="s">
        <v>348</v>
      </c>
      <c r="L46">
        <v>1339</v>
      </c>
      <c r="N46">
        <v>1007</v>
      </c>
      <c r="O46" t="s">
        <v>349</v>
      </c>
      <c r="P46" t="s">
        <v>349</v>
      </c>
      <c r="Q46">
        <v>1</v>
      </c>
      <c r="W46">
        <v>0</v>
      </c>
      <c r="X46">
        <v>-1172857595</v>
      </c>
      <c r="Y46">
        <v>6.2</v>
      </c>
      <c r="AA46">
        <v>753.67</v>
      </c>
      <c r="AB46">
        <v>0</v>
      </c>
      <c r="AC46">
        <v>0</v>
      </c>
      <c r="AD46">
        <v>0</v>
      </c>
      <c r="AE46">
        <v>753.67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6.2</v>
      </c>
      <c r="AU46" t="s">
        <v>3</v>
      </c>
      <c r="AV46">
        <v>0</v>
      </c>
      <c r="AW46">
        <v>2</v>
      </c>
      <c r="AX46">
        <v>42225076</v>
      </c>
      <c r="AY46">
        <v>1</v>
      </c>
      <c r="AZ46">
        <v>0</v>
      </c>
      <c r="BA46">
        <v>38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Y46*Source!I126</f>
        <v>1.488</v>
      </c>
      <c r="CY46">
        <f>AA46</f>
        <v>753.67</v>
      </c>
      <c r="CZ46">
        <f>AE46</f>
        <v>753.67</v>
      </c>
      <c r="DA46">
        <f>AI46</f>
        <v>1</v>
      </c>
      <c r="DB46">
        <f t="shared" si="7"/>
        <v>4672.75</v>
      </c>
      <c r="DC46">
        <f t="shared" si="8"/>
        <v>0</v>
      </c>
    </row>
    <row r="47" spans="1:107">
      <c r="A47">
        <f>ROW(Source!A127)</f>
        <v>127</v>
      </c>
      <c r="B47">
        <v>42225948</v>
      </c>
      <c r="C47">
        <v>42225077</v>
      </c>
      <c r="D47">
        <v>38786840</v>
      </c>
      <c r="E47">
        <v>27</v>
      </c>
      <c r="F47">
        <v>1</v>
      </c>
      <c r="G47">
        <v>27</v>
      </c>
      <c r="H47">
        <v>1</v>
      </c>
      <c r="I47" t="s">
        <v>339</v>
      </c>
      <c r="J47" t="s">
        <v>3</v>
      </c>
      <c r="K47" t="s">
        <v>340</v>
      </c>
      <c r="L47">
        <v>1191</v>
      </c>
      <c r="N47">
        <v>1013</v>
      </c>
      <c r="O47" t="s">
        <v>341</v>
      </c>
      <c r="P47" t="s">
        <v>341</v>
      </c>
      <c r="Q47">
        <v>1</v>
      </c>
      <c r="W47">
        <v>0</v>
      </c>
      <c r="X47">
        <v>476480486</v>
      </c>
      <c r="Y47">
        <v>58.75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58.75</v>
      </c>
      <c r="AU47" t="s">
        <v>3</v>
      </c>
      <c r="AV47">
        <v>1</v>
      </c>
      <c r="AW47">
        <v>2</v>
      </c>
      <c r="AX47">
        <v>42225081</v>
      </c>
      <c r="AY47">
        <v>1</v>
      </c>
      <c r="AZ47">
        <v>0</v>
      </c>
      <c r="BA47">
        <v>39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Y47*Source!I127</f>
        <v>9.4</v>
      </c>
      <c r="CY47">
        <f>AD47</f>
        <v>0</v>
      </c>
      <c r="CZ47">
        <f>AH47</f>
        <v>0</v>
      </c>
      <c r="DA47">
        <f>AL47</f>
        <v>1</v>
      </c>
      <c r="DB47">
        <f t="shared" si="7"/>
        <v>0</v>
      </c>
      <c r="DC47">
        <f t="shared" si="8"/>
        <v>0</v>
      </c>
    </row>
    <row r="48" spans="1:107">
      <c r="A48">
        <f>ROW(Source!A127)</f>
        <v>127</v>
      </c>
      <c r="B48">
        <v>42225948</v>
      </c>
      <c r="C48">
        <v>42225077</v>
      </c>
      <c r="D48">
        <v>38803649</v>
      </c>
      <c r="E48">
        <v>1</v>
      </c>
      <c r="F48">
        <v>1</v>
      </c>
      <c r="G48">
        <v>27</v>
      </c>
      <c r="H48">
        <v>3</v>
      </c>
      <c r="I48" t="s">
        <v>369</v>
      </c>
      <c r="J48" t="s">
        <v>370</v>
      </c>
      <c r="K48" t="s">
        <v>371</v>
      </c>
      <c r="L48">
        <v>1339</v>
      </c>
      <c r="N48">
        <v>1007</v>
      </c>
      <c r="O48" t="s">
        <v>349</v>
      </c>
      <c r="P48" t="s">
        <v>349</v>
      </c>
      <c r="Q48">
        <v>1</v>
      </c>
      <c r="W48">
        <v>0</v>
      </c>
      <c r="X48">
        <v>620872455</v>
      </c>
      <c r="Y48">
        <v>2.1</v>
      </c>
      <c r="AA48">
        <v>810.33</v>
      </c>
      <c r="AB48">
        <v>0</v>
      </c>
      <c r="AC48">
        <v>0</v>
      </c>
      <c r="AD48">
        <v>0</v>
      </c>
      <c r="AE48">
        <v>810.33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2.1</v>
      </c>
      <c r="AU48" t="s">
        <v>3</v>
      </c>
      <c r="AV48">
        <v>0</v>
      </c>
      <c r="AW48">
        <v>2</v>
      </c>
      <c r="AX48">
        <v>42225082</v>
      </c>
      <c r="AY48">
        <v>1</v>
      </c>
      <c r="AZ48">
        <v>0</v>
      </c>
      <c r="BA48">
        <v>40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Y48*Source!I127</f>
        <v>0.33600000000000002</v>
      </c>
      <c r="CY48">
        <f>AA48</f>
        <v>810.33</v>
      </c>
      <c r="CZ48">
        <f>AE48</f>
        <v>810.33</v>
      </c>
      <c r="DA48">
        <f>AI48</f>
        <v>1</v>
      </c>
      <c r="DB48">
        <f t="shared" si="7"/>
        <v>1701.69</v>
      </c>
      <c r="DC48">
        <f t="shared" si="8"/>
        <v>0</v>
      </c>
    </row>
    <row r="49" spans="1:107">
      <c r="A49">
        <f>ROW(Source!A127)</f>
        <v>127</v>
      </c>
      <c r="B49">
        <v>42225948</v>
      </c>
      <c r="C49">
        <v>42225077</v>
      </c>
      <c r="D49">
        <v>38803640</v>
      </c>
      <c r="E49">
        <v>1</v>
      </c>
      <c r="F49">
        <v>1</v>
      </c>
      <c r="G49">
        <v>27</v>
      </c>
      <c r="H49">
        <v>3</v>
      </c>
      <c r="I49" t="s">
        <v>346</v>
      </c>
      <c r="J49" t="s">
        <v>372</v>
      </c>
      <c r="K49" t="s">
        <v>348</v>
      </c>
      <c r="L49">
        <v>1339</v>
      </c>
      <c r="N49">
        <v>1007</v>
      </c>
      <c r="O49" t="s">
        <v>349</v>
      </c>
      <c r="P49" t="s">
        <v>349</v>
      </c>
      <c r="Q49">
        <v>1</v>
      </c>
      <c r="W49">
        <v>0</v>
      </c>
      <c r="X49">
        <v>-1172857595</v>
      </c>
      <c r="Y49">
        <v>6.2</v>
      </c>
      <c r="AA49">
        <v>753.67</v>
      </c>
      <c r="AB49">
        <v>0</v>
      </c>
      <c r="AC49">
        <v>0</v>
      </c>
      <c r="AD49">
        <v>0</v>
      </c>
      <c r="AE49">
        <v>753.67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6.2</v>
      </c>
      <c r="AU49" t="s">
        <v>3</v>
      </c>
      <c r="AV49">
        <v>0</v>
      </c>
      <c r="AW49">
        <v>2</v>
      </c>
      <c r="AX49">
        <v>42225083</v>
      </c>
      <c r="AY49">
        <v>1</v>
      </c>
      <c r="AZ49">
        <v>0</v>
      </c>
      <c r="BA49">
        <v>41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Y49*Source!I127</f>
        <v>0.9920000000000001</v>
      </c>
      <c r="CY49">
        <f>AA49</f>
        <v>753.67</v>
      </c>
      <c r="CZ49">
        <f>AE49</f>
        <v>753.67</v>
      </c>
      <c r="DA49">
        <f>AI49</f>
        <v>1</v>
      </c>
      <c r="DB49">
        <f t="shared" si="7"/>
        <v>4672.75</v>
      </c>
      <c r="DC49">
        <f t="shared" si="8"/>
        <v>0</v>
      </c>
    </row>
    <row r="50" spans="1:107">
      <c r="A50">
        <f>ROW(Source!A128)</f>
        <v>128</v>
      </c>
      <c r="B50">
        <v>42225948</v>
      </c>
      <c r="C50">
        <v>42225084</v>
      </c>
      <c r="D50">
        <v>38799032</v>
      </c>
      <c r="E50">
        <v>1</v>
      </c>
      <c r="F50">
        <v>1</v>
      </c>
      <c r="G50">
        <v>27</v>
      </c>
      <c r="H50">
        <v>2</v>
      </c>
      <c r="I50" t="s">
        <v>373</v>
      </c>
      <c r="J50" t="s">
        <v>374</v>
      </c>
      <c r="K50" t="s">
        <v>375</v>
      </c>
      <c r="L50">
        <v>1368</v>
      </c>
      <c r="N50">
        <v>1011</v>
      </c>
      <c r="O50" t="s">
        <v>345</v>
      </c>
      <c r="P50" t="s">
        <v>345</v>
      </c>
      <c r="Q50">
        <v>1</v>
      </c>
      <c r="W50">
        <v>0</v>
      </c>
      <c r="X50">
        <v>974897901</v>
      </c>
      <c r="Y50">
        <v>0.31</v>
      </c>
      <c r="AA50">
        <v>0</v>
      </c>
      <c r="AB50">
        <v>956.79</v>
      </c>
      <c r="AC50">
        <v>359.44</v>
      </c>
      <c r="AD50">
        <v>0</v>
      </c>
      <c r="AE50">
        <v>0</v>
      </c>
      <c r="AF50">
        <v>956.79</v>
      </c>
      <c r="AG50">
        <v>359.44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0.31</v>
      </c>
      <c r="AU50" t="s">
        <v>3</v>
      </c>
      <c r="AV50">
        <v>0</v>
      </c>
      <c r="AW50">
        <v>2</v>
      </c>
      <c r="AX50">
        <v>42225086</v>
      </c>
      <c r="AY50">
        <v>1</v>
      </c>
      <c r="AZ50">
        <v>0</v>
      </c>
      <c r="BA50">
        <v>42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Y50*Source!I128</f>
        <v>5.2545000000000001E-2</v>
      </c>
      <c r="CY50">
        <f>AB50</f>
        <v>956.79</v>
      </c>
      <c r="CZ50">
        <f>AF50</f>
        <v>956.79</v>
      </c>
      <c r="DA50">
        <f>AJ50</f>
        <v>1</v>
      </c>
      <c r="DB50">
        <f t="shared" si="7"/>
        <v>296.60000000000002</v>
      </c>
      <c r="DC50">
        <f t="shared" si="8"/>
        <v>111.43</v>
      </c>
    </row>
    <row r="51" spans="1:107">
      <c r="A51">
        <f>ROW(Source!A129)</f>
        <v>129</v>
      </c>
      <c r="B51">
        <v>42225948</v>
      </c>
      <c r="C51">
        <v>42225087</v>
      </c>
      <c r="D51">
        <v>38786840</v>
      </c>
      <c r="E51">
        <v>27</v>
      </c>
      <c r="F51">
        <v>1</v>
      </c>
      <c r="G51">
        <v>27</v>
      </c>
      <c r="H51">
        <v>1</v>
      </c>
      <c r="I51" t="s">
        <v>339</v>
      </c>
      <c r="J51" t="s">
        <v>3</v>
      </c>
      <c r="K51" t="s">
        <v>340</v>
      </c>
      <c r="L51">
        <v>1191</v>
      </c>
      <c r="N51">
        <v>1013</v>
      </c>
      <c r="O51" t="s">
        <v>341</v>
      </c>
      <c r="P51" t="s">
        <v>341</v>
      </c>
      <c r="Q51">
        <v>1</v>
      </c>
      <c r="W51">
        <v>0</v>
      </c>
      <c r="X51">
        <v>476480486</v>
      </c>
      <c r="Y51">
        <v>11.73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11.73</v>
      </c>
      <c r="AU51" t="s">
        <v>3</v>
      </c>
      <c r="AV51">
        <v>1</v>
      </c>
      <c r="AW51">
        <v>2</v>
      </c>
      <c r="AX51">
        <v>42225089</v>
      </c>
      <c r="AY51">
        <v>1</v>
      </c>
      <c r="AZ51">
        <v>0</v>
      </c>
      <c r="BA51">
        <v>43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Y51*Source!I129</f>
        <v>0.66274500000000003</v>
      </c>
      <c r="CY51">
        <f>AD51</f>
        <v>0</v>
      </c>
      <c r="CZ51">
        <f>AH51</f>
        <v>0</v>
      </c>
      <c r="DA51">
        <f>AL51</f>
        <v>1</v>
      </c>
      <c r="DB51">
        <f t="shared" si="7"/>
        <v>0</v>
      </c>
      <c r="DC51">
        <f t="shared" si="8"/>
        <v>0</v>
      </c>
    </row>
    <row r="52" spans="1:107">
      <c r="A52">
        <f>ROW(Source!A130)</f>
        <v>130</v>
      </c>
      <c r="B52">
        <v>42225948</v>
      </c>
      <c r="C52">
        <v>42225090</v>
      </c>
      <c r="D52">
        <v>38786840</v>
      </c>
      <c r="E52">
        <v>27</v>
      </c>
      <c r="F52">
        <v>1</v>
      </c>
      <c r="G52">
        <v>27</v>
      </c>
      <c r="H52">
        <v>1</v>
      </c>
      <c r="I52" t="s">
        <v>339</v>
      </c>
      <c r="J52" t="s">
        <v>3</v>
      </c>
      <c r="K52" t="s">
        <v>340</v>
      </c>
      <c r="L52">
        <v>1191</v>
      </c>
      <c r="N52">
        <v>1013</v>
      </c>
      <c r="O52" t="s">
        <v>341</v>
      </c>
      <c r="P52" t="s">
        <v>341</v>
      </c>
      <c r="Q52">
        <v>1</v>
      </c>
      <c r="W52">
        <v>0</v>
      </c>
      <c r="X52">
        <v>476480486</v>
      </c>
      <c r="Y52">
        <v>20.71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20.71</v>
      </c>
      <c r="AU52" t="s">
        <v>3</v>
      </c>
      <c r="AV52">
        <v>1</v>
      </c>
      <c r="AW52">
        <v>2</v>
      </c>
      <c r="AX52">
        <v>42225098</v>
      </c>
      <c r="AY52">
        <v>1</v>
      </c>
      <c r="AZ52">
        <v>0</v>
      </c>
      <c r="BA52">
        <v>44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Y52*Source!I130</f>
        <v>8.2840000000000007</v>
      </c>
      <c r="CY52">
        <f>AD52</f>
        <v>0</v>
      </c>
      <c r="CZ52">
        <f>AH52</f>
        <v>0</v>
      </c>
      <c r="DA52">
        <f>AL52</f>
        <v>1</v>
      </c>
      <c r="DB52">
        <f t="shared" si="7"/>
        <v>0</v>
      </c>
      <c r="DC52">
        <f t="shared" si="8"/>
        <v>0</v>
      </c>
    </row>
    <row r="53" spans="1:107">
      <c r="A53">
        <f>ROW(Source!A130)</f>
        <v>130</v>
      </c>
      <c r="B53">
        <v>42225948</v>
      </c>
      <c r="C53">
        <v>42225090</v>
      </c>
      <c r="D53">
        <v>38799213</v>
      </c>
      <c r="E53">
        <v>1</v>
      </c>
      <c r="F53">
        <v>1</v>
      </c>
      <c r="G53">
        <v>27</v>
      </c>
      <c r="H53">
        <v>2</v>
      </c>
      <c r="I53" t="s">
        <v>376</v>
      </c>
      <c r="J53" t="s">
        <v>377</v>
      </c>
      <c r="K53" t="s">
        <v>378</v>
      </c>
      <c r="L53">
        <v>1368</v>
      </c>
      <c r="N53">
        <v>1011</v>
      </c>
      <c r="O53" t="s">
        <v>345</v>
      </c>
      <c r="P53" t="s">
        <v>345</v>
      </c>
      <c r="Q53">
        <v>1</v>
      </c>
      <c r="W53">
        <v>0</v>
      </c>
      <c r="X53">
        <v>2042885981</v>
      </c>
      <c r="Y53">
        <v>0.76</v>
      </c>
      <c r="AA53">
        <v>0</v>
      </c>
      <c r="AB53">
        <v>2020.59</v>
      </c>
      <c r="AC53">
        <v>458.56</v>
      </c>
      <c r="AD53">
        <v>0</v>
      </c>
      <c r="AE53">
        <v>0</v>
      </c>
      <c r="AF53">
        <v>2020.59</v>
      </c>
      <c r="AG53">
        <v>458.56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0.76</v>
      </c>
      <c r="AU53" t="s">
        <v>3</v>
      </c>
      <c r="AV53">
        <v>0</v>
      </c>
      <c r="AW53">
        <v>2</v>
      </c>
      <c r="AX53">
        <v>42225099</v>
      </c>
      <c r="AY53">
        <v>1</v>
      </c>
      <c r="AZ53">
        <v>0</v>
      </c>
      <c r="BA53">
        <v>45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Y53*Source!I130</f>
        <v>0.30400000000000005</v>
      </c>
      <c r="CY53">
        <f>AB53</f>
        <v>2020.59</v>
      </c>
      <c r="CZ53">
        <f>AF53</f>
        <v>2020.59</v>
      </c>
      <c r="DA53">
        <f>AJ53</f>
        <v>1</v>
      </c>
      <c r="DB53">
        <f t="shared" si="7"/>
        <v>1535.65</v>
      </c>
      <c r="DC53">
        <f t="shared" si="8"/>
        <v>348.51</v>
      </c>
    </row>
    <row r="54" spans="1:107">
      <c r="A54">
        <f>ROW(Source!A130)</f>
        <v>130</v>
      </c>
      <c r="B54">
        <v>42225948</v>
      </c>
      <c r="C54">
        <v>42225090</v>
      </c>
      <c r="D54">
        <v>38801734</v>
      </c>
      <c r="E54">
        <v>1</v>
      </c>
      <c r="F54">
        <v>1</v>
      </c>
      <c r="G54">
        <v>27</v>
      </c>
      <c r="H54">
        <v>3</v>
      </c>
      <c r="I54" t="s">
        <v>380</v>
      </c>
      <c r="J54" t="s">
        <v>381</v>
      </c>
      <c r="K54" t="s">
        <v>382</v>
      </c>
      <c r="L54">
        <v>1327</v>
      </c>
      <c r="N54">
        <v>1005</v>
      </c>
      <c r="O54" t="s">
        <v>302</v>
      </c>
      <c r="P54" t="s">
        <v>302</v>
      </c>
      <c r="Q54">
        <v>1</v>
      </c>
      <c r="W54">
        <v>0</v>
      </c>
      <c r="X54">
        <v>-2047649341</v>
      </c>
      <c r="Y54">
        <v>1.5</v>
      </c>
      <c r="AA54">
        <v>91.89</v>
      </c>
      <c r="AB54">
        <v>0</v>
      </c>
      <c r="AC54">
        <v>0</v>
      </c>
      <c r="AD54">
        <v>0</v>
      </c>
      <c r="AE54">
        <v>91.89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1.5</v>
      </c>
      <c r="AU54" t="s">
        <v>3</v>
      </c>
      <c r="AV54">
        <v>0</v>
      </c>
      <c r="AW54">
        <v>2</v>
      </c>
      <c r="AX54">
        <v>42225100</v>
      </c>
      <c r="AY54">
        <v>1</v>
      </c>
      <c r="AZ54">
        <v>0</v>
      </c>
      <c r="BA54">
        <v>46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Y54*Source!I130</f>
        <v>0.60000000000000009</v>
      </c>
      <c r="CY54">
        <f>AA54</f>
        <v>91.89</v>
      </c>
      <c r="CZ54">
        <f>AE54</f>
        <v>91.89</v>
      </c>
      <c r="DA54">
        <f>AI54</f>
        <v>1</v>
      </c>
      <c r="DB54">
        <f t="shared" si="7"/>
        <v>137.84</v>
      </c>
      <c r="DC54">
        <f t="shared" si="8"/>
        <v>0</v>
      </c>
    </row>
    <row r="55" spans="1:107">
      <c r="A55">
        <f>ROW(Source!A130)</f>
        <v>130</v>
      </c>
      <c r="B55">
        <v>42225948</v>
      </c>
      <c r="C55">
        <v>42225090</v>
      </c>
      <c r="D55">
        <v>38801771</v>
      </c>
      <c r="E55">
        <v>1</v>
      </c>
      <c r="F55">
        <v>1</v>
      </c>
      <c r="G55">
        <v>27</v>
      </c>
      <c r="H55">
        <v>3</v>
      </c>
      <c r="I55" t="s">
        <v>350</v>
      </c>
      <c r="J55" t="s">
        <v>351</v>
      </c>
      <c r="K55" t="s">
        <v>352</v>
      </c>
      <c r="L55">
        <v>1346</v>
      </c>
      <c r="N55">
        <v>1009</v>
      </c>
      <c r="O55" t="s">
        <v>353</v>
      </c>
      <c r="P55" t="s">
        <v>353</v>
      </c>
      <c r="Q55">
        <v>1</v>
      </c>
      <c r="W55">
        <v>0</v>
      </c>
      <c r="X55">
        <v>-2033961190</v>
      </c>
      <c r="Y55">
        <v>0.3</v>
      </c>
      <c r="AA55">
        <v>171.21</v>
      </c>
      <c r="AB55">
        <v>0</v>
      </c>
      <c r="AC55">
        <v>0</v>
      </c>
      <c r="AD55">
        <v>0</v>
      </c>
      <c r="AE55">
        <v>171.21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0.3</v>
      </c>
      <c r="AU55" t="s">
        <v>3</v>
      </c>
      <c r="AV55">
        <v>0</v>
      </c>
      <c r="AW55">
        <v>2</v>
      </c>
      <c r="AX55">
        <v>42225101</v>
      </c>
      <c r="AY55">
        <v>1</v>
      </c>
      <c r="AZ55">
        <v>0</v>
      </c>
      <c r="BA55">
        <v>47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Y55*Source!I130</f>
        <v>0.12</v>
      </c>
      <c r="CY55">
        <f>AA55</f>
        <v>171.21</v>
      </c>
      <c r="CZ55">
        <f>AE55</f>
        <v>171.21</v>
      </c>
      <c r="DA55">
        <f>AI55</f>
        <v>1</v>
      </c>
      <c r="DB55">
        <f t="shared" ref="DB55:DB86" si="12">ROUND(ROUND(AT55*CZ55,2),6)</f>
        <v>51.36</v>
      </c>
      <c r="DC55">
        <f t="shared" ref="DC55:DC86" si="13">ROUND(ROUND(AT55*AG55,2),6)</f>
        <v>0</v>
      </c>
    </row>
    <row r="56" spans="1:107">
      <c r="A56">
        <f>ROW(Source!A130)</f>
        <v>130</v>
      </c>
      <c r="B56">
        <v>42225948</v>
      </c>
      <c r="C56">
        <v>42225090</v>
      </c>
      <c r="D56">
        <v>38801911</v>
      </c>
      <c r="E56">
        <v>1</v>
      </c>
      <c r="F56">
        <v>1</v>
      </c>
      <c r="G56">
        <v>27</v>
      </c>
      <c r="H56">
        <v>3</v>
      </c>
      <c r="I56" t="s">
        <v>354</v>
      </c>
      <c r="J56" t="s">
        <v>355</v>
      </c>
      <c r="K56" t="s">
        <v>356</v>
      </c>
      <c r="L56">
        <v>1339</v>
      </c>
      <c r="N56">
        <v>1007</v>
      </c>
      <c r="O56" t="s">
        <v>349</v>
      </c>
      <c r="P56" t="s">
        <v>349</v>
      </c>
      <c r="Q56">
        <v>1</v>
      </c>
      <c r="W56">
        <v>0</v>
      </c>
      <c r="X56">
        <v>1927597627</v>
      </c>
      <c r="Y56">
        <v>2.6</v>
      </c>
      <c r="AA56">
        <v>35.25</v>
      </c>
      <c r="AB56">
        <v>0</v>
      </c>
      <c r="AC56">
        <v>0</v>
      </c>
      <c r="AD56">
        <v>0</v>
      </c>
      <c r="AE56">
        <v>35.25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2.6</v>
      </c>
      <c r="AU56" t="s">
        <v>3</v>
      </c>
      <c r="AV56">
        <v>0</v>
      </c>
      <c r="AW56">
        <v>2</v>
      </c>
      <c r="AX56">
        <v>42225102</v>
      </c>
      <c r="AY56">
        <v>1</v>
      </c>
      <c r="AZ56">
        <v>0</v>
      </c>
      <c r="BA56">
        <v>48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Y56*Source!I130</f>
        <v>1.04</v>
      </c>
      <c r="CY56">
        <f>AA56</f>
        <v>35.25</v>
      </c>
      <c r="CZ56">
        <f>AE56</f>
        <v>35.25</v>
      </c>
      <c r="DA56">
        <f>AI56</f>
        <v>1</v>
      </c>
      <c r="DB56">
        <f t="shared" si="12"/>
        <v>91.65</v>
      </c>
      <c r="DC56">
        <f t="shared" si="13"/>
        <v>0</v>
      </c>
    </row>
    <row r="57" spans="1:107">
      <c r="A57">
        <f>ROW(Source!A130)</f>
        <v>130</v>
      </c>
      <c r="B57">
        <v>42225948</v>
      </c>
      <c r="C57">
        <v>42225090</v>
      </c>
      <c r="D57">
        <v>38803641</v>
      </c>
      <c r="E57">
        <v>1</v>
      </c>
      <c r="F57">
        <v>1</v>
      </c>
      <c r="G57">
        <v>27</v>
      </c>
      <c r="H57">
        <v>3</v>
      </c>
      <c r="I57" t="s">
        <v>383</v>
      </c>
      <c r="J57" t="s">
        <v>384</v>
      </c>
      <c r="K57" t="s">
        <v>385</v>
      </c>
      <c r="L57">
        <v>1339</v>
      </c>
      <c r="N57">
        <v>1007</v>
      </c>
      <c r="O57" t="s">
        <v>349</v>
      </c>
      <c r="P57" t="s">
        <v>349</v>
      </c>
      <c r="Q57">
        <v>1</v>
      </c>
      <c r="W57">
        <v>0</v>
      </c>
      <c r="X57">
        <v>1048243141</v>
      </c>
      <c r="Y57">
        <v>0.15840000000000001</v>
      </c>
      <c r="AA57">
        <v>3467</v>
      </c>
      <c r="AB57">
        <v>0</v>
      </c>
      <c r="AC57">
        <v>0</v>
      </c>
      <c r="AD57">
        <v>0</v>
      </c>
      <c r="AE57">
        <v>3467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0.15840000000000001</v>
      </c>
      <c r="AU57" t="s">
        <v>3</v>
      </c>
      <c r="AV57">
        <v>0</v>
      </c>
      <c r="AW57">
        <v>2</v>
      </c>
      <c r="AX57">
        <v>42225103</v>
      </c>
      <c r="AY57">
        <v>1</v>
      </c>
      <c r="AZ57">
        <v>0</v>
      </c>
      <c r="BA57">
        <v>49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Y57*Source!I130</f>
        <v>6.3360000000000014E-2</v>
      </c>
      <c r="CY57">
        <f>AA57</f>
        <v>3467</v>
      </c>
      <c r="CZ57">
        <f>AE57</f>
        <v>3467</v>
      </c>
      <c r="DA57">
        <f>AI57</f>
        <v>1</v>
      </c>
      <c r="DB57">
        <f t="shared" si="12"/>
        <v>549.16999999999996</v>
      </c>
      <c r="DC57">
        <f t="shared" si="13"/>
        <v>0</v>
      </c>
    </row>
    <row r="58" spans="1:107">
      <c r="A58">
        <f>ROW(Source!A130)</f>
        <v>130</v>
      </c>
      <c r="B58">
        <v>42225948</v>
      </c>
      <c r="C58">
        <v>42225090</v>
      </c>
      <c r="D58">
        <v>0</v>
      </c>
      <c r="E58">
        <v>0</v>
      </c>
      <c r="F58">
        <v>1</v>
      </c>
      <c r="G58">
        <v>27</v>
      </c>
      <c r="H58">
        <v>3</v>
      </c>
      <c r="I58" t="s">
        <v>57</v>
      </c>
      <c r="J58" t="s">
        <v>3</v>
      </c>
      <c r="K58" t="s">
        <v>175</v>
      </c>
      <c r="L58">
        <v>1354</v>
      </c>
      <c r="N58">
        <v>1010</v>
      </c>
      <c r="O58" t="s">
        <v>51</v>
      </c>
      <c r="P58" t="s">
        <v>51</v>
      </c>
      <c r="Q58">
        <v>1</v>
      </c>
      <c r="W58">
        <v>0</v>
      </c>
      <c r="X58">
        <v>-2025809612</v>
      </c>
      <c r="Y58">
        <v>10</v>
      </c>
      <c r="AA58">
        <v>2833.33</v>
      </c>
      <c r="AB58">
        <v>0</v>
      </c>
      <c r="AC58">
        <v>0</v>
      </c>
      <c r="AD58">
        <v>0</v>
      </c>
      <c r="AE58">
        <v>2833.33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 t="s">
        <v>3</v>
      </c>
      <c r="AT58">
        <v>10</v>
      </c>
      <c r="AU58" t="s">
        <v>3</v>
      </c>
      <c r="AV58">
        <v>0</v>
      </c>
      <c r="AW58">
        <v>1</v>
      </c>
      <c r="AX58">
        <v>-1</v>
      </c>
      <c r="AY58">
        <v>0</v>
      </c>
      <c r="AZ58">
        <v>0</v>
      </c>
      <c r="BA58" t="s">
        <v>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Y58*Source!I130</f>
        <v>4</v>
      </c>
      <c r="CY58">
        <f>AA58</f>
        <v>2833.33</v>
      </c>
      <c r="CZ58">
        <f>AE58</f>
        <v>2833.33</v>
      </c>
      <c r="DA58">
        <f>AI58</f>
        <v>1</v>
      </c>
      <c r="DB58">
        <f t="shared" si="12"/>
        <v>28333.3</v>
      </c>
      <c r="DC58">
        <f t="shared" si="13"/>
        <v>0</v>
      </c>
    </row>
    <row r="59" spans="1:107">
      <c r="A59">
        <f>ROW(Source!A169)</f>
        <v>169</v>
      </c>
      <c r="B59">
        <v>42225948</v>
      </c>
      <c r="C59">
        <v>42225106</v>
      </c>
      <c r="D59">
        <v>38786840</v>
      </c>
      <c r="E59">
        <v>27</v>
      </c>
      <c r="F59">
        <v>1</v>
      </c>
      <c r="G59">
        <v>27</v>
      </c>
      <c r="H59">
        <v>1</v>
      </c>
      <c r="I59" t="s">
        <v>339</v>
      </c>
      <c r="J59" t="s">
        <v>3</v>
      </c>
      <c r="K59" t="s">
        <v>340</v>
      </c>
      <c r="L59">
        <v>1191</v>
      </c>
      <c r="N59">
        <v>1013</v>
      </c>
      <c r="O59" t="s">
        <v>341</v>
      </c>
      <c r="P59" t="s">
        <v>341</v>
      </c>
      <c r="Q59">
        <v>1</v>
      </c>
      <c r="W59">
        <v>0</v>
      </c>
      <c r="X59">
        <v>476480486</v>
      </c>
      <c r="Y59">
        <v>34.44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34.44</v>
      </c>
      <c r="AU59" t="s">
        <v>3</v>
      </c>
      <c r="AV59">
        <v>1</v>
      </c>
      <c r="AW59">
        <v>2</v>
      </c>
      <c r="AX59">
        <v>42225111</v>
      </c>
      <c r="AY59">
        <v>1</v>
      </c>
      <c r="AZ59">
        <v>0</v>
      </c>
      <c r="BA59">
        <v>51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Y59*Source!I169</f>
        <v>8.2655999999999992</v>
      </c>
      <c r="CY59">
        <f>AD59</f>
        <v>0</v>
      </c>
      <c r="CZ59">
        <f>AH59</f>
        <v>0</v>
      </c>
      <c r="DA59">
        <f>AL59</f>
        <v>1</v>
      </c>
      <c r="DB59">
        <f t="shared" si="12"/>
        <v>0</v>
      </c>
      <c r="DC59">
        <f t="shared" si="13"/>
        <v>0</v>
      </c>
    </row>
    <row r="60" spans="1:107">
      <c r="A60">
        <f>ROW(Source!A169)</f>
        <v>169</v>
      </c>
      <c r="B60">
        <v>42225948</v>
      </c>
      <c r="C60">
        <v>42225106</v>
      </c>
      <c r="D60">
        <v>38799022</v>
      </c>
      <c r="E60">
        <v>1</v>
      </c>
      <c r="F60">
        <v>1</v>
      </c>
      <c r="G60">
        <v>27</v>
      </c>
      <c r="H60">
        <v>2</v>
      </c>
      <c r="I60" t="s">
        <v>342</v>
      </c>
      <c r="J60" t="s">
        <v>379</v>
      </c>
      <c r="K60" t="s">
        <v>344</v>
      </c>
      <c r="L60">
        <v>1368</v>
      </c>
      <c r="N60">
        <v>1011</v>
      </c>
      <c r="O60" t="s">
        <v>345</v>
      </c>
      <c r="P60" t="s">
        <v>345</v>
      </c>
      <c r="Q60">
        <v>1</v>
      </c>
      <c r="W60">
        <v>0</v>
      </c>
      <c r="X60">
        <v>-229298672</v>
      </c>
      <c r="Y60">
        <v>0.68</v>
      </c>
      <c r="AA60">
        <v>0</v>
      </c>
      <c r="AB60">
        <v>812.16</v>
      </c>
      <c r="AC60">
        <v>448.48</v>
      </c>
      <c r="AD60">
        <v>0</v>
      </c>
      <c r="AE60">
        <v>0</v>
      </c>
      <c r="AF60">
        <v>812.16</v>
      </c>
      <c r="AG60">
        <v>448.48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0.68</v>
      </c>
      <c r="AU60" t="s">
        <v>3</v>
      </c>
      <c r="AV60">
        <v>0</v>
      </c>
      <c r="AW60">
        <v>2</v>
      </c>
      <c r="AX60">
        <v>42225112</v>
      </c>
      <c r="AY60">
        <v>1</v>
      </c>
      <c r="AZ60">
        <v>0</v>
      </c>
      <c r="BA60">
        <v>52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Y60*Source!I169</f>
        <v>0.16320000000000001</v>
      </c>
      <c r="CY60">
        <f>AB60</f>
        <v>812.16</v>
      </c>
      <c r="CZ60">
        <f>AF60</f>
        <v>812.16</v>
      </c>
      <c r="DA60">
        <f>AJ60</f>
        <v>1</v>
      </c>
      <c r="DB60">
        <f t="shared" si="12"/>
        <v>552.27</v>
      </c>
      <c r="DC60">
        <f t="shared" si="13"/>
        <v>304.97000000000003</v>
      </c>
    </row>
    <row r="61" spans="1:107">
      <c r="A61">
        <f>ROW(Source!A169)</f>
        <v>169</v>
      </c>
      <c r="B61">
        <v>42225948</v>
      </c>
      <c r="C61">
        <v>42225106</v>
      </c>
      <c r="D61">
        <v>38803649</v>
      </c>
      <c r="E61">
        <v>1</v>
      </c>
      <c r="F61">
        <v>1</v>
      </c>
      <c r="G61">
        <v>27</v>
      </c>
      <c r="H61">
        <v>3</v>
      </c>
      <c r="I61" t="s">
        <v>369</v>
      </c>
      <c r="J61" t="s">
        <v>370</v>
      </c>
      <c r="K61" t="s">
        <v>371</v>
      </c>
      <c r="L61">
        <v>1339</v>
      </c>
      <c r="N61">
        <v>1007</v>
      </c>
      <c r="O61" t="s">
        <v>349</v>
      </c>
      <c r="P61" t="s">
        <v>349</v>
      </c>
      <c r="Q61">
        <v>1</v>
      </c>
      <c r="W61">
        <v>0</v>
      </c>
      <c r="X61">
        <v>620872455</v>
      </c>
      <c r="Y61">
        <v>2.1</v>
      </c>
      <c r="AA61">
        <v>810.33</v>
      </c>
      <c r="AB61">
        <v>0</v>
      </c>
      <c r="AC61">
        <v>0</v>
      </c>
      <c r="AD61">
        <v>0</v>
      </c>
      <c r="AE61">
        <v>810.33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2.1</v>
      </c>
      <c r="AU61" t="s">
        <v>3</v>
      </c>
      <c r="AV61">
        <v>0</v>
      </c>
      <c r="AW61">
        <v>2</v>
      </c>
      <c r="AX61">
        <v>42225113</v>
      </c>
      <c r="AY61">
        <v>1</v>
      </c>
      <c r="AZ61">
        <v>0</v>
      </c>
      <c r="BA61">
        <v>53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Y61*Source!I169</f>
        <v>0.504</v>
      </c>
      <c r="CY61">
        <f>AA61</f>
        <v>810.33</v>
      </c>
      <c r="CZ61">
        <f>AE61</f>
        <v>810.33</v>
      </c>
      <c r="DA61">
        <f>AI61</f>
        <v>1</v>
      </c>
      <c r="DB61">
        <f t="shared" si="12"/>
        <v>1701.69</v>
      </c>
      <c r="DC61">
        <f t="shared" si="13"/>
        <v>0</v>
      </c>
    </row>
    <row r="62" spans="1:107">
      <c r="A62">
        <f>ROW(Source!A169)</f>
        <v>169</v>
      </c>
      <c r="B62">
        <v>42225948</v>
      </c>
      <c r="C62">
        <v>42225106</v>
      </c>
      <c r="D62">
        <v>38803640</v>
      </c>
      <c r="E62">
        <v>1</v>
      </c>
      <c r="F62">
        <v>1</v>
      </c>
      <c r="G62">
        <v>27</v>
      </c>
      <c r="H62">
        <v>3</v>
      </c>
      <c r="I62" t="s">
        <v>346</v>
      </c>
      <c r="J62" t="s">
        <v>372</v>
      </c>
      <c r="K62" t="s">
        <v>348</v>
      </c>
      <c r="L62">
        <v>1339</v>
      </c>
      <c r="N62">
        <v>1007</v>
      </c>
      <c r="O62" t="s">
        <v>349</v>
      </c>
      <c r="P62" t="s">
        <v>349</v>
      </c>
      <c r="Q62">
        <v>1</v>
      </c>
      <c r="W62">
        <v>0</v>
      </c>
      <c r="X62">
        <v>-1172857595</v>
      </c>
      <c r="Y62">
        <v>6.2</v>
      </c>
      <c r="AA62">
        <v>753.67</v>
      </c>
      <c r="AB62">
        <v>0</v>
      </c>
      <c r="AC62">
        <v>0</v>
      </c>
      <c r="AD62">
        <v>0</v>
      </c>
      <c r="AE62">
        <v>753.67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 t="s">
        <v>3</v>
      </c>
      <c r="AT62">
        <v>6.2</v>
      </c>
      <c r="AU62" t="s">
        <v>3</v>
      </c>
      <c r="AV62">
        <v>0</v>
      </c>
      <c r="AW62">
        <v>2</v>
      </c>
      <c r="AX62">
        <v>42225114</v>
      </c>
      <c r="AY62">
        <v>1</v>
      </c>
      <c r="AZ62">
        <v>0</v>
      </c>
      <c r="BA62">
        <v>54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Y62*Source!I169</f>
        <v>1.488</v>
      </c>
      <c r="CY62">
        <f>AA62</f>
        <v>753.67</v>
      </c>
      <c r="CZ62">
        <f>AE62</f>
        <v>753.67</v>
      </c>
      <c r="DA62">
        <f>AI62</f>
        <v>1</v>
      </c>
      <c r="DB62">
        <f t="shared" si="12"/>
        <v>4672.75</v>
      </c>
      <c r="DC62">
        <f t="shared" si="13"/>
        <v>0</v>
      </c>
    </row>
    <row r="63" spans="1:107">
      <c r="A63">
        <f>ROW(Source!A170)</f>
        <v>170</v>
      </c>
      <c r="B63">
        <v>42225948</v>
      </c>
      <c r="C63">
        <v>42225115</v>
      </c>
      <c r="D63">
        <v>38786840</v>
      </c>
      <c r="E63">
        <v>27</v>
      </c>
      <c r="F63">
        <v>1</v>
      </c>
      <c r="G63">
        <v>27</v>
      </c>
      <c r="H63">
        <v>1</v>
      </c>
      <c r="I63" t="s">
        <v>339</v>
      </c>
      <c r="J63" t="s">
        <v>3</v>
      </c>
      <c r="K63" t="s">
        <v>340</v>
      </c>
      <c r="L63">
        <v>1191</v>
      </c>
      <c r="N63">
        <v>1013</v>
      </c>
      <c r="O63" t="s">
        <v>341</v>
      </c>
      <c r="P63" t="s">
        <v>341</v>
      </c>
      <c r="Q63">
        <v>1</v>
      </c>
      <c r="W63">
        <v>0</v>
      </c>
      <c r="X63">
        <v>476480486</v>
      </c>
      <c r="Y63">
        <v>58.75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58.75</v>
      </c>
      <c r="AU63" t="s">
        <v>3</v>
      </c>
      <c r="AV63">
        <v>1</v>
      </c>
      <c r="AW63">
        <v>2</v>
      </c>
      <c r="AX63">
        <v>42225119</v>
      </c>
      <c r="AY63">
        <v>1</v>
      </c>
      <c r="AZ63">
        <v>0</v>
      </c>
      <c r="BA63">
        <v>55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Y63*Source!I170</f>
        <v>9.4</v>
      </c>
      <c r="CY63">
        <f>AD63</f>
        <v>0</v>
      </c>
      <c r="CZ63">
        <f>AH63</f>
        <v>0</v>
      </c>
      <c r="DA63">
        <f>AL63</f>
        <v>1</v>
      </c>
      <c r="DB63">
        <f t="shared" si="12"/>
        <v>0</v>
      </c>
      <c r="DC63">
        <f t="shared" si="13"/>
        <v>0</v>
      </c>
    </row>
    <row r="64" spans="1:107">
      <c r="A64">
        <f>ROW(Source!A170)</f>
        <v>170</v>
      </c>
      <c r="B64">
        <v>42225948</v>
      </c>
      <c r="C64">
        <v>42225115</v>
      </c>
      <c r="D64">
        <v>38803649</v>
      </c>
      <c r="E64">
        <v>1</v>
      </c>
      <c r="F64">
        <v>1</v>
      </c>
      <c r="G64">
        <v>27</v>
      </c>
      <c r="H64">
        <v>3</v>
      </c>
      <c r="I64" t="s">
        <v>369</v>
      </c>
      <c r="J64" t="s">
        <v>370</v>
      </c>
      <c r="K64" t="s">
        <v>371</v>
      </c>
      <c r="L64">
        <v>1339</v>
      </c>
      <c r="N64">
        <v>1007</v>
      </c>
      <c r="O64" t="s">
        <v>349</v>
      </c>
      <c r="P64" t="s">
        <v>349</v>
      </c>
      <c r="Q64">
        <v>1</v>
      </c>
      <c r="W64">
        <v>0</v>
      </c>
      <c r="X64">
        <v>620872455</v>
      </c>
      <c r="Y64">
        <v>2.1</v>
      </c>
      <c r="AA64">
        <v>810.33</v>
      </c>
      <c r="AB64">
        <v>0</v>
      </c>
      <c r="AC64">
        <v>0</v>
      </c>
      <c r="AD64">
        <v>0</v>
      </c>
      <c r="AE64">
        <v>810.33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2.1</v>
      </c>
      <c r="AU64" t="s">
        <v>3</v>
      </c>
      <c r="AV64">
        <v>0</v>
      </c>
      <c r="AW64">
        <v>2</v>
      </c>
      <c r="AX64">
        <v>42225120</v>
      </c>
      <c r="AY64">
        <v>1</v>
      </c>
      <c r="AZ64">
        <v>0</v>
      </c>
      <c r="BA64">
        <v>56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Y64*Source!I170</f>
        <v>0.33600000000000002</v>
      </c>
      <c r="CY64">
        <f>AA64</f>
        <v>810.33</v>
      </c>
      <c r="CZ64">
        <f>AE64</f>
        <v>810.33</v>
      </c>
      <c r="DA64">
        <f>AI64</f>
        <v>1</v>
      </c>
      <c r="DB64">
        <f t="shared" si="12"/>
        <v>1701.69</v>
      </c>
      <c r="DC64">
        <f t="shared" si="13"/>
        <v>0</v>
      </c>
    </row>
    <row r="65" spans="1:107">
      <c r="A65">
        <f>ROW(Source!A170)</f>
        <v>170</v>
      </c>
      <c r="B65">
        <v>42225948</v>
      </c>
      <c r="C65">
        <v>42225115</v>
      </c>
      <c r="D65">
        <v>38803640</v>
      </c>
      <c r="E65">
        <v>1</v>
      </c>
      <c r="F65">
        <v>1</v>
      </c>
      <c r="G65">
        <v>27</v>
      </c>
      <c r="H65">
        <v>3</v>
      </c>
      <c r="I65" t="s">
        <v>346</v>
      </c>
      <c r="J65" t="s">
        <v>372</v>
      </c>
      <c r="K65" t="s">
        <v>348</v>
      </c>
      <c r="L65">
        <v>1339</v>
      </c>
      <c r="N65">
        <v>1007</v>
      </c>
      <c r="O65" t="s">
        <v>349</v>
      </c>
      <c r="P65" t="s">
        <v>349</v>
      </c>
      <c r="Q65">
        <v>1</v>
      </c>
      <c r="W65">
        <v>0</v>
      </c>
      <c r="X65">
        <v>-1172857595</v>
      </c>
      <c r="Y65">
        <v>6.2</v>
      </c>
      <c r="AA65">
        <v>753.67</v>
      </c>
      <c r="AB65">
        <v>0</v>
      </c>
      <c r="AC65">
        <v>0</v>
      </c>
      <c r="AD65">
        <v>0</v>
      </c>
      <c r="AE65">
        <v>753.67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6.2</v>
      </c>
      <c r="AU65" t="s">
        <v>3</v>
      </c>
      <c r="AV65">
        <v>0</v>
      </c>
      <c r="AW65">
        <v>2</v>
      </c>
      <c r="AX65">
        <v>42225121</v>
      </c>
      <c r="AY65">
        <v>1</v>
      </c>
      <c r="AZ65">
        <v>0</v>
      </c>
      <c r="BA65">
        <v>57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Y65*Source!I170</f>
        <v>0.9920000000000001</v>
      </c>
      <c r="CY65">
        <f>AA65</f>
        <v>753.67</v>
      </c>
      <c r="CZ65">
        <f>AE65</f>
        <v>753.67</v>
      </c>
      <c r="DA65">
        <f>AI65</f>
        <v>1</v>
      </c>
      <c r="DB65">
        <f t="shared" si="12"/>
        <v>4672.75</v>
      </c>
      <c r="DC65">
        <f t="shared" si="13"/>
        <v>0</v>
      </c>
    </row>
    <row r="66" spans="1:107">
      <c r="A66">
        <f>ROW(Source!A171)</f>
        <v>171</v>
      </c>
      <c r="B66">
        <v>42225948</v>
      </c>
      <c r="C66">
        <v>42225122</v>
      </c>
      <c r="D66">
        <v>38799032</v>
      </c>
      <c r="E66">
        <v>1</v>
      </c>
      <c r="F66">
        <v>1</v>
      </c>
      <c r="G66">
        <v>27</v>
      </c>
      <c r="H66">
        <v>2</v>
      </c>
      <c r="I66" t="s">
        <v>373</v>
      </c>
      <c r="J66" t="s">
        <v>374</v>
      </c>
      <c r="K66" t="s">
        <v>375</v>
      </c>
      <c r="L66">
        <v>1368</v>
      </c>
      <c r="N66">
        <v>1011</v>
      </c>
      <c r="O66" t="s">
        <v>345</v>
      </c>
      <c r="P66" t="s">
        <v>345</v>
      </c>
      <c r="Q66">
        <v>1</v>
      </c>
      <c r="W66">
        <v>0</v>
      </c>
      <c r="X66">
        <v>974897901</v>
      </c>
      <c r="Y66">
        <v>0.31</v>
      </c>
      <c r="AA66">
        <v>0</v>
      </c>
      <c r="AB66">
        <v>956.79</v>
      </c>
      <c r="AC66">
        <v>359.44</v>
      </c>
      <c r="AD66">
        <v>0</v>
      </c>
      <c r="AE66">
        <v>0</v>
      </c>
      <c r="AF66">
        <v>956.79</v>
      </c>
      <c r="AG66">
        <v>359.44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0.31</v>
      </c>
      <c r="AU66" t="s">
        <v>3</v>
      </c>
      <c r="AV66">
        <v>0</v>
      </c>
      <c r="AW66">
        <v>2</v>
      </c>
      <c r="AX66">
        <v>42225124</v>
      </c>
      <c r="AY66">
        <v>1</v>
      </c>
      <c r="AZ66">
        <v>0</v>
      </c>
      <c r="BA66">
        <v>58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Y66*Source!I171</f>
        <v>5.2545000000000001E-2</v>
      </c>
      <c r="CY66">
        <f>AB66</f>
        <v>956.79</v>
      </c>
      <c r="CZ66">
        <f>AF66</f>
        <v>956.79</v>
      </c>
      <c r="DA66">
        <f>AJ66</f>
        <v>1</v>
      </c>
      <c r="DB66">
        <f t="shared" si="12"/>
        <v>296.60000000000002</v>
      </c>
      <c r="DC66">
        <f t="shared" si="13"/>
        <v>111.43</v>
      </c>
    </row>
    <row r="67" spans="1:107">
      <c r="A67">
        <f>ROW(Source!A172)</f>
        <v>172</v>
      </c>
      <c r="B67">
        <v>42225948</v>
      </c>
      <c r="C67">
        <v>42225125</v>
      </c>
      <c r="D67">
        <v>38786840</v>
      </c>
      <c r="E67">
        <v>27</v>
      </c>
      <c r="F67">
        <v>1</v>
      </c>
      <c r="G67">
        <v>27</v>
      </c>
      <c r="H67">
        <v>1</v>
      </c>
      <c r="I67" t="s">
        <v>339</v>
      </c>
      <c r="J67" t="s">
        <v>3</v>
      </c>
      <c r="K67" t="s">
        <v>340</v>
      </c>
      <c r="L67">
        <v>1191</v>
      </c>
      <c r="N67">
        <v>1013</v>
      </c>
      <c r="O67" t="s">
        <v>341</v>
      </c>
      <c r="P67" t="s">
        <v>341</v>
      </c>
      <c r="Q67">
        <v>1</v>
      </c>
      <c r="W67">
        <v>0</v>
      </c>
      <c r="X67">
        <v>476480486</v>
      </c>
      <c r="Y67">
        <v>11.73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11.73</v>
      </c>
      <c r="AU67" t="s">
        <v>3</v>
      </c>
      <c r="AV67">
        <v>1</v>
      </c>
      <c r="AW67">
        <v>2</v>
      </c>
      <c r="AX67">
        <v>42225127</v>
      </c>
      <c r="AY67">
        <v>1</v>
      </c>
      <c r="AZ67">
        <v>0</v>
      </c>
      <c r="BA67">
        <v>59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Y67*Source!I172</f>
        <v>0.66274500000000003</v>
      </c>
      <c r="CY67">
        <f>AD67</f>
        <v>0</v>
      </c>
      <c r="CZ67">
        <f>AH67</f>
        <v>0</v>
      </c>
      <c r="DA67">
        <f>AL67</f>
        <v>1</v>
      </c>
      <c r="DB67">
        <f t="shared" si="12"/>
        <v>0</v>
      </c>
      <c r="DC67">
        <f t="shared" si="13"/>
        <v>0</v>
      </c>
    </row>
    <row r="68" spans="1:107">
      <c r="A68">
        <f>ROW(Source!A173)</f>
        <v>173</v>
      </c>
      <c r="B68">
        <v>42225948</v>
      </c>
      <c r="C68">
        <v>42225128</v>
      </c>
      <c r="D68">
        <v>38786840</v>
      </c>
      <c r="E68">
        <v>27</v>
      </c>
      <c r="F68">
        <v>1</v>
      </c>
      <c r="G68">
        <v>27</v>
      </c>
      <c r="H68">
        <v>1</v>
      </c>
      <c r="I68" t="s">
        <v>339</v>
      </c>
      <c r="J68" t="s">
        <v>3</v>
      </c>
      <c r="K68" t="s">
        <v>340</v>
      </c>
      <c r="L68">
        <v>1191</v>
      </c>
      <c r="N68">
        <v>1013</v>
      </c>
      <c r="O68" t="s">
        <v>341</v>
      </c>
      <c r="P68" t="s">
        <v>341</v>
      </c>
      <c r="Q68">
        <v>1</v>
      </c>
      <c r="W68">
        <v>0</v>
      </c>
      <c r="X68">
        <v>476480486</v>
      </c>
      <c r="Y68">
        <v>20.71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20.71</v>
      </c>
      <c r="AU68" t="s">
        <v>3</v>
      </c>
      <c r="AV68">
        <v>1</v>
      </c>
      <c r="AW68">
        <v>2</v>
      </c>
      <c r="AX68">
        <v>42225137</v>
      </c>
      <c r="AY68">
        <v>1</v>
      </c>
      <c r="AZ68">
        <v>0</v>
      </c>
      <c r="BA68">
        <v>60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Y68*Source!I173</f>
        <v>8.2840000000000007</v>
      </c>
      <c r="CY68">
        <f>AD68</f>
        <v>0</v>
      </c>
      <c r="CZ68">
        <f>AH68</f>
        <v>0</v>
      </c>
      <c r="DA68">
        <f>AL68</f>
        <v>1</v>
      </c>
      <c r="DB68">
        <f t="shared" si="12"/>
        <v>0</v>
      </c>
      <c r="DC68">
        <f t="shared" si="13"/>
        <v>0</v>
      </c>
    </row>
    <row r="69" spans="1:107">
      <c r="A69">
        <f>ROW(Source!A173)</f>
        <v>173</v>
      </c>
      <c r="B69">
        <v>42225948</v>
      </c>
      <c r="C69">
        <v>42225128</v>
      </c>
      <c r="D69">
        <v>38799213</v>
      </c>
      <c r="E69">
        <v>1</v>
      </c>
      <c r="F69">
        <v>1</v>
      </c>
      <c r="G69">
        <v>27</v>
      </c>
      <c r="H69">
        <v>2</v>
      </c>
      <c r="I69" t="s">
        <v>376</v>
      </c>
      <c r="J69" t="s">
        <v>377</v>
      </c>
      <c r="K69" t="s">
        <v>378</v>
      </c>
      <c r="L69">
        <v>1368</v>
      </c>
      <c r="N69">
        <v>1011</v>
      </c>
      <c r="O69" t="s">
        <v>345</v>
      </c>
      <c r="P69" t="s">
        <v>345</v>
      </c>
      <c r="Q69">
        <v>1</v>
      </c>
      <c r="W69">
        <v>0</v>
      </c>
      <c r="X69">
        <v>2042885981</v>
      </c>
      <c r="Y69">
        <v>0.76</v>
      </c>
      <c r="AA69">
        <v>0</v>
      </c>
      <c r="AB69">
        <v>2020.59</v>
      </c>
      <c r="AC69">
        <v>458.56</v>
      </c>
      <c r="AD69">
        <v>0</v>
      </c>
      <c r="AE69">
        <v>0</v>
      </c>
      <c r="AF69">
        <v>2020.59</v>
      </c>
      <c r="AG69">
        <v>458.56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0.76</v>
      </c>
      <c r="AU69" t="s">
        <v>3</v>
      </c>
      <c r="AV69">
        <v>0</v>
      </c>
      <c r="AW69">
        <v>2</v>
      </c>
      <c r="AX69">
        <v>42225138</v>
      </c>
      <c r="AY69">
        <v>1</v>
      </c>
      <c r="AZ69">
        <v>0</v>
      </c>
      <c r="BA69">
        <v>61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Y69*Source!I173</f>
        <v>0.30400000000000005</v>
      </c>
      <c r="CY69">
        <f>AB69</f>
        <v>2020.59</v>
      </c>
      <c r="CZ69">
        <f>AF69</f>
        <v>2020.59</v>
      </c>
      <c r="DA69">
        <f>AJ69</f>
        <v>1</v>
      </c>
      <c r="DB69">
        <f t="shared" si="12"/>
        <v>1535.65</v>
      </c>
      <c r="DC69">
        <f t="shared" si="13"/>
        <v>348.51</v>
      </c>
    </row>
    <row r="70" spans="1:107">
      <c r="A70">
        <f>ROW(Source!A173)</f>
        <v>173</v>
      </c>
      <c r="B70">
        <v>42225948</v>
      </c>
      <c r="C70">
        <v>42225128</v>
      </c>
      <c r="D70">
        <v>38801734</v>
      </c>
      <c r="E70">
        <v>1</v>
      </c>
      <c r="F70">
        <v>1</v>
      </c>
      <c r="G70">
        <v>27</v>
      </c>
      <c r="H70">
        <v>3</v>
      </c>
      <c r="I70" t="s">
        <v>380</v>
      </c>
      <c r="J70" t="s">
        <v>381</v>
      </c>
      <c r="K70" t="s">
        <v>382</v>
      </c>
      <c r="L70">
        <v>1327</v>
      </c>
      <c r="N70">
        <v>1005</v>
      </c>
      <c r="O70" t="s">
        <v>302</v>
      </c>
      <c r="P70" t="s">
        <v>302</v>
      </c>
      <c r="Q70">
        <v>1</v>
      </c>
      <c r="W70">
        <v>0</v>
      </c>
      <c r="X70">
        <v>-2047649341</v>
      </c>
      <c r="Y70">
        <v>1.5</v>
      </c>
      <c r="AA70">
        <v>91.89</v>
      </c>
      <c r="AB70">
        <v>0</v>
      </c>
      <c r="AC70">
        <v>0</v>
      </c>
      <c r="AD70">
        <v>0</v>
      </c>
      <c r="AE70">
        <v>91.89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1.5</v>
      </c>
      <c r="AU70" t="s">
        <v>3</v>
      </c>
      <c r="AV70">
        <v>0</v>
      </c>
      <c r="AW70">
        <v>2</v>
      </c>
      <c r="AX70">
        <v>42225139</v>
      </c>
      <c r="AY70">
        <v>1</v>
      </c>
      <c r="AZ70">
        <v>0</v>
      </c>
      <c r="BA70">
        <v>62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Y70*Source!I173</f>
        <v>0.60000000000000009</v>
      </c>
      <c r="CY70">
        <f t="shared" ref="CY70:CY75" si="14">AA70</f>
        <v>91.89</v>
      </c>
      <c r="CZ70">
        <f t="shared" ref="CZ70:CZ75" si="15">AE70</f>
        <v>91.89</v>
      </c>
      <c r="DA70">
        <f t="shared" ref="DA70:DA75" si="16">AI70</f>
        <v>1</v>
      </c>
      <c r="DB70">
        <f t="shared" si="12"/>
        <v>137.84</v>
      </c>
      <c r="DC70">
        <f t="shared" si="13"/>
        <v>0</v>
      </c>
    </row>
    <row r="71" spans="1:107">
      <c r="A71">
        <f>ROW(Source!A173)</f>
        <v>173</v>
      </c>
      <c r="B71">
        <v>42225948</v>
      </c>
      <c r="C71">
        <v>42225128</v>
      </c>
      <c r="D71">
        <v>38801771</v>
      </c>
      <c r="E71">
        <v>1</v>
      </c>
      <c r="F71">
        <v>1</v>
      </c>
      <c r="G71">
        <v>27</v>
      </c>
      <c r="H71">
        <v>3</v>
      </c>
      <c r="I71" t="s">
        <v>350</v>
      </c>
      <c r="J71" t="s">
        <v>351</v>
      </c>
      <c r="K71" t="s">
        <v>352</v>
      </c>
      <c r="L71">
        <v>1346</v>
      </c>
      <c r="N71">
        <v>1009</v>
      </c>
      <c r="O71" t="s">
        <v>353</v>
      </c>
      <c r="P71" t="s">
        <v>353</v>
      </c>
      <c r="Q71">
        <v>1</v>
      </c>
      <c r="W71">
        <v>0</v>
      </c>
      <c r="X71">
        <v>-2033961190</v>
      </c>
      <c r="Y71">
        <v>0.3</v>
      </c>
      <c r="AA71">
        <v>171.21</v>
      </c>
      <c r="AB71">
        <v>0</v>
      </c>
      <c r="AC71">
        <v>0</v>
      </c>
      <c r="AD71">
        <v>0</v>
      </c>
      <c r="AE71">
        <v>171.21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0.3</v>
      </c>
      <c r="AU71" t="s">
        <v>3</v>
      </c>
      <c r="AV71">
        <v>0</v>
      </c>
      <c r="AW71">
        <v>2</v>
      </c>
      <c r="AX71">
        <v>42225140</v>
      </c>
      <c r="AY71">
        <v>1</v>
      </c>
      <c r="AZ71">
        <v>0</v>
      </c>
      <c r="BA71">
        <v>63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Y71*Source!I173</f>
        <v>0.12</v>
      </c>
      <c r="CY71">
        <f t="shared" si="14"/>
        <v>171.21</v>
      </c>
      <c r="CZ71">
        <f t="shared" si="15"/>
        <v>171.21</v>
      </c>
      <c r="DA71">
        <f t="shared" si="16"/>
        <v>1</v>
      </c>
      <c r="DB71">
        <f t="shared" si="12"/>
        <v>51.36</v>
      </c>
      <c r="DC71">
        <f t="shared" si="13"/>
        <v>0</v>
      </c>
    </row>
    <row r="72" spans="1:107">
      <c r="A72">
        <f>ROW(Source!A173)</f>
        <v>173</v>
      </c>
      <c r="B72">
        <v>42225948</v>
      </c>
      <c r="C72">
        <v>42225128</v>
      </c>
      <c r="D72">
        <v>38801911</v>
      </c>
      <c r="E72">
        <v>1</v>
      </c>
      <c r="F72">
        <v>1</v>
      </c>
      <c r="G72">
        <v>27</v>
      </c>
      <c r="H72">
        <v>3</v>
      </c>
      <c r="I72" t="s">
        <v>354</v>
      </c>
      <c r="J72" t="s">
        <v>355</v>
      </c>
      <c r="K72" t="s">
        <v>356</v>
      </c>
      <c r="L72">
        <v>1339</v>
      </c>
      <c r="N72">
        <v>1007</v>
      </c>
      <c r="O72" t="s">
        <v>349</v>
      </c>
      <c r="P72" t="s">
        <v>349</v>
      </c>
      <c r="Q72">
        <v>1</v>
      </c>
      <c r="W72">
        <v>0</v>
      </c>
      <c r="X72">
        <v>1927597627</v>
      </c>
      <c r="Y72">
        <v>2.6</v>
      </c>
      <c r="AA72">
        <v>35.25</v>
      </c>
      <c r="AB72">
        <v>0</v>
      </c>
      <c r="AC72">
        <v>0</v>
      </c>
      <c r="AD72">
        <v>0</v>
      </c>
      <c r="AE72">
        <v>35.25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2.6</v>
      </c>
      <c r="AU72" t="s">
        <v>3</v>
      </c>
      <c r="AV72">
        <v>0</v>
      </c>
      <c r="AW72">
        <v>2</v>
      </c>
      <c r="AX72">
        <v>42225141</v>
      </c>
      <c r="AY72">
        <v>1</v>
      </c>
      <c r="AZ72">
        <v>0</v>
      </c>
      <c r="BA72">
        <v>64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Y72*Source!I173</f>
        <v>1.04</v>
      </c>
      <c r="CY72">
        <f t="shared" si="14"/>
        <v>35.25</v>
      </c>
      <c r="CZ72">
        <f t="shared" si="15"/>
        <v>35.25</v>
      </c>
      <c r="DA72">
        <f t="shared" si="16"/>
        <v>1</v>
      </c>
      <c r="DB72">
        <f t="shared" si="12"/>
        <v>91.65</v>
      </c>
      <c r="DC72">
        <f t="shared" si="13"/>
        <v>0</v>
      </c>
    </row>
    <row r="73" spans="1:107">
      <c r="A73">
        <f>ROW(Source!A173)</f>
        <v>173</v>
      </c>
      <c r="B73">
        <v>42225948</v>
      </c>
      <c r="C73">
        <v>42225128</v>
      </c>
      <c r="D73">
        <v>38803641</v>
      </c>
      <c r="E73">
        <v>1</v>
      </c>
      <c r="F73">
        <v>1</v>
      </c>
      <c r="G73">
        <v>27</v>
      </c>
      <c r="H73">
        <v>3</v>
      </c>
      <c r="I73" t="s">
        <v>383</v>
      </c>
      <c r="J73" t="s">
        <v>384</v>
      </c>
      <c r="K73" t="s">
        <v>385</v>
      </c>
      <c r="L73">
        <v>1339</v>
      </c>
      <c r="N73">
        <v>1007</v>
      </c>
      <c r="O73" t="s">
        <v>349</v>
      </c>
      <c r="P73" t="s">
        <v>349</v>
      </c>
      <c r="Q73">
        <v>1</v>
      </c>
      <c r="W73">
        <v>0</v>
      </c>
      <c r="X73">
        <v>1048243141</v>
      </c>
      <c r="Y73">
        <v>0.15840000000000001</v>
      </c>
      <c r="AA73">
        <v>3467</v>
      </c>
      <c r="AB73">
        <v>0</v>
      </c>
      <c r="AC73">
        <v>0</v>
      </c>
      <c r="AD73">
        <v>0</v>
      </c>
      <c r="AE73">
        <v>3467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0.15840000000000001</v>
      </c>
      <c r="AU73" t="s">
        <v>3</v>
      </c>
      <c r="AV73">
        <v>0</v>
      </c>
      <c r="AW73">
        <v>2</v>
      </c>
      <c r="AX73">
        <v>42225142</v>
      </c>
      <c r="AY73">
        <v>1</v>
      </c>
      <c r="AZ73">
        <v>0</v>
      </c>
      <c r="BA73">
        <v>65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Y73*Source!I173</f>
        <v>6.3360000000000014E-2</v>
      </c>
      <c r="CY73">
        <f t="shared" si="14"/>
        <v>3467</v>
      </c>
      <c r="CZ73">
        <f t="shared" si="15"/>
        <v>3467</v>
      </c>
      <c r="DA73">
        <f t="shared" si="16"/>
        <v>1</v>
      </c>
      <c r="DB73">
        <f t="shared" si="12"/>
        <v>549.16999999999996</v>
      </c>
      <c r="DC73">
        <f t="shared" si="13"/>
        <v>0</v>
      </c>
    </row>
    <row r="74" spans="1:107">
      <c r="A74">
        <f>ROW(Source!A173)</f>
        <v>173</v>
      </c>
      <c r="B74">
        <v>42225948</v>
      </c>
      <c r="C74">
        <v>42225128</v>
      </c>
      <c r="D74">
        <v>0</v>
      </c>
      <c r="E74">
        <v>27</v>
      </c>
      <c r="F74">
        <v>1</v>
      </c>
      <c r="G74">
        <v>27</v>
      </c>
      <c r="H74">
        <v>3</v>
      </c>
      <c r="I74" t="s">
        <v>183</v>
      </c>
      <c r="J74" t="s">
        <v>3</v>
      </c>
      <c r="K74" t="s">
        <v>184</v>
      </c>
      <c r="L74">
        <v>1354</v>
      </c>
      <c r="N74">
        <v>1010</v>
      </c>
      <c r="O74" t="s">
        <v>51</v>
      </c>
      <c r="P74" t="s">
        <v>51</v>
      </c>
      <c r="Q74">
        <v>1</v>
      </c>
      <c r="W74">
        <v>0</v>
      </c>
      <c r="X74">
        <v>-1116103531</v>
      </c>
      <c r="Y74">
        <v>5</v>
      </c>
      <c r="AA74">
        <v>13809.17</v>
      </c>
      <c r="AB74">
        <v>0</v>
      </c>
      <c r="AC74">
        <v>0</v>
      </c>
      <c r="AD74">
        <v>0</v>
      </c>
      <c r="AE74">
        <v>13809.17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 t="s">
        <v>3</v>
      </c>
      <c r="AT74">
        <v>5</v>
      </c>
      <c r="AU74" t="s">
        <v>3</v>
      </c>
      <c r="AV74">
        <v>0</v>
      </c>
      <c r="AW74">
        <v>1</v>
      </c>
      <c r="AX74">
        <v>-1</v>
      </c>
      <c r="AY74">
        <v>0</v>
      </c>
      <c r="AZ74">
        <v>0</v>
      </c>
      <c r="BA74" t="s">
        <v>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Y74*Source!I173</f>
        <v>2</v>
      </c>
      <c r="CY74">
        <f t="shared" si="14"/>
        <v>13809.17</v>
      </c>
      <c r="CZ74">
        <f t="shared" si="15"/>
        <v>13809.17</v>
      </c>
      <c r="DA74">
        <f t="shared" si="16"/>
        <v>1</v>
      </c>
      <c r="DB74">
        <f t="shared" si="12"/>
        <v>69045.850000000006</v>
      </c>
      <c r="DC74">
        <f t="shared" si="13"/>
        <v>0</v>
      </c>
    </row>
    <row r="75" spans="1:107">
      <c r="A75">
        <f>ROW(Source!A173)</f>
        <v>173</v>
      </c>
      <c r="B75">
        <v>42225948</v>
      </c>
      <c r="C75">
        <v>42225128</v>
      </c>
      <c r="D75">
        <v>0</v>
      </c>
      <c r="E75">
        <v>27</v>
      </c>
      <c r="F75">
        <v>1</v>
      </c>
      <c r="G75">
        <v>27</v>
      </c>
      <c r="H75">
        <v>3</v>
      </c>
      <c r="I75" t="s">
        <v>183</v>
      </c>
      <c r="J75" t="s">
        <v>3</v>
      </c>
      <c r="K75" t="s">
        <v>186</v>
      </c>
      <c r="L75">
        <v>1354</v>
      </c>
      <c r="N75">
        <v>1010</v>
      </c>
      <c r="O75" t="s">
        <v>51</v>
      </c>
      <c r="P75" t="s">
        <v>51</v>
      </c>
      <c r="Q75">
        <v>1</v>
      </c>
      <c r="W75">
        <v>0</v>
      </c>
      <c r="X75">
        <v>-1077476460</v>
      </c>
      <c r="Y75">
        <v>5</v>
      </c>
      <c r="AA75">
        <v>7845.83</v>
      </c>
      <c r="AB75">
        <v>0</v>
      </c>
      <c r="AC75">
        <v>0</v>
      </c>
      <c r="AD75">
        <v>0</v>
      </c>
      <c r="AE75">
        <v>7845.83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 t="s">
        <v>3</v>
      </c>
      <c r="AT75">
        <v>5</v>
      </c>
      <c r="AU75" t="s">
        <v>3</v>
      </c>
      <c r="AV75">
        <v>0</v>
      </c>
      <c r="AW75">
        <v>1</v>
      </c>
      <c r="AX75">
        <v>-1</v>
      </c>
      <c r="AY75">
        <v>0</v>
      </c>
      <c r="AZ75">
        <v>0</v>
      </c>
      <c r="BA75" t="s">
        <v>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Y75*Source!I173</f>
        <v>2</v>
      </c>
      <c r="CY75">
        <f t="shared" si="14"/>
        <v>7845.83</v>
      </c>
      <c r="CZ75">
        <f t="shared" si="15"/>
        <v>7845.83</v>
      </c>
      <c r="DA75">
        <f t="shared" si="16"/>
        <v>1</v>
      </c>
      <c r="DB75">
        <f t="shared" si="12"/>
        <v>39229.15</v>
      </c>
      <c r="DC75">
        <f t="shared" si="13"/>
        <v>0</v>
      </c>
    </row>
    <row r="76" spans="1:107">
      <c r="A76">
        <f>ROW(Source!A176)</f>
        <v>176</v>
      </c>
      <c r="B76">
        <v>42225948</v>
      </c>
      <c r="C76">
        <v>42225146</v>
      </c>
      <c r="D76">
        <v>38786840</v>
      </c>
      <c r="E76">
        <v>27</v>
      </c>
      <c r="F76">
        <v>1</v>
      </c>
      <c r="G76">
        <v>27</v>
      </c>
      <c r="H76">
        <v>1</v>
      </c>
      <c r="I76" t="s">
        <v>339</v>
      </c>
      <c r="J76" t="s">
        <v>3</v>
      </c>
      <c r="K76" t="s">
        <v>340</v>
      </c>
      <c r="L76">
        <v>1191</v>
      </c>
      <c r="N76">
        <v>1013</v>
      </c>
      <c r="O76" t="s">
        <v>341</v>
      </c>
      <c r="P76" t="s">
        <v>341</v>
      </c>
      <c r="Q76">
        <v>1</v>
      </c>
      <c r="W76">
        <v>0</v>
      </c>
      <c r="X76">
        <v>476480486</v>
      </c>
      <c r="Y76">
        <v>21.77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21.77</v>
      </c>
      <c r="AU76" t="s">
        <v>3</v>
      </c>
      <c r="AV76">
        <v>1</v>
      </c>
      <c r="AW76">
        <v>2</v>
      </c>
      <c r="AX76">
        <v>42225150</v>
      </c>
      <c r="AY76">
        <v>1</v>
      </c>
      <c r="AZ76">
        <v>0</v>
      </c>
      <c r="BA76">
        <v>67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Y76*Source!I176</f>
        <v>14.803600000000001</v>
      </c>
      <c r="CY76">
        <f>AD76</f>
        <v>0</v>
      </c>
      <c r="CZ76">
        <f>AH76</f>
        <v>0</v>
      </c>
      <c r="DA76">
        <f>AL76</f>
        <v>1</v>
      </c>
      <c r="DB76">
        <f t="shared" si="12"/>
        <v>0</v>
      </c>
      <c r="DC76">
        <f t="shared" si="13"/>
        <v>0</v>
      </c>
    </row>
    <row r="77" spans="1:107">
      <c r="A77">
        <f>ROW(Source!A176)</f>
        <v>176</v>
      </c>
      <c r="B77">
        <v>42225948</v>
      </c>
      <c r="C77">
        <v>42225146</v>
      </c>
      <c r="D77">
        <v>38803649</v>
      </c>
      <c r="E77">
        <v>1</v>
      </c>
      <c r="F77">
        <v>1</v>
      </c>
      <c r="G77">
        <v>27</v>
      </c>
      <c r="H77">
        <v>3</v>
      </c>
      <c r="I77" t="s">
        <v>369</v>
      </c>
      <c r="J77" t="s">
        <v>370</v>
      </c>
      <c r="K77" t="s">
        <v>371</v>
      </c>
      <c r="L77">
        <v>1339</v>
      </c>
      <c r="N77">
        <v>1007</v>
      </c>
      <c r="O77" t="s">
        <v>349</v>
      </c>
      <c r="P77" t="s">
        <v>349</v>
      </c>
      <c r="Q77">
        <v>1</v>
      </c>
      <c r="W77">
        <v>0</v>
      </c>
      <c r="X77">
        <v>620872455</v>
      </c>
      <c r="Y77">
        <v>1.08</v>
      </c>
      <c r="AA77">
        <v>810.33</v>
      </c>
      <c r="AB77">
        <v>0</v>
      </c>
      <c r="AC77">
        <v>0</v>
      </c>
      <c r="AD77">
        <v>0</v>
      </c>
      <c r="AE77">
        <v>810.33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1.08</v>
      </c>
      <c r="AU77" t="s">
        <v>3</v>
      </c>
      <c r="AV77">
        <v>0</v>
      </c>
      <c r="AW77">
        <v>2</v>
      </c>
      <c r="AX77">
        <v>42225151</v>
      </c>
      <c r="AY77">
        <v>1</v>
      </c>
      <c r="AZ77">
        <v>0</v>
      </c>
      <c r="BA77">
        <v>68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Y77*Source!I176</f>
        <v>0.73440000000000005</v>
      </c>
      <c r="CY77">
        <f>AA77</f>
        <v>810.33</v>
      </c>
      <c r="CZ77">
        <f>AE77</f>
        <v>810.33</v>
      </c>
      <c r="DA77">
        <f>AI77</f>
        <v>1</v>
      </c>
      <c r="DB77">
        <f t="shared" si="12"/>
        <v>875.16</v>
      </c>
      <c r="DC77">
        <f t="shared" si="13"/>
        <v>0</v>
      </c>
    </row>
    <row r="78" spans="1:107">
      <c r="A78">
        <f>ROW(Source!A176)</f>
        <v>176</v>
      </c>
      <c r="B78">
        <v>42225948</v>
      </c>
      <c r="C78">
        <v>42225146</v>
      </c>
      <c r="D78">
        <v>38803640</v>
      </c>
      <c r="E78">
        <v>1</v>
      </c>
      <c r="F78">
        <v>1</v>
      </c>
      <c r="G78">
        <v>27</v>
      </c>
      <c r="H78">
        <v>3</v>
      </c>
      <c r="I78" t="s">
        <v>346</v>
      </c>
      <c r="J78" t="s">
        <v>372</v>
      </c>
      <c r="K78" t="s">
        <v>348</v>
      </c>
      <c r="L78">
        <v>1339</v>
      </c>
      <c r="N78">
        <v>1007</v>
      </c>
      <c r="O78" t="s">
        <v>349</v>
      </c>
      <c r="P78" t="s">
        <v>349</v>
      </c>
      <c r="Q78">
        <v>1</v>
      </c>
      <c r="W78">
        <v>0</v>
      </c>
      <c r="X78">
        <v>-1172857595</v>
      </c>
      <c r="Y78">
        <v>3.23</v>
      </c>
      <c r="AA78">
        <v>753.67</v>
      </c>
      <c r="AB78">
        <v>0</v>
      </c>
      <c r="AC78">
        <v>0</v>
      </c>
      <c r="AD78">
        <v>0</v>
      </c>
      <c r="AE78">
        <v>753.67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3.23</v>
      </c>
      <c r="AU78" t="s">
        <v>3</v>
      </c>
      <c r="AV78">
        <v>0</v>
      </c>
      <c r="AW78">
        <v>2</v>
      </c>
      <c r="AX78">
        <v>42225152</v>
      </c>
      <c r="AY78">
        <v>1</v>
      </c>
      <c r="AZ78">
        <v>0</v>
      </c>
      <c r="BA78">
        <v>69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Y78*Source!I176</f>
        <v>2.1964000000000001</v>
      </c>
      <c r="CY78">
        <f>AA78</f>
        <v>753.67</v>
      </c>
      <c r="CZ78">
        <f>AE78</f>
        <v>753.67</v>
      </c>
      <c r="DA78">
        <f>AI78</f>
        <v>1</v>
      </c>
      <c r="DB78">
        <f t="shared" si="12"/>
        <v>2434.35</v>
      </c>
      <c r="DC78">
        <f t="shared" si="13"/>
        <v>0</v>
      </c>
    </row>
    <row r="79" spans="1:107">
      <c r="A79">
        <f>ROW(Source!A177)</f>
        <v>177</v>
      </c>
      <c r="B79">
        <v>42225948</v>
      </c>
      <c r="C79">
        <v>42225153</v>
      </c>
      <c r="D79">
        <v>38786840</v>
      </c>
      <c r="E79">
        <v>27</v>
      </c>
      <c r="F79">
        <v>1</v>
      </c>
      <c r="G79">
        <v>27</v>
      </c>
      <c r="H79">
        <v>1</v>
      </c>
      <c r="I79" t="s">
        <v>339</v>
      </c>
      <c r="J79" t="s">
        <v>3</v>
      </c>
      <c r="K79" t="s">
        <v>340</v>
      </c>
      <c r="L79">
        <v>1191</v>
      </c>
      <c r="N79">
        <v>1013</v>
      </c>
      <c r="O79" t="s">
        <v>341</v>
      </c>
      <c r="P79" t="s">
        <v>341</v>
      </c>
      <c r="Q79">
        <v>1</v>
      </c>
      <c r="W79">
        <v>0</v>
      </c>
      <c r="X79">
        <v>476480486</v>
      </c>
      <c r="Y79">
        <v>15.52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15.52</v>
      </c>
      <c r="AU79" t="s">
        <v>3</v>
      </c>
      <c r="AV79">
        <v>1</v>
      </c>
      <c r="AW79">
        <v>2</v>
      </c>
      <c r="AX79">
        <v>42225159</v>
      </c>
      <c r="AY79">
        <v>1</v>
      </c>
      <c r="AZ79">
        <v>0</v>
      </c>
      <c r="BA79">
        <v>70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Y79*Source!I177</f>
        <v>15.830399999999999</v>
      </c>
      <c r="CY79">
        <f>AD79</f>
        <v>0</v>
      </c>
      <c r="CZ79">
        <f>AH79</f>
        <v>0</v>
      </c>
      <c r="DA79">
        <f>AL79</f>
        <v>1</v>
      </c>
      <c r="DB79">
        <f t="shared" si="12"/>
        <v>0</v>
      </c>
      <c r="DC79">
        <f t="shared" si="13"/>
        <v>0</v>
      </c>
    </row>
    <row r="80" spans="1:107">
      <c r="A80">
        <f>ROW(Source!A177)</f>
        <v>177</v>
      </c>
      <c r="B80">
        <v>42225948</v>
      </c>
      <c r="C80">
        <v>42225153</v>
      </c>
      <c r="D80">
        <v>38799622</v>
      </c>
      <c r="E80">
        <v>1</v>
      </c>
      <c r="F80">
        <v>1</v>
      </c>
      <c r="G80">
        <v>27</v>
      </c>
      <c r="H80">
        <v>2</v>
      </c>
      <c r="I80" t="s">
        <v>363</v>
      </c>
      <c r="J80" t="s">
        <v>364</v>
      </c>
      <c r="K80" t="s">
        <v>365</v>
      </c>
      <c r="L80">
        <v>1368</v>
      </c>
      <c r="N80">
        <v>1011</v>
      </c>
      <c r="O80" t="s">
        <v>345</v>
      </c>
      <c r="P80" t="s">
        <v>345</v>
      </c>
      <c r="Q80">
        <v>1</v>
      </c>
      <c r="W80">
        <v>0</v>
      </c>
      <c r="X80">
        <v>-582299019</v>
      </c>
      <c r="Y80">
        <v>0.28000000000000003</v>
      </c>
      <c r="AA80">
        <v>0</v>
      </c>
      <c r="AB80">
        <v>27.58</v>
      </c>
      <c r="AC80">
        <v>12.08</v>
      </c>
      <c r="AD80">
        <v>0</v>
      </c>
      <c r="AE80">
        <v>0</v>
      </c>
      <c r="AF80">
        <v>27.58</v>
      </c>
      <c r="AG80">
        <v>12.08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0.28000000000000003</v>
      </c>
      <c r="AU80" t="s">
        <v>3</v>
      </c>
      <c r="AV80">
        <v>0</v>
      </c>
      <c r="AW80">
        <v>2</v>
      </c>
      <c r="AX80">
        <v>42225160</v>
      </c>
      <c r="AY80">
        <v>1</v>
      </c>
      <c r="AZ80">
        <v>0</v>
      </c>
      <c r="BA80">
        <v>71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Y80*Source!I177</f>
        <v>0.28560000000000002</v>
      </c>
      <c r="CY80">
        <f>AB80</f>
        <v>27.58</v>
      </c>
      <c r="CZ80">
        <f>AF80</f>
        <v>27.58</v>
      </c>
      <c r="DA80">
        <f>AJ80</f>
        <v>1</v>
      </c>
      <c r="DB80">
        <f t="shared" si="12"/>
        <v>7.72</v>
      </c>
      <c r="DC80">
        <f t="shared" si="13"/>
        <v>3.38</v>
      </c>
    </row>
    <row r="81" spans="1:107">
      <c r="A81">
        <f>ROW(Source!A177)</f>
        <v>177</v>
      </c>
      <c r="B81">
        <v>42225948</v>
      </c>
      <c r="C81">
        <v>42225153</v>
      </c>
      <c r="D81">
        <v>38799061</v>
      </c>
      <c r="E81">
        <v>1</v>
      </c>
      <c r="F81">
        <v>1</v>
      </c>
      <c r="G81">
        <v>27</v>
      </c>
      <c r="H81">
        <v>2</v>
      </c>
      <c r="I81" t="s">
        <v>366</v>
      </c>
      <c r="J81" t="s">
        <v>367</v>
      </c>
      <c r="K81" t="s">
        <v>368</v>
      </c>
      <c r="L81">
        <v>1368</v>
      </c>
      <c r="N81">
        <v>1011</v>
      </c>
      <c r="O81" t="s">
        <v>345</v>
      </c>
      <c r="P81" t="s">
        <v>345</v>
      </c>
      <c r="Q81">
        <v>1</v>
      </c>
      <c r="W81">
        <v>0</v>
      </c>
      <c r="X81">
        <v>978366829</v>
      </c>
      <c r="Y81">
        <v>0.28000000000000003</v>
      </c>
      <c r="AA81">
        <v>0</v>
      </c>
      <c r="AB81">
        <v>991.89</v>
      </c>
      <c r="AC81">
        <v>360.79</v>
      </c>
      <c r="AD81">
        <v>0</v>
      </c>
      <c r="AE81">
        <v>0</v>
      </c>
      <c r="AF81">
        <v>991.89</v>
      </c>
      <c r="AG81">
        <v>360.79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3</v>
      </c>
      <c r="AT81">
        <v>0.28000000000000003</v>
      </c>
      <c r="AU81" t="s">
        <v>3</v>
      </c>
      <c r="AV81">
        <v>0</v>
      </c>
      <c r="AW81">
        <v>2</v>
      </c>
      <c r="AX81">
        <v>42225161</v>
      </c>
      <c r="AY81">
        <v>1</v>
      </c>
      <c r="AZ81">
        <v>0</v>
      </c>
      <c r="BA81">
        <v>72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Y81*Source!I177</f>
        <v>0.28560000000000002</v>
      </c>
      <c r="CY81">
        <f>AB81</f>
        <v>991.89</v>
      </c>
      <c r="CZ81">
        <f>AF81</f>
        <v>991.89</v>
      </c>
      <c r="DA81">
        <f>AJ81</f>
        <v>1</v>
      </c>
      <c r="DB81">
        <f t="shared" si="12"/>
        <v>277.73</v>
      </c>
      <c r="DC81">
        <f t="shared" si="13"/>
        <v>101.02</v>
      </c>
    </row>
    <row r="82" spans="1:107">
      <c r="A82">
        <f>ROW(Source!A177)</f>
        <v>177</v>
      </c>
      <c r="B82">
        <v>42225948</v>
      </c>
      <c r="C82">
        <v>42225153</v>
      </c>
      <c r="D82">
        <v>38803649</v>
      </c>
      <c r="E82">
        <v>1</v>
      </c>
      <c r="F82">
        <v>1</v>
      </c>
      <c r="G82">
        <v>27</v>
      </c>
      <c r="H82">
        <v>3</v>
      </c>
      <c r="I82" t="s">
        <v>369</v>
      </c>
      <c r="J82" t="s">
        <v>370</v>
      </c>
      <c r="K82" t="s">
        <v>371</v>
      </c>
      <c r="L82">
        <v>1339</v>
      </c>
      <c r="N82">
        <v>1007</v>
      </c>
      <c r="O82" t="s">
        <v>349</v>
      </c>
      <c r="P82" t="s">
        <v>349</v>
      </c>
      <c r="Q82">
        <v>1</v>
      </c>
      <c r="W82">
        <v>0</v>
      </c>
      <c r="X82">
        <v>620872455</v>
      </c>
      <c r="Y82">
        <v>1.08</v>
      </c>
      <c r="AA82">
        <v>810.33</v>
      </c>
      <c r="AB82">
        <v>0</v>
      </c>
      <c r="AC82">
        <v>0</v>
      </c>
      <c r="AD82">
        <v>0</v>
      </c>
      <c r="AE82">
        <v>810.33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1.08</v>
      </c>
      <c r="AU82" t="s">
        <v>3</v>
      </c>
      <c r="AV82">
        <v>0</v>
      </c>
      <c r="AW82">
        <v>2</v>
      </c>
      <c r="AX82">
        <v>42225162</v>
      </c>
      <c r="AY82">
        <v>1</v>
      </c>
      <c r="AZ82">
        <v>0</v>
      </c>
      <c r="BA82">
        <v>73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Y82*Source!I177</f>
        <v>1.1016000000000001</v>
      </c>
      <c r="CY82">
        <f>AA82</f>
        <v>810.33</v>
      </c>
      <c r="CZ82">
        <f>AE82</f>
        <v>810.33</v>
      </c>
      <c r="DA82">
        <f>AI82</f>
        <v>1</v>
      </c>
      <c r="DB82">
        <f t="shared" si="12"/>
        <v>875.16</v>
      </c>
      <c r="DC82">
        <f t="shared" si="13"/>
        <v>0</v>
      </c>
    </row>
    <row r="83" spans="1:107">
      <c r="A83">
        <f>ROW(Source!A177)</f>
        <v>177</v>
      </c>
      <c r="B83">
        <v>42225948</v>
      </c>
      <c r="C83">
        <v>42225153</v>
      </c>
      <c r="D83">
        <v>38803640</v>
      </c>
      <c r="E83">
        <v>1</v>
      </c>
      <c r="F83">
        <v>1</v>
      </c>
      <c r="G83">
        <v>27</v>
      </c>
      <c r="H83">
        <v>3</v>
      </c>
      <c r="I83" t="s">
        <v>346</v>
      </c>
      <c r="J83" t="s">
        <v>372</v>
      </c>
      <c r="K83" t="s">
        <v>348</v>
      </c>
      <c r="L83">
        <v>1339</v>
      </c>
      <c r="N83">
        <v>1007</v>
      </c>
      <c r="O83" t="s">
        <v>349</v>
      </c>
      <c r="P83" t="s">
        <v>349</v>
      </c>
      <c r="Q83">
        <v>1</v>
      </c>
      <c r="W83">
        <v>0</v>
      </c>
      <c r="X83">
        <v>-1172857595</v>
      </c>
      <c r="Y83">
        <v>3.23</v>
      </c>
      <c r="AA83">
        <v>753.67</v>
      </c>
      <c r="AB83">
        <v>0</v>
      </c>
      <c r="AC83">
        <v>0</v>
      </c>
      <c r="AD83">
        <v>0</v>
      </c>
      <c r="AE83">
        <v>753.67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3.23</v>
      </c>
      <c r="AU83" t="s">
        <v>3</v>
      </c>
      <c r="AV83">
        <v>0</v>
      </c>
      <c r="AW83">
        <v>2</v>
      </c>
      <c r="AX83">
        <v>42225163</v>
      </c>
      <c r="AY83">
        <v>1</v>
      </c>
      <c r="AZ83">
        <v>0</v>
      </c>
      <c r="BA83">
        <v>74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Y83*Source!I177</f>
        <v>3.2946</v>
      </c>
      <c r="CY83">
        <f>AA83</f>
        <v>753.67</v>
      </c>
      <c r="CZ83">
        <f>AE83</f>
        <v>753.67</v>
      </c>
      <c r="DA83">
        <f>AI83</f>
        <v>1</v>
      </c>
      <c r="DB83">
        <f t="shared" si="12"/>
        <v>2434.35</v>
      </c>
      <c r="DC83">
        <f t="shared" si="13"/>
        <v>0</v>
      </c>
    </row>
    <row r="84" spans="1:107">
      <c r="A84">
        <f>ROW(Source!A178)</f>
        <v>178</v>
      </c>
      <c r="B84">
        <v>42225948</v>
      </c>
      <c r="C84">
        <v>42225164</v>
      </c>
      <c r="D84">
        <v>38799032</v>
      </c>
      <c r="E84">
        <v>1</v>
      </c>
      <c r="F84">
        <v>1</v>
      </c>
      <c r="G84">
        <v>27</v>
      </c>
      <c r="H84">
        <v>2</v>
      </c>
      <c r="I84" t="s">
        <v>373</v>
      </c>
      <c r="J84" t="s">
        <v>374</v>
      </c>
      <c r="K84" t="s">
        <v>375</v>
      </c>
      <c r="L84">
        <v>1368</v>
      </c>
      <c r="N84">
        <v>1011</v>
      </c>
      <c r="O84" t="s">
        <v>345</v>
      </c>
      <c r="P84" t="s">
        <v>345</v>
      </c>
      <c r="Q84">
        <v>1</v>
      </c>
      <c r="W84">
        <v>0</v>
      </c>
      <c r="X84">
        <v>974897901</v>
      </c>
      <c r="Y84">
        <v>0.31</v>
      </c>
      <c r="AA84">
        <v>0</v>
      </c>
      <c r="AB84">
        <v>956.79</v>
      </c>
      <c r="AC84">
        <v>359.44</v>
      </c>
      <c r="AD84">
        <v>0</v>
      </c>
      <c r="AE84">
        <v>0</v>
      </c>
      <c r="AF84">
        <v>956.79</v>
      </c>
      <c r="AG84">
        <v>359.44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0.31</v>
      </c>
      <c r="AU84" t="s">
        <v>3</v>
      </c>
      <c r="AV84">
        <v>0</v>
      </c>
      <c r="AW84">
        <v>2</v>
      </c>
      <c r="AX84">
        <v>42225166</v>
      </c>
      <c r="AY84">
        <v>1</v>
      </c>
      <c r="AZ84">
        <v>0</v>
      </c>
      <c r="BA84">
        <v>75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Y84*Source!I178</f>
        <v>0.100781</v>
      </c>
      <c r="CY84">
        <f>AB84</f>
        <v>956.79</v>
      </c>
      <c r="CZ84">
        <f>AF84</f>
        <v>956.79</v>
      </c>
      <c r="DA84">
        <f>AJ84</f>
        <v>1</v>
      </c>
      <c r="DB84">
        <f t="shared" si="12"/>
        <v>296.60000000000002</v>
      </c>
      <c r="DC84">
        <f t="shared" si="13"/>
        <v>111.43</v>
      </c>
    </row>
    <row r="85" spans="1:107">
      <c r="A85">
        <f>ROW(Source!A179)</f>
        <v>179</v>
      </c>
      <c r="B85">
        <v>42225948</v>
      </c>
      <c r="C85">
        <v>42225167</v>
      </c>
      <c r="D85">
        <v>38786840</v>
      </c>
      <c r="E85">
        <v>27</v>
      </c>
      <c r="F85">
        <v>1</v>
      </c>
      <c r="G85">
        <v>27</v>
      </c>
      <c r="H85">
        <v>1</v>
      </c>
      <c r="I85" t="s">
        <v>339</v>
      </c>
      <c r="J85" t="s">
        <v>3</v>
      </c>
      <c r="K85" t="s">
        <v>340</v>
      </c>
      <c r="L85">
        <v>1191</v>
      </c>
      <c r="N85">
        <v>1013</v>
      </c>
      <c r="O85" t="s">
        <v>341</v>
      </c>
      <c r="P85" t="s">
        <v>341</v>
      </c>
      <c r="Q85">
        <v>1</v>
      </c>
      <c r="W85">
        <v>0</v>
      </c>
      <c r="X85">
        <v>476480486</v>
      </c>
      <c r="Y85">
        <v>11.73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11.73</v>
      </c>
      <c r="AU85" t="s">
        <v>3</v>
      </c>
      <c r="AV85">
        <v>1</v>
      </c>
      <c r="AW85">
        <v>2</v>
      </c>
      <c r="AX85">
        <v>42225169</v>
      </c>
      <c r="AY85">
        <v>1</v>
      </c>
      <c r="AZ85">
        <v>0</v>
      </c>
      <c r="BA85">
        <v>76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Y85*Source!I179</f>
        <v>1.270359</v>
      </c>
      <c r="CY85">
        <f>AD85</f>
        <v>0</v>
      </c>
      <c r="CZ85">
        <f>AH85</f>
        <v>0</v>
      </c>
      <c r="DA85">
        <f>AL85</f>
        <v>1</v>
      </c>
      <c r="DB85">
        <f t="shared" si="12"/>
        <v>0</v>
      </c>
      <c r="DC85">
        <f t="shared" si="13"/>
        <v>0</v>
      </c>
    </row>
    <row r="86" spans="1:107">
      <c r="A86">
        <f>ROW(Source!A180)</f>
        <v>180</v>
      </c>
      <c r="B86">
        <v>42225948</v>
      </c>
      <c r="C86">
        <v>42225170</v>
      </c>
      <c r="D86">
        <v>38786840</v>
      </c>
      <c r="E86">
        <v>27</v>
      </c>
      <c r="F86">
        <v>1</v>
      </c>
      <c r="G86">
        <v>27</v>
      </c>
      <c r="H86">
        <v>1</v>
      </c>
      <c r="I86" t="s">
        <v>339</v>
      </c>
      <c r="J86" t="s">
        <v>3</v>
      </c>
      <c r="K86" t="s">
        <v>340</v>
      </c>
      <c r="L86">
        <v>1191</v>
      </c>
      <c r="N86">
        <v>1013</v>
      </c>
      <c r="O86" t="s">
        <v>341</v>
      </c>
      <c r="P86" t="s">
        <v>341</v>
      </c>
      <c r="Q86">
        <v>1</v>
      </c>
      <c r="W86">
        <v>0</v>
      </c>
      <c r="X86">
        <v>476480486</v>
      </c>
      <c r="Y86">
        <v>14.42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14.42</v>
      </c>
      <c r="AU86" t="s">
        <v>3</v>
      </c>
      <c r="AV86">
        <v>1</v>
      </c>
      <c r="AW86">
        <v>2</v>
      </c>
      <c r="AX86">
        <v>42225182</v>
      </c>
      <c r="AY86">
        <v>1</v>
      </c>
      <c r="AZ86">
        <v>0</v>
      </c>
      <c r="BA86">
        <v>77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Y86*Source!I180</f>
        <v>24.513999999999999</v>
      </c>
      <c r="CY86">
        <f>AD86</f>
        <v>0</v>
      </c>
      <c r="CZ86">
        <f>AH86</f>
        <v>0</v>
      </c>
      <c r="DA86">
        <f>AL86</f>
        <v>1</v>
      </c>
      <c r="DB86">
        <f t="shared" si="12"/>
        <v>0</v>
      </c>
      <c r="DC86">
        <f t="shared" si="13"/>
        <v>0</v>
      </c>
    </row>
    <row r="87" spans="1:107">
      <c r="A87">
        <f>ROW(Source!A180)</f>
        <v>180</v>
      </c>
      <c r="B87">
        <v>42225948</v>
      </c>
      <c r="C87">
        <v>42225170</v>
      </c>
      <c r="D87">
        <v>38799213</v>
      </c>
      <c r="E87">
        <v>1</v>
      </c>
      <c r="F87">
        <v>1</v>
      </c>
      <c r="G87">
        <v>27</v>
      </c>
      <c r="H87">
        <v>2</v>
      </c>
      <c r="I87" t="s">
        <v>376</v>
      </c>
      <c r="J87" t="s">
        <v>377</v>
      </c>
      <c r="K87" t="s">
        <v>378</v>
      </c>
      <c r="L87">
        <v>1368</v>
      </c>
      <c r="N87">
        <v>1011</v>
      </c>
      <c r="O87" t="s">
        <v>345</v>
      </c>
      <c r="P87" t="s">
        <v>345</v>
      </c>
      <c r="Q87">
        <v>1</v>
      </c>
      <c r="W87">
        <v>0</v>
      </c>
      <c r="X87">
        <v>2042885981</v>
      </c>
      <c r="Y87">
        <v>0.66</v>
      </c>
      <c r="AA87">
        <v>0</v>
      </c>
      <c r="AB87">
        <v>2020.59</v>
      </c>
      <c r="AC87">
        <v>458.56</v>
      </c>
      <c r="AD87">
        <v>0</v>
      </c>
      <c r="AE87">
        <v>0</v>
      </c>
      <c r="AF87">
        <v>2020.59</v>
      </c>
      <c r="AG87">
        <v>458.56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0.66</v>
      </c>
      <c r="AU87" t="s">
        <v>3</v>
      </c>
      <c r="AV87">
        <v>0</v>
      </c>
      <c r="AW87">
        <v>2</v>
      </c>
      <c r="AX87">
        <v>42225183</v>
      </c>
      <c r="AY87">
        <v>1</v>
      </c>
      <c r="AZ87">
        <v>0</v>
      </c>
      <c r="BA87">
        <v>78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Y87*Source!I180</f>
        <v>1.1220000000000001</v>
      </c>
      <c r="CY87">
        <f>AB87</f>
        <v>2020.59</v>
      </c>
      <c r="CZ87">
        <f>AF87</f>
        <v>2020.59</v>
      </c>
      <c r="DA87">
        <f>AJ87</f>
        <v>1</v>
      </c>
      <c r="DB87">
        <f t="shared" ref="DB87:DB98" si="17">ROUND(ROUND(AT87*CZ87,2),6)</f>
        <v>1333.59</v>
      </c>
      <c r="DC87">
        <f t="shared" ref="DC87:DC98" si="18">ROUND(ROUND(AT87*AG87,2),6)</f>
        <v>302.64999999999998</v>
      </c>
    </row>
    <row r="88" spans="1:107">
      <c r="A88">
        <f>ROW(Source!A180)</f>
        <v>180</v>
      </c>
      <c r="B88">
        <v>42225948</v>
      </c>
      <c r="C88">
        <v>42225170</v>
      </c>
      <c r="D88">
        <v>38801734</v>
      </c>
      <c r="E88">
        <v>1</v>
      </c>
      <c r="F88">
        <v>1</v>
      </c>
      <c r="G88">
        <v>27</v>
      </c>
      <c r="H88">
        <v>3</v>
      </c>
      <c r="I88" t="s">
        <v>380</v>
      </c>
      <c r="J88" t="s">
        <v>381</v>
      </c>
      <c r="K88" t="s">
        <v>382</v>
      </c>
      <c r="L88">
        <v>1327</v>
      </c>
      <c r="N88">
        <v>1005</v>
      </c>
      <c r="O88" t="s">
        <v>302</v>
      </c>
      <c r="P88" t="s">
        <v>302</v>
      </c>
      <c r="Q88">
        <v>1</v>
      </c>
      <c r="W88">
        <v>0</v>
      </c>
      <c r="X88">
        <v>-2047649341</v>
      </c>
      <c r="Y88">
        <v>1.5</v>
      </c>
      <c r="AA88">
        <v>91.89</v>
      </c>
      <c r="AB88">
        <v>0</v>
      </c>
      <c r="AC88">
        <v>0</v>
      </c>
      <c r="AD88">
        <v>0</v>
      </c>
      <c r="AE88">
        <v>91.89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1.5</v>
      </c>
      <c r="AU88" t="s">
        <v>3</v>
      </c>
      <c r="AV88">
        <v>0</v>
      </c>
      <c r="AW88">
        <v>2</v>
      </c>
      <c r="AX88">
        <v>42225184</v>
      </c>
      <c r="AY88">
        <v>1</v>
      </c>
      <c r="AZ88">
        <v>0</v>
      </c>
      <c r="BA88">
        <v>79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Y88*Source!I180</f>
        <v>2.5499999999999998</v>
      </c>
      <c r="CY88">
        <f t="shared" ref="CY88:CY96" si="19">AA88</f>
        <v>91.89</v>
      </c>
      <c r="CZ88">
        <f t="shared" ref="CZ88:CZ96" si="20">AE88</f>
        <v>91.89</v>
      </c>
      <c r="DA88">
        <f t="shared" ref="DA88:DA96" si="21">AI88</f>
        <v>1</v>
      </c>
      <c r="DB88">
        <f t="shared" si="17"/>
        <v>137.84</v>
      </c>
      <c r="DC88">
        <f t="shared" si="18"/>
        <v>0</v>
      </c>
    </row>
    <row r="89" spans="1:107">
      <c r="A89">
        <f>ROW(Source!A180)</f>
        <v>180</v>
      </c>
      <c r="B89">
        <v>42225948</v>
      </c>
      <c r="C89">
        <v>42225170</v>
      </c>
      <c r="D89">
        <v>38801771</v>
      </c>
      <c r="E89">
        <v>1</v>
      </c>
      <c r="F89">
        <v>1</v>
      </c>
      <c r="G89">
        <v>27</v>
      </c>
      <c r="H89">
        <v>3</v>
      </c>
      <c r="I89" t="s">
        <v>350</v>
      </c>
      <c r="J89" t="s">
        <v>351</v>
      </c>
      <c r="K89" t="s">
        <v>352</v>
      </c>
      <c r="L89">
        <v>1346</v>
      </c>
      <c r="N89">
        <v>1009</v>
      </c>
      <c r="O89" t="s">
        <v>353</v>
      </c>
      <c r="P89" t="s">
        <v>353</v>
      </c>
      <c r="Q89">
        <v>1</v>
      </c>
      <c r="W89">
        <v>0</v>
      </c>
      <c r="X89">
        <v>-2033961190</v>
      </c>
      <c r="Y89">
        <v>0.3</v>
      </c>
      <c r="AA89">
        <v>171.21</v>
      </c>
      <c r="AB89">
        <v>0</v>
      </c>
      <c r="AC89">
        <v>0</v>
      </c>
      <c r="AD89">
        <v>0</v>
      </c>
      <c r="AE89">
        <v>171.21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0.3</v>
      </c>
      <c r="AU89" t="s">
        <v>3</v>
      </c>
      <c r="AV89">
        <v>0</v>
      </c>
      <c r="AW89">
        <v>2</v>
      </c>
      <c r="AX89">
        <v>42225185</v>
      </c>
      <c r="AY89">
        <v>1</v>
      </c>
      <c r="AZ89">
        <v>0</v>
      </c>
      <c r="BA89">
        <v>80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Y89*Source!I180</f>
        <v>0.51</v>
      </c>
      <c r="CY89">
        <f t="shared" si="19"/>
        <v>171.21</v>
      </c>
      <c r="CZ89">
        <f t="shared" si="20"/>
        <v>171.21</v>
      </c>
      <c r="DA89">
        <f t="shared" si="21"/>
        <v>1</v>
      </c>
      <c r="DB89">
        <f t="shared" si="17"/>
        <v>51.36</v>
      </c>
      <c r="DC89">
        <f t="shared" si="18"/>
        <v>0</v>
      </c>
    </row>
    <row r="90" spans="1:107">
      <c r="A90">
        <f>ROW(Source!A180)</f>
        <v>180</v>
      </c>
      <c r="B90">
        <v>42225948</v>
      </c>
      <c r="C90">
        <v>42225170</v>
      </c>
      <c r="D90">
        <v>38801911</v>
      </c>
      <c r="E90">
        <v>1</v>
      </c>
      <c r="F90">
        <v>1</v>
      </c>
      <c r="G90">
        <v>27</v>
      </c>
      <c r="H90">
        <v>3</v>
      </c>
      <c r="I90" t="s">
        <v>354</v>
      </c>
      <c r="J90" t="s">
        <v>355</v>
      </c>
      <c r="K90" t="s">
        <v>356</v>
      </c>
      <c r="L90">
        <v>1339</v>
      </c>
      <c r="N90">
        <v>1007</v>
      </c>
      <c r="O90" t="s">
        <v>349</v>
      </c>
      <c r="P90" t="s">
        <v>349</v>
      </c>
      <c r="Q90">
        <v>1</v>
      </c>
      <c r="W90">
        <v>0</v>
      </c>
      <c r="X90">
        <v>1927597627</v>
      </c>
      <c r="Y90">
        <v>2.2000000000000002</v>
      </c>
      <c r="AA90">
        <v>35.25</v>
      </c>
      <c r="AB90">
        <v>0</v>
      </c>
      <c r="AC90">
        <v>0</v>
      </c>
      <c r="AD90">
        <v>0</v>
      </c>
      <c r="AE90">
        <v>35.25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2.2000000000000002</v>
      </c>
      <c r="AU90" t="s">
        <v>3</v>
      </c>
      <c r="AV90">
        <v>0</v>
      </c>
      <c r="AW90">
        <v>2</v>
      </c>
      <c r="AX90">
        <v>42225186</v>
      </c>
      <c r="AY90">
        <v>1</v>
      </c>
      <c r="AZ90">
        <v>0</v>
      </c>
      <c r="BA90">
        <v>81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Y90*Source!I180</f>
        <v>3.74</v>
      </c>
      <c r="CY90">
        <f t="shared" si="19"/>
        <v>35.25</v>
      </c>
      <c r="CZ90">
        <f t="shared" si="20"/>
        <v>35.25</v>
      </c>
      <c r="DA90">
        <f t="shared" si="21"/>
        <v>1</v>
      </c>
      <c r="DB90">
        <f t="shared" si="17"/>
        <v>77.55</v>
      </c>
      <c r="DC90">
        <f t="shared" si="18"/>
        <v>0</v>
      </c>
    </row>
    <row r="91" spans="1:107">
      <c r="A91">
        <f>ROW(Source!A180)</f>
        <v>180</v>
      </c>
      <c r="B91">
        <v>42225948</v>
      </c>
      <c r="C91">
        <v>42225170</v>
      </c>
      <c r="D91">
        <v>38803641</v>
      </c>
      <c r="E91">
        <v>1</v>
      </c>
      <c r="F91">
        <v>1</v>
      </c>
      <c r="G91">
        <v>27</v>
      </c>
      <c r="H91">
        <v>3</v>
      </c>
      <c r="I91" t="s">
        <v>383</v>
      </c>
      <c r="J91" t="s">
        <v>384</v>
      </c>
      <c r="K91" t="s">
        <v>385</v>
      </c>
      <c r="L91">
        <v>1339</v>
      </c>
      <c r="N91">
        <v>1007</v>
      </c>
      <c r="O91" t="s">
        <v>349</v>
      </c>
      <c r="P91" t="s">
        <v>349</v>
      </c>
      <c r="Q91">
        <v>1</v>
      </c>
      <c r="W91">
        <v>0</v>
      </c>
      <c r="X91">
        <v>1048243141</v>
      </c>
      <c r="Y91">
        <v>0.15840000000000001</v>
      </c>
      <c r="AA91">
        <v>3467</v>
      </c>
      <c r="AB91">
        <v>0</v>
      </c>
      <c r="AC91">
        <v>0</v>
      </c>
      <c r="AD91">
        <v>0</v>
      </c>
      <c r="AE91">
        <v>3467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0.15840000000000001</v>
      </c>
      <c r="AU91" t="s">
        <v>3</v>
      </c>
      <c r="AV91">
        <v>0</v>
      </c>
      <c r="AW91">
        <v>2</v>
      </c>
      <c r="AX91">
        <v>42225187</v>
      </c>
      <c r="AY91">
        <v>1</v>
      </c>
      <c r="AZ91">
        <v>0</v>
      </c>
      <c r="BA91">
        <v>82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Y91*Source!I180</f>
        <v>0.26928000000000002</v>
      </c>
      <c r="CY91">
        <f t="shared" si="19"/>
        <v>3467</v>
      </c>
      <c r="CZ91">
        <f t="shared" si="20"/>
        <v>3467</v>
      </c>
      <c r="DA91">
        <f t="shared" si="21"/>
        <v>1</v>
      </c>
      <c r="DB91">
        <f t="shared" si="17"/>
        <v>549.16999999999996</v>
      </c>
      <c r="DC91">
        <f t="shared" si="18"/>
        <v>0</v>
      </c>
    </row>
    <row r="92" spans="1:107">
      <c r="A92">
        <f>ROW(Source!A180)</f>
        <v>180</v>
      </c>
      <c r="B92">
        <v>42225948</v>
      </c>
      <c r="C92">
        <v>42225170</v>
      </c>
      <c r="D92">
        <v>0</v>
      </c>
      <c r="E92">
        <v>27</v>
      </c>
      <c r="F92">
        <v>1</v>
      </c>
      <c r="G92">
        <v>27</v>
      </c>
      <c r="H92">
        <v>3</v>
      </c>
      <c r="I92" t="s">
        <v>183</v>
      </c>
      <c r="J92" t="s">
        <v>3</v>
      </c>
      <c r="K92" t="s">
        <v>203</v>
      </c>
      <c r="L92">
        <v>1354</v>
      </c>
      <c r="N92">
        <v>1010</v>
      </c>
      <c r="O92" t="s">
        <v>51</v>
      </c>
      <c r="P92" t="s">
        <v>51</v>
      </c>
      <c r="Q92">
        <v>1</v>
      </c>
      <c r="W92">
        <v>0</v>
      </c>
      <c r="X92">
        <v>1882630652</v>
      </c>
      <c r="Y92">
        <v>0.58823499999999995</v>
      </c>
      <c r="AA92">
        <v>3833.33</v>
      </c>
      <c r="AB92">
        <v>0</v>
      </c>
      <c r="AC92">
        <v>0</v>
      </c>
      <c r="AD92">
        <v>0</v>
      </c>
      <c r="AE92">
        <v>3833.33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 t="s">
        <v>3</v>
      </c>
      <c r="AT92">
        <v>0.58823499999999995</v>
      </c>
      <c r="AU92" t="s">
        <v>3</v>
      </c>
      <c r="AV92">
        <v>0</v>
      </c>
      <c r="AW92">
        <v>1</v>
      </c>
      <c r="AX92">
        <v>-1</v>
      </c>
      <c r="AY92">
        <v>0</v>
      </c>
      <c r="AZ92">
        <v>0</v>
      </c>
      <c r="BA92" t="s">
        <v>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Y92*Source!I180</f>
        <v>0.99999949999999993</v>
      </c>
      <c r="CY92">
        <f t="shared" si="19"/>
        <v>3833.33</v>
      </c>
      <c r="CZ92">
        <f t="shared" si="20"/>
        <v>3833.33</v>
      </c>
      <c r="DA92">
        <f t="shared" si="21"/>
        <v>1</v>
      </c>
      <c r="DB92">
        <f t="shared" si="17"/>
        <v>2254.9</v>
      </c>
      <c r="DC92">
        <f t="shared" si="18"/>
        <v>0</v>
      </c>
    </row>
    <row r="93" spans="1:107">
      <c r="A93">
        <f>ROW(Source!A180)</f>
        <v>180</v>
      </c>
      <c r="B93">
        <v>42225948</v>
      </c>
      <c r="C93">
        <v>42225170</v>
      </c>
      <c r="D93">
        <v>0</v>
      </c>
      <c r="E93">
        <v>27</v>
      </c>
      <c r="F93">
        <v>1</v>
      </c>
      <c r="G93">
        <v>27</v>
      </c>
      <c r="H93">
        <v>3</v>
      </c>
      <c r="I93" t="s">
        <v>183</v>
      </c>
      <c r="J93" t="s">
        <v>3</v>
      </c>
      <c r="K93" t="s">
        <v>205</v>
      </c>
      <c r="L93">
        <v>1354</v>
      </c>
      <c r="N93">
        <v>1010</v>
      </c>
      <c r="O93" t="s">
        <v>51</v>
      </c>
      <c r="P93" t="s">
        <v>51</v>
      </c>
      <c r="Q93">
        <v>1</v>
      </c>
      <c r="W93">
        <v>0</v>
      </c>
      <c r="X93">
        <v>-1583705309</v>
      </c>
      <c r="Y93">
        <v>3.5294120000000002</v>
      </c>
      <c r="AA93">
        <v>2250</v>
      </c>
      <c r="AB93">
        <v>0</v>
      </c>
      <c r="AC93">
        <v>0</v>
      </c>
      <c r="AD93">
        <v>0</v>
      </c>
      <c r="AE93">
        <v>2250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 t="s">
        <v>3</v>
      </c>
      <c r="AT93">
        <v>3.5294120000000002</v>
      </c>
      <c r="AU93" t="s">
        <v>3</v>
      </c>
      <c r="AV93">
        <v>0</v>
      </c>
      <c r="AW93">
        <v>1</v>
      </c>
      <c r="AX93">
        <v>-1</v>
      </c>
      <c r="AY93">
        <v>0</v>
      </c>
      <c r="AZ93">
        <v>0</v>
      </c>
      <c r="BA93" t="s">
        <v>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Y93*Source!I180</f>
        <v>6.0000004000000002</v>
      </c>
      <c r="CY93">
        <f t="shared" si="19"/>
        <v>2250</v>
      </c>
      <c r="CZ93">
        <f t="shared" si="20"/>
        <v>2250</v>
      </c>
      <c r="DA93">
        <f t="shared" si="21"/>
        <v>1</v>
      </c>
      <c r="DB93">
        <f t="shared" si="17"/>
        <v>7941.18</v>
      </c>
      <c r="DC93">
        <f t="shared" si="18"/>
        <v>0</v>
      </c>
    </row>
    <row r="94" spans="1:107">
      <c r="A94">
        <f>ROW(Source!A180)</f>
        <v>180</v>
      </c>
      <c r="B94">
        <v>42225948</v>
      </c>
      <c r="C94">
        <v>42225170</v>
      </c>
      <c r="D94">
        <v>0</v>
      </c>
      <c r="E94">
        <v>27</v>
      </c>
      <c r="F94">
        <v>1</v>
      </c>
      <c r="G94">
        <v>27</v>
      </c>
      <c r="H94">
        <v>3</v>
      </c>
      <c r="I94" t="s">
        <v>183</v>
      </c>
      <c r="J94" t="s">
        <v>3</v>
      </c>
      <c r="K94" t="s">
        <v>207</v>
      </c>
      <c r="L94">
        <v>1354</v>
      </c>
      <c r="N94">
        <v>1010</v>
      </c>
      <c r="O94" t="s">
        <v>51</v>
      </c>
      <c r="P94" t="s">
        <v>51</v>
      </c>
      <c r="Q94">
        <v>1</v>
      </c>
      <c r="W94">
        <v>0</v>
      </c>
      <c r="X94">
        <v>-1872626533</v>
      </c>
      <c r="Y94">
        <v>1.7647060000000001</v>
      </c>
      <c r="AA94">
        <v>4250</v>
      </c>
      <c r="AB94">
        <v>0</v>
      </c>
      <c r="AC94">
        <v>0</v>
      </c>
      <c r="AD94">
        <v>0</v>
      </c>
      <c r="AE94">
        <v>4250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 t="s">
        <v>3</v>
      </c>
      <c r="AT94">
        <v>1.7647060000000001</v>
      </c>
      <c r="AU94" t="s">
        <v>3</v>
      </c>
      <c r="AV94">
        <v>0</v>
      </c>
      <c r="AW94">
        <v>1</v>
      </c>
      <c r="AX94">
        <v>-1</v>
      </c>
      <c r="AY94">
        <v>0</v>
      </c>
      <c r="AZ94">
        <v>0</v>
      </c>
      <c r="BA94" t="s">
        <v>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Y94*Source!I180</f>
        <v>3.0000002000000001</v>
      </c>
      <c r="CY94">
        <f t="shared" si="19"/>
        <v>4250</v>
      </c>
      <c r="CZ94">
        <f t="shared" si="20"/>
        <v>4250</v>
      </c>
      <c r="DA94">
        <f t="shared" si="21"/>
        <v>1</v>
      </c>
      <c r="DB94">
        <f t="shared" si="17"/>
        <v>7500</v>
      </c>
      <c r="DC94">
        <f t="shared" si="18"/>
        <v>0</v>
      </c>
    </row>
    <row r="95" spans="1:107">
      <c r="A95">
        <f>ROW(Source!A180)</f>
        <v>180</v>
      </c>
      <c r="B95">
        <v>42225948</v>
      </c>
      <c r="C95">
        <v>42225170</v>
      </c>
      <c r="D95">
        <v>0</v>
      </c>
      <c r="E95">
        <v>27</v>
      </c>
      <c r="F95">
        <v>1</v>
      </c>
      <c r="G95">
        <v>27</v>
      </c>
      <c r="H95">
        <v>3</v>
      </c>
      <c r="I95" t="s">
        <v>183</v>
      </c>
      <c r="J95" t="s">
        <v>3</v>
      </c>
      <c r="K95" t="s">
        <v>209</v>
      </c>
      <c r="L95">
        <v>1354</v>
      </c>
      <c r="N95">
        <v>1010</v>
      </c>
      <c r="O95" t="s">
        <v>51</v>
      </c>
      <c r="P95" t="s">
        <v>51</v>
      </c>
      <c r="Q95">
        <v>1</v>
      </c>
      <c r="W95">
        <v>0</v>
      </c>
      <c r="X95">
        <v>1312657559</v>
      </c>
      <c r="Y95">
        <v>1.7647060000000001</v>
      </c>
      <c r="AA95">
        <v>3583.33</v>
      </c>
      <c r="AB95">
        <v>0</v>
      </c>
      <c r="AC95">
        <v>0</v>
      </c>
      <c r="AD95">
        <v>0</v>
      </c>
      <c r="AE95">
        <v>3583.33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 t="s">
        <v>3</v>
      </c>
      <c r="AT95">
        <v>1.7647060000000001</v>
      </c>
      <c r="AU95" t="s">
        <v>3</v>
      </c>
      <c r="AV95">
        <v>0</v>
      </c>
      <c r="AW95">
        <v>1</v>
      </c>
      <c r="AX95">
        <v>-1</v>
      </c>
      <c r="AY95">
        <v>0</v>
      </c>
      <c r="AZ95">
        <v>0</v>
      </c>
      <c r="BA95" t="s">
        <v>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Y95*Source!I180</f>
        <v>3.0000002000000001</v>
      </c>
      <c r="CY95">
        <f t="shared" si="19"/>
        <v>3583.33</v>
      </c>
      <c r="CZ95">
        <f t="shared" si="20"/>
        <v>3583.33</v>
      </c>
      <c r="DA95">
        <f t="shared" si="21"/>
        <v>1</v>
      </c>
      <c r="DB95">
        <f t="shared" si="17"/>
        <v>6323.52</v>
      </c>
      <c r="DC95">
        <f t="shared" si="18"/>
        <v>0</v>
      </c>
    </row>
    <row r="96" spans="1:107">
      <c r="A96">
        <f>ROW(Source!A180)</f>
        <v>180</v>
      </c>
      <c r="B96">
        <v>42225948</v>
      </c>
      <c r="C96">
        <v>42225170</v>
      </c>
      <c r="D96">
        <v>0</v>
      </c>
      <c r="E96">
        <v>27</v>
      </c>
      <c r="F96">
        <v>1</v>
      </c>
      <c r="G96">
        <v>27</v>
      </c>
      <c r="H96">
        <v>3</v>
      </c>
      <c r="I96" t="s">
        <v>183</v>
      </c>
      <c r="J96" t="s">
        <v>3</v>
      </c>
      <c r="K96" t="s">
        <v>211</v>
      </c>
      <c r="L96">
        <v>1354</v>
      </c>
      <c r="N96">
        <v>1010</v>
      </c>
      <c r="O96" t="s">
        <v>51</v>
      </c>
      <c r="P96" t="s">
        <v>51</v>
      </c>
      <c r="Q96">
        <v>1</v>
      </c>
      <c r="W96">
        <v>0</v>
      </c>
      <c r="X96">
        <v>576430985</v>
      </c>
      <c r="Y96">
        <v>2.3529409999999999</v>
      </c>
      <c r="AA96">
        <v>3250</v>
      </c>
      <c r="AB96">
        <v>0</v>
      </c>
      <c r="AC96">
        <v>0</v>
      </c>
      <c r="AD96">
        <v>0</v>
      </c>
      <c r="AE96">
        <v>3250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 t="s">
        <v>3</v>
      </c>
      <c r="AT96">
        <v>2.3529409999999999</v>
      </c>
      <c r="AU96" t="s">
        <v>3</v>
      </c>
      <c r="AV96">
        <v>0</v>
      </c>
      <c r="AW96">
        <v>1</v>
      </c>
      <c r="AX96">
        <v>-1</v>
      </c>
      <c r="AY96">
        <v>0</v>
      </c>
      <c r="AZ96">
        <v>0</v>
      </c>
      <c r="BA96" t="s">
        <v>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Y96*Source!I180</f>
        <v>3.9999996999999996</v>
      </c>
      <c r="CY96">
        <f t="shared" si="19"/>
        <v>3250</v>
      </c>
      <c r="CZ96">
        <f t="shared" si="20"/>
        <v>3250</v>
      </c>
      <c r="DA96">
        <f t="shared" si="21"/>
        <v>1</v>
      </c>
      <c r="DB96">
        <f t="shared" si="17"/>
        <v>7647.06</v>
      </c>
      <c r="DC96">
        <f t="shared" si="18"/>
        <v>0</v>
      </c>
    </row>
    <row r="97" spans="1:107">
      <c r="A97">
        <f>ROW(Source!A223)</f>
        <v>223</v>
      </c>
      <c r="B97">
        <v>42225948</v>
      </c>
      <c r="C97">
        <v>42225194</v>
      </c>
      <c r="D97">
        <v>38786840</v>
      </c>
      <c r="E97">
        <v>27</v>
      </c>
      <c r="F97">
        <v>1</v>
      </c>
      <c r="G97">
        <v>27</v>
      </c>
      <c r="H97">
        <v>1</v>
      </c>
      <c r="I97" t="s">
        <v>339</v>
      </c>
      <c r="J97" t="s">
        <v>3</v>
      </c>
      <c r="K97" t="s">
        <v>340</v>
      </c>
      <c r="L97">
        <v>1191</v>
      </c>
      <c r="N97">
        <v>1013</v>
      </c>
      <c r="O97" t="s">
        <v>341</v>
      </c>
      <c r="P97" t="s">
        <v>341</v>
      </c>
      <c r="Q97">
        <v>1</v>
      </c>
      <c r="W97">
        <v>0</v>
      </c>
      <c r="X97">
        <v>476480486</v>
      </c>
      <c r="Y97">
        <v>1.96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1.96</v>
      </c>
      <c r="AU97" t="s">
        <v>3</v>
      </c>
      <c r="AV97">
        <v>1</v>
      </c>
      <c r="AW97">
        <v>2</v>
      </c>
      <c r="AX97">
        <v>42225197</v>
      </c>
      <c r="AY97">
        <v>1</v>
      </c>
      <c r="AZ97">
        <v>0</v>
      </c>
      <c r="BA97">
        <v>84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Y97*Source!I223</f>
        <v>0.68599999999999994</v>
      </c>
      <c r="CY97">
        <f>AD97</f>
        <v>0</v>
      </c>
      <c r="CZ97">
        <f>AH97</f>
        <v>0</v>
      </c>
      <c r="DA97">
        <f>AL97</f>
        <v>1</v>
      </c>
      <c r="DB97">
        <f t="shared" si="17"/>
        <v>0</v>
      </c>
      <c r="DC97">
        <f t="shared" si="18"/>
        <v>0</v>
      </c>
    </row>
    <row r="98" spans="1:107">
      <c r="A98">
        <f>ROW(Source!A223)</f>
        <v>223</v>
      </c>
      <c r="B98">
        <v>42225948</v>
      </c>
      <c r="C98">
        <v>42225194</v>
      </c>
      <c r="D98">
        <v>38803651</v>
      </c>
      <c r="E98">
        <v>1</v>
      </c>
      <c r="F98">
        <v>1</v>
      </c>
      <c r="G98">
        <v>27</v>
      </c>
      <c r="H98">
        <v>3</v>
      </c>
      <c r="I98" t="s">
        <v>386</v>
      </c>
      <c r="J98" t="s">
        <v>387</v>
      </c>
      <c r="K98" t="s">
        <v>388</v>
      </c>
      <c r="L98">
        <v>1346</v>
      </c>
      <c r="N98">
        <v>1009</v>
      </c>
      <c r="O98" t="s">
        <v>353</v>
      </c>
      <c r="P98" t="s">
        <v>353</v>
      </c>
      <c r="Q98">
        <v>1</v>
      </c>
      <c r="W98">
        <v>0</v>
      </c>
      <c r="X98">
        <v>-454677619</v>
      </c>
      <c r="Y98">
        <v>120</v>
      </c>
      <c r="AA98">
        <v>43.69</v>
      </c>
      <c r="AB98">
        <v>0</v>
      </c>
      <c r="AC98">
        <v>0</v>
      </c>
      <c r="AD98">
        <v>0</v>
      </c>
      <c r="AE98">
        <v>43.69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120</v>
      </c>
      <c r="AU98" t="s">
        <v>3</v>
      </c>
      <c r="AV98">
        <v>0</v>
      </c>
      <c r="AW98">
        <v>2</v>
      </c>
      <c r="AX98">
        <v>42225198</v>
      </c>
      <c r="AY98">
        <v>1</v>
      </c>
      <c r="AZ98">
        <v>0</v>
      </c>
      <c r="BA98">
        <v>85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Y98*Source!I223</f>
        <v>42</v>
      </c>
      <c r="CY98">
        <f>AA98</f>
        <v>43.69</v>
      </c>
      <c r="CZ98">
        <f>AE98</f>
        <v>43.69</v>
      </c>
      <c r="DA98">
        <f>AI98</f>
        <v>1</v>
      </c>
      <c r="DB98">
        <f t="shared" si="17"/>
        <v>5242.8</v>
      </c>
      <c r="DC98">
        <f t="shared" si="18"/>
        <v>0</v>
      </c>
    </row>
    <row r="99" spans="1:107">
      <c r="A99">
        <f>ROW(Source!A224)</f>
        <v>224</v>
      </c>
      <c r="B99">
        <v>42225948</v>
      </c>
      <c r="C99">
        <v>42225199</v>
      </c>
      <c r="D99">
        <v>38786840</v>
      </c>
      <c r="E99">
        <v>27</v>
      </c>
      <c r="F99">
        <v>1</v>
      </c>
      <c r="G99">
        <v>27</v>
      </c>
      <c r="H99">
        <v>1</v>
      </c>
      <c r="I99" t="s">
        <v>339</v>
      </c>
      <c r="J99" t="s">
        <v>3</v>
      </c>
      <c r="K99" t="s">
        <v>340</v>
      </c>
      <c r="L99">
        <v>1191</v>
      </c>
      <c r="N99">
        <v>1013</v>
      </c>
      <c r="O99" t="s">
        <v>341</v>
      </c>
      <c r="P99" t="s">
        <v>341</v>
      </c>
      <c r="Q99">
        <v>1</v>
      </c>
      <c r="W99">
        <v>0</v>
      </c>
      <c r="X99">
        <v>476480486</v>
      </c>
      <c r="Y99">
        <v>2.5499999999999998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1</v>
      </c>
      <c r="AQ99">
        <v>0</v>
      </c>
      <c r="AR99">
        <v>0</v>
      </c>
      <c r="AS99" t="s">
        <v>3</v>
      </c>
      <c r="AT99">
        <v>0.85</v>
      </c>
      <c r="AU99" t="s">
        <v>221</v>
      </c>
      <c r="AV99">
        <v>1</v>
      </c>
      <c r="AW99">
        <v>2</v>
      </c>
      <c r="AX99">
        <v>42225202</v>
      </c>
      <c r="AY99">
        <v>1</v>
      </c>
      <c r="AZ99">
        <v>0</v>
      </c>
      <c r="BA99">
        <v>86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Y99*Source!I224</f>
        <v>0.89249999999999985</v>
      </c>
      <c r="CY99">
        <f>AD99</f>
        <v>0</v>
      </c>
      <c r="CZ99">
        <f>AH99</f>
        <v>0</v>
      </c>
      <c r="DA99">
        <f>AL99</f>
        <v>1</v>
      </c>
      <c r="DB99">
        <f>ROUND((ROUND(AT99*CZ99,2)*3),6)</f>
        <v>0</v>
      </c>
      <c r="DC99">
        <f>ROUND((ROUND(AT99*AG99,2)*3),6)</f>
        <v>0</v>
      </c>
    </row>
    <row r="100" spans="1:107">
      <c r="A100">
        <f>ROW(Source!A224)</f>
        <v>224</v>
      </c>
      <c r="B100">
        <v>42225948</v>
      </c>
      <c r="C100">
        <v>42225199</v>
      </c>
      <c r="D100">
        <v>38803651</v>
      </c>
      <c r="E100">
        <v>1</v>
      </c>
      <c r="F100">
        <v>1</v>
      </c>
      <c r="G100">
        <v>27</v>
      </c>
      <c r="H100">
        <v>3</v>
      </c>
      <c r="I100" t="s">
        <v>386</v>
      </c>
      <c r="J100" t="s">
        <v>387</v>
      </c>
      <c r="K100" t="s">
        <v>388</v>
      </c>
      <c r="L100">
        <v>1346</v>
      </c>
      <c r="N100">
        <v>1009</v>
      </c>
      <c r="O100" t="s">
        <v>353</v>
      </c>
      <c r="P100" t="s">
        <v>353</v>
      </c>
      <c r="Q100">
        <v>1</v>
      </c>
      <c r="W100">
        <v>0</v>
      </c>
      <c r="X100">
        <v>-454677619</v>
      </c>
      <c r="Y100">
        <v>180</v>
      </c>
      <c r="AA100">
        <v>43.69</v>
      </c>
      <c r="AB100">
        <v>0</v>
      </c>
      <c r="AC100">
        <v>0</v>
      </c>
      <c r="AD100">
        <v>0</v>
      </c>
      <c r="AE100">
        <v>43.69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1</v>
      </c>
      <c r="AQ100">
        <v>0</v>
      </c>
      <c r="AR100">
        <v>0</v>
      </c>
      <c r="AS100" t="s">
        <v>3</v>
      </c>
      <c r="AT100">
        <v>60</v>
      </c>
      <c r="AU100" t="s">
        <v>221</v>
      </c>
      <c r="AV100">
        <v>0</v>
      </c>
      <c r="AW100">
        <v>2</v>
      </c>
      <c r="AX100">
        <v>42225203</v>
      </c>
      <c r="AY100">
        <v>1</v>
      </c>
      <c r="AZ100">
        <v>0</v>
      </c>
      <c r="BA100">
        <v>87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Y100*Source!I224</f>
        <v>62.999999999999993</v>
      </c>
      <c r="CY100">
        <f>AA100</f>
        <v>43.69</v>
      </c>
      <c r="CZ100">
        <f>AE100</f>
        <v>43.69</v>
      </c>
      <c r="DA100">
        <f>AI100</f>
        <v>1</v>
      </c>
      <c r="DB100">
        <f>ROUND((ROUND(AT100*CZ100,2)*3),6)</f>
        <v>7864.2</v>
      </c>
      <c r="DC100">
        <f>ROUND((ROUND(AT100*AG100,2)*3),6)</f>
        <v>0</v>
      </c>
    </row>
    <row r="101" spans="1:107">
      <c r="A101">
        <f>ROW(Source!A225)</f>
        <v>225</v>
      </c>
      <c r="B101">
        <v>42225948</v>
      </c>
      <c r="C101">
        <v>42225204</v>
      </c>
      <c r="D101">
        <v>38786840</v>
      </c>
      <c r="E101">
        <v>27</v>
      </c>
      <c r="F101">
        <v>1</v>
      </c>
      <c r="G101">
        <v>27</v>
      </c>
      <c r="H101">
        <v>1</v>
      </c>
      <c r="I101" t="s">
        <v>339</v>
      </c>
      <c r="J101" t="s">
        <v>3</v>
      </c>
      <c r="K101" t="s">
        <v>340</v>
      </c>
      <c r="L101">
        <v>1191</v>
      </c>
      <c r="N101">
        <v>1013</v>
      </c>
      <c r="O101" t="s">
        <v>341</v>
      </c>
      <c r="P101" t="s">
        <v>341</v>
      </c>
      <c r="Q101">
        <v>1</v>
      </c>
      <c r="W101">
        <v>0</v>
      </c>
      <c r="X101">
        <v>476480486</v>
      </c>
      <c r="Y101">
        <v>124.37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 t="s">
        <v>3</v>
      </c>
      <c r="AT101">
        <v>124.37</v>
      </c>
      <c r="AU101" t="s">
        <v>3</v>
      </c>
      <c r="AV101">
        <v>1</v>
      </c>
      <c r="AW101">
        <v>2</v>
      </c>
      <c r="AX101">
        <v>42225216</v>
      </c>
      <c r="AY101">
        <v>1</v>
      </c>
      <c r="AZ101">
        <v>0</v>
      </c>
      <c r="BA101">
        <v>88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Y101*Source!I225</f>
        <v>62.185000000000002</v>
      </c>
      <c r="CY101">
        <f>AD101</f>
        <v>0</v>
      </c>
      <c r="CZ101">
        <f>AH101</f>
        <v>0</v>
      </c>
      <c r="DA101">
        <f>AL101</f>
        <v>1</v>
      </c>
      <c r="DB101">
        <f t="shared" ref="DB101:DB132" si="22">ROUND(ROUND(AT101*CZ101,2),6)</f>
        <v>0</v>
      </c>
      <c r="DC101">
        <f t="shared" ref="DC101:DC132" si="23">ROUND(ROUND(AT101*AG101,2),6)</f>
        <v>0</v>
      </c>
    </row>
    <row r="102" spans="1:107">
      <c r="A102">
        <f>ROW(Source!A225)</f>
        <v>225</v>
      </c>
      <c r="B102">
        <v>42225948</v>
      </c>
      <c r="C102">
        <v>42225204</v>
      </c>
      <c r="D102">
        <v>38799817</v>
      </c>
      <c r="E102">
        <v>1</v>
      </c>
      <c r="F102">
        <v>1</v>
      </c>
      <c r="G102">
        <v>27</v>
      </c>
      <c r="H102">
        <v>2</v>
      </c>
      <c r="I102" t="s">
        <v>389</v>
      </c>
      <c r="J102" t="s">
        <v>390</v>
      </c>
      <c r="K102" t="s">
        <v>391</v>
      </c>
      <c r="L102">
        <v>1368</v>
      </c>
      <c r="N102">
        <v>1011</v>
      </c>
      <c r="O102" t="s">
        <v>345</v>
      </c>
      <c r="P102" t="s">
        <v>345</v>
      </c>
      <c r="Q102">
        <v>1</v>
      </c>
      <c r="W102">
        <v>0</v>
      </c>
      <c r="X102">
        <v>1185668136</v>
      </c>
      <c r="Y102">
        <v>1.1000000000000001</v>
      </c>
      <c r="AA102">
        <v>0</v>
      </c>
      <c r="AB102">
        <v>641.88</v>
      </c>
      <c r="AC102">
        <v>413.66</v>
      </c>
      <c r="AD102">
        <v>0</v>
      </c>
      <c r="AE102">
        <v>0</v>
      </c>
      <c r="AF102">
        <v>641.88</v>
      </c>
      <c r="AG102">
        <v>413.66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3</v>
      </c>
      <c r="AT102">
        <v>1.1000000000000001</v>
      </c>
      <c r="AU102" t="s">
        <v>3</v>
      </c>
      <c r="AV102">
        <v>0</v>
      </c>
      <c r="AW102">
        <v>2</v>
      </c>
      <c r="AX102">
        <v>42225217</v>
      </c>
      <c r="AY102">
        <v>1</v>
      </c>
      <c r="AZ102">
        <v>0</v>
      </c>
      <c r="BA102">
        <v>89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Y102*Source!I225</f>
        <v>0.55000000000000004</v>
      </c>
      <c r="CY102">
        <f>AB102</f>
        <v>641.88</v>
      </c>
      <c r="CZ102">
        <f>AF102</f>
        <v>641.88</v>
      </c>
      <c r="DA102">
        <f>AJ102</f>
        <v>1</v>
      </c>
      <c r="DB102">
        <f t="shared" si="22"/>
        <v>706.07</v>
      </c>
      <c r="DC102">
        <f t="shared" si="23"/>
        <v>455.03</v>
      </c>
    </row>
    <row r="103" spans="1:107">
      <c r="A103">
        <f>ROW(Source!A225)</f>
        <v>225</v>
      </c>
      <c r="B103">
        <v>42225948</v>
      </c>
      <c r="C103">
        <v>42225204</v>
      </c>
      <c r="D103">
        <v>38799852</v>
      </c>
      <c r="E103">
        <v>1</v>
      </c>
      <c r="F103">
        <v>1</v>
      </c>
      <c r="G103">
        <v>27</v>
      </c>
      <c r="H103">
        <v>2</v>
      </c>
      <c r="I103" t="s">
        <v>392</v>
      </c>
      <c r="J103" t="s">
        <v>393</v>
      </c>
      <c r="K103" t="s">
        <v>394</v>
      </c>
      <c r="L103">
        <v>1368</v>
      </c>
      <c r="N103">
        <v>1011</v>
      </c>
      <c r="O103" t="s">
        <v>345</v>
      </c>
      <c r="P103" t="s">
        <v>345</v>
      </c>
      <c r="Q103">
        <v>1</v>
      </c>
      <c r="W103">
        <v>0</v>
      </c>
      <c r="X103">
        <v>1867963690</v>
      </c>
      <c r="Y103">
        <v>7.12</v>
      </c>
      <c r="AA103">
        <v>0</v>
      </c>
      <c r="AB103">
        <v>7.97</v>
      </c>
      <c r="AC103">
        <v>1.87</v>
      </c>
      <c r="AD103">
        <v>0</v>
      </c>
      <c r="AE103">
        <v>0</v>
      </c>
      <c r="AF103">
        <v>7.97</v>
      </c>
      <c r="AG103">
        <v>1.87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3</v>
      </c>
      <c r="AT103">
        <v>7.12</v>
      </c>
      <c r="AU103" t="s">
        <v>3</v>
      </c>
      <c r="AV103">
        <v>0</v>
      </c>
      <c r="AW103">
        <v>2</v>
      </c>
      <c r="AX103">
        <v>42225218</v>
      </c>
      <c r="AY103">
        <v>1</v>
      </c>
      <c r="AZ103">
        <v>0</v>
      </c>
      <c r="BA103">
        <v>90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Y103*Source!I225</f>
        <v>3.56</v>
      </c>
      <c r="CY103">
        <f>AB103</f>
        <v>7.97</v>
      </c>
      <c r="CZ103">
        <f>AF103</f>
        <v>7.97</v>
      </c>
      <c r="DA103">
        <f>AJ103</f>
        <v>1</v>
      </c>
      <c r="DB103">
        <f t="shared" si="22"/>
        <v>56.75</v>
      </c>
      <c r="DC103">
        <f t="shared" si="23"/>
        <v>13.31</v>
      </c>
    </row>
    <row r="104" spans="1:107">
      <c r="A104">
        <f>ROW(Source!A225)</f>
        <v>225</v>
      </c>
      <c r="B104">
        <v>42225948</v>
      </c>
      <c r="C104">
        <v>42225204</v>
      </c>
      <c r="D104">
        <v>38800826</v>
      </c>
      <c r="E104">
        <v>1</v>
      </c>
      <c r="F104">
        <v>1</v>
      </c>
      <c r="G104">
        <v>27</v>
      </c>
      <c r="H104">
        <v>3</v>
      </c>
      <c r="I104" t="s">
        <v>395</v>
      </c>
      <c r="J104" t="s">
        <v>396</v>
      </c>
      <c r="K104" t="s">
        <v>397</v>
      </c>
      <c r="L104">
        <v>1348</v>
      </c>
      <c r="N104">
        <v>1009</v>
      </c>
      <c r="O104" t="s">
        <v>281</v>
      </c>
      <c r="P104" t="s">
        <v>281</v>
      </c>
      <c r="Q104">
        <v>1000</v>
      </c>
      <c r="W104">
        <v>0</v>
      </c>
      <c r="X104">
        <v>1130308456</v>
      </c>
      <c r="Y104">
        <v>0.11</v>
      </c>
      <c r="AA104">
        <v>53313.54</v>
      </c>
      <c r="AB104">
        <v>0</v>
      </c>
      <c r="AC104">
        <v>0</v>
      </c>
      <c r="AD104">
        <v>0</v>
      </c>
      <c r="AE104">
        <v>53313.54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0.11</v>
      </c>
      <c r="AU104" t="s">
        <v>3</v>
      </c>
      <c r="AV104">
        <v>0</v>
      </c>
      <c r="AW104">
        <v>2</v>
      </c>
      <c r="AX104">
        <v>42225219</v>
      </c>
      <c r="AY104">
        <v>1</v>
      </c>
      <c r="AZ104">
        <v>0</v>
      </c>
      <c r="BA104">
        <v>91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Y104*Source!I225</f>
        <v>5.5E-2</v>
      </c>
      <c r="CY104">
        <f t="shared" ref="CY104:CY111" si="24">AA104</f>
        <v>53313.54</v>
      </c>
      <c r="CZ104">
        <f t="shared" ref="CZ104:CZ111" si="25">AE104</f>
        <v>53313.54</v>
      </c>
      <c r="DA104">
        <f t="shared" ref="DA104:DA111" si="26">AI104</f>
        <v>1</v>
      </c>
      <c r="DB104">
        <f t="shared" si="22"/>
        <v>5864.49</v>
      </c>
      <c r="DC104">
        <f t="shared" si="23"/>
        <v>0</v>
      </c>
    </row>
    <row r="105" spans="1:107">
      <c r="A105">
        <f>ROW(Source!A225)</f>
        <v>225</v>
      </c>
      <c r="B105">
        <v>42225948</v>
      </c>
      <c r="C105">
        <v>42225204</v>
      </c>
      <c r="D105">
        <v>38801166</v>
      </c>
      <c r="E105">
        <v>1</v>
      </c>
      <c r="F105">
        <v>1</v>
      </c>
      <c r="G105">
        <v>27</v>
      </c>
      <c r="H105">
        <v>3</v>
      </c>
      <c r="I105" t="s">
        <v>398</v>
      </c>
      <c r="J105" t="s">
        <v>399</v>
      </c>
      <c r="K105" t="s">
        <v>400</v>
      </c>
      <c r="L105">
        <v>1339</v>
      </c>
      <c r="N105">
        <v>1007</v>
      </c>
      <c r="O105" t="s">
        <v>349</v>
      </c>
      <c r="P105" t="s">
        <v>349</v>
      </c>
      <c r="Q105">
        <v>1</v>
      </c>
      <c r="W105">
        <v>0</v>
      </c>
      <c r="X105">
        <v>909340900</v>
      </c>
      <c r="Y105">
        <v>3.4</v>
      </c>
      <c r="AA105">
        <v>590.78</v>
      </c>
      <c r="AB105">
        <v>0</v>
      </c>
      <c r="AC105">
        <v>0</v>
      </c>
      <c r="AD105">
        <v>0</v>
      </c>
      <c r="AE105">
        <v>590.78</v>
      </c>
      <c r="AF105">
        <v>0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3</v>
      </c>
      <c r="AT105">
        <v>3.4</v>
      </c>
      <c r="AU105" t="s">
        <v>3</v>
      </c>
      <c r="AV105">
        <v>0</v>
      </c>
      <c r="AW105">
        <v>2</v>
      </c>
      <c r="AX105">
        <v>42225220</v>
      </c>
      <c r="AY105">
        <v>1</v>
      </c>
      <c r="AZ105">
        <v>0</v>
      </c>
      <c r="BA105">
        <v>92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Y105*Source!I225</f>
        <v>1.7</v>
      </c>
      <c r="CY105">
        <f t="shared" si="24"/>
        <v>590.78</v>
      </c>
      <c r="CZ105">
        <f t="shared" si="25"/>
        <v>590.78</v>
      </c>
      <c r="DA105">
        <f t="shared" si="26"/>
        <v>1</v>
      </c>
      <c r="DB105">
        <f t="shared" si="22"/>
        <v>2008.65</v>
      </c>
      <c r="DC105">
        <f t="shared" si="23"/>
        <v>0</v>
      </c>
    </row>
    <row r="106" spans="1:107">
      <c r="A106">
        <f>ROW(Source!A225)</f>
        <v>225</v>
      </c>
      <c r="B106">
        <v>42225948</v>
      </c>
      <c r="C106">
        <v>42225204</v>
      </c>
      <c r="D106">
        <v>38801184</v>
      </c>
      <c r="E106">
        <v>1</v>
      </c>
      <c r="F106">
        <v>1</v>
      </c>
      <c r="G106">
        <v>27</v>
      </c>
      <c r="H106">
        <v>3</v>
      </c>
      <c r="I106" t="s">
        <v>401</v>
      </c>
      <c r="J106" t="s">
        <v>402</v>
      </c>
      <c r="K106" t="s">
        <v>403</v>
      </c>
      <c r="L106">
        <v>1339</v>
      </c>
      <c r="N106">
        <v>1007</v>
      </c>
      <c r="O106" t="s">
        <v>349</v>
      </c>
      <c r="P106" t="s">
        <v>349</v>
      </c>
      <c r="Q106">
        <v>1</v>
      </c>
      <c r="W106">
        <v>0</v>
      </c>
      <c r="X106">
        <v>-1412128106</v>
      </c>
      <c r="Y106">
        <v>3.4</v>
      </c>
      <c r="AA106">
        <v>1436.5</v>
      </c>
      <c r="AB106">
        <v>0</v>
      </c>
      <c r="AC106">
        <v>0</v>
      </c>
      <c r="AD106">
        <v>0</v>
      </c>
      <c r="AE106">
        <v>1436.5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3</v>
      </c>
      <c r="AT106">
        <v>3.4</v>
      </c>
      <c r="AU106" t="s">
        <v>3</v>
      </c>
      <c r="AV106">
        <v>0</v>
      </c>
      <c r="AW106">
        <v>2</v>
      </c>
      <c r="AX106">
        <v>42225221</v>
      </c>
      <c r="AY106">
        <v>1</v>
      </c>
      <c r="AZ106">
        <v>0</v>
      </c>
      <c r="BA106">
        <v>93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Y106*Source!I225</f>
        <v>1.7</v>
      </c>
      <c r="CY106">
        <f t="shared" si="24"/>
        <v>1436.5</v>
      </c>
      <c r="CZ106">
        <f t="shared" si="25"/>
        <v>1436.5</v>
      </c>
      <c r="DA106">
        <f t="shared" si="26"/>
        <v>1</v>
      </c>
      <c r="DB106">
        <f t="shared" si="22"/>
        <v>4884.1000000000004</v>
      </c>
      <c r="DC106">
        <f t="shared" si="23"/>
        <v>0</v>
      </c>
    </row>
    <row r="107" spans="1:107">
      <c r="A107">
        <f>ROW(Source!A225)</f>
        <v>225</v>
      </c>
      <c r="B107">
        <v>42225948</v>
      </c>
      <c r="C107">
        <v>42225204</v>
      </c>
      <c r="D107">
        <v>38801216</v>
      </c>
      <c r="E107">
        <v>1</v>
      </c>
      <c r="F107">
        <v>1</v>
      </c>
      <c r="G107">
        <v>27</v>
      </c>
      <c r="H107">
        <v>3</v>
      </c>
      <c r="I107" t="s">
        <v>404</v>
      </c>
      <c r="J107" t="s">
        <v>405</v>
      </c>
      <c r="K107" t="s">
        <v>406</v>
      </c>
      <c r="L107">
        <v>1348</v>
      </c>
      <c r="N107">
        <v>1009</v>
      </c>
      <c r="O107" t="s">
        <v>281</v>
      </c>
      <c r="P107" t="s">
        <v>281</v>
      </c>
      <c r="Q107">
        <v>1000</v>
      </c>
      <c r="W107">
        <v>0</v>
      </c>
      <c r="X107">
        <v>-750171961</v>
      </c>
      <c r="Y107">
        <v>1.46</v>
      </c>
      <c r="AA107">
        <v>9548.1200000000008</v>
      </c>
      <c r="AB107">
        <v>0</v>
      </c>
      <c r="AC107">
        <v>0</v>
      </c>
      <c r="AD107">
        <v>0</v>
      </c>
      <c r="AE107">
        <v>9548.1200000000008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3</v>
      </c>
      <c r="AT107">
        <v>1.46</v>
      </c>
      <c r="AU107" t="s">
        <v>3</v>
      </c>
      <c r="AV107">
        <v>0</v>
      </c>
      <c r="AW107">
        <v>2</v>
      </c>
      <c r="AX107">
        <v>42225222</v>
      </c>
      <c r="AY107">
        <v>1</v>
      </c>
      <c r="AZ107">
        <v>0</v>
      </c>
      <c r="BA107">
        <v>94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Y107*Source!I225</f>
        <v>0.73</v>
      </c>
      <c r="CY107">
        <f t="shared" si="24"/>
        <v>9548.1200000000008</v>
      </c>
      <c r="CZ107">
        <f t="shared" si="25"/>
        <v>9548.1200000000008</v>
      </c>
      <c r="DA107">
        <f t="shared" si="26"/>
        <v>1</v>
      </c>
      <c r="DB107">
        <f t="shared" si="22"/>
        <v>13940.26</v>
      </c>
      <c r="DC107">
        <f t="shared" si="23"/>
        <v>0</v>
      </c>
    </row>
    <row r="108" spans="1:107">
      <c r="A108">
        <f>ROW(Source!A225)</f>
        <v>225</v>
      </c>
      <c r="B108">
        <v>42225948</v>
      </c>
      <c r="C108">
        <v>42225204</v>
      </c>
      <c r="D108">
        <v>38801217</v>
      </c>
      <c r="E108">
        <v>1</v>
      </c>
      <c r="F108">
        <v>1</v>
      </c>
      <c r="G108">
        <v>27</v>
      </c>
      <c r="H108">
        <v>3</v>
      </c>
      <c r="I108" t="s">
        <v>407</v>
      </c>
      <c r="J108" t="s">
        <v>408</v>
      </c>
      <c r="K108" t="s">
        <v>409</v>
      </c>
      <c r="L108">
        <v>1327</v>
      </c>
      <c r="N108">
        <v>1005</v>
      </c>
      <c r="O108" t="s">
        <v>302</v>
      </c>
      <c r="P108" t="s">
        <v>302</v>
      </c>
      <c r="Q108">
        <v>1</v>
      </c>
      <c r="W108">
        <v>0</v>
      </c>
      <c r="X108">
        <v>-1610909561</v>
      </c>
      <c r="Y108">
        <v>10</v>
      </c>
      <c r="AA108">
        <v>4659.1099999999997</v>
      </c>
      <c r="AB108">
        <v>0</v>
      </c>
      <c r="AC108">
        <v>0</v>
      </c>
      <c r="AD108">
        <v>0</v>
      </c>
      <c r="AE108">
        <v>4659.1099999999997</v>
      </c>
      <c r="AF108">
        <v>0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10</v>
      </c>
      <c r="AU108" t="s">
        <v>3</v>
      </c>
      <c r="AV108">
        <v>0</v>
      </c>
      <c r="AW108">
        <v>2</v>
      </c>
      <c r="AX108">
        <v>42225223</v>
      </c>
      <c r="AY108">
        <v>1</v>
      </c>
      <c r="AZ108">
        <v>0</v>
      </c>
      <c r="BA108">
        <v>95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Y108*Source!I225</f>
        <v>5</v>
      </c>
      <c r="CY108">
        <f t="shared" si="24"/>
        <v>4659.1099999999997</v>
      </c>
      <c r="CZ108">
        <f t="shared" si="25"/>
        <v>4659.1099999999997</v>
      </c>
      <c r="DA108">
        <f t="shared" si="26"/>
        <v>1</v>
      </c>
      <c r="DB108">
        <f t="shared" si="22"/>
        <v>46591.1</v>
      </c>
      <c r="DC108">
        <f t="shared" si="23"/>
        <v>0</v>
      </c>
    </row>
    <row r="109" spans="1:107">
      <c r="A109">
        <f>ROW(Source!A225)</f>
        <v>225</v>
      </c>
      <c r="B109">
        <v>42225948</v>
      </c>
      <c r="C109">
        <v>42225204</v>
      </c>
      <c r="D109">
        <v>38800114</v>
      </c>
      <c r="E109">
        <v>1</v>
      </c>
      <c r="F109">
        <v>1</v>
      </c>
      <c r="G109">
        <v>27</v>
      </c>
      <c r="H109">
        <v>3</v>
      </c>
      <c r="I109" t="s">
        <v>410</v>
      </c>
      <c r="J109" t="s">
        <v>411</v>
      </c>
      <c r="K109" t="s">
        <v>412</v>
      </c>
      <c r="L109">
        <v>1348</v>
      </c>
      <c r="N109">
        <v>1009</v>
      </c>
      <c r="O109" t="s">
        <v>281</v>
      </c>
      <c r="P109" t="s">
        <v>281</v>
      </c>
      <c r="Q109">
        <v>1000</v>
      </c>
      <c r="W109">
        <v>0</v>
      </c>
      <c r="X109">
        <v>1285591100</v>
      </c>
      <c r="Y109">
        <v>1.3</v>
      </c>
      <c r="AA109">
        <v>4207.5</v>
      </c>
      <c r="AB109">
        <v>0</v>
      </c>
      <c r="AC109">
        <v>0</v>
      </c>
      <c r="AD109">
        <v>0</v>
      </c>
      <c r="AE109">
        <v>4207.5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1.3</v>
      </c>
      <c r="AU109" t="s">
        <v>3</v>
      </c>
      <c r="AV109">
        <v>0</v>
      </c>
      <c r="AW109">
        <v>2</v>
      </c>
      <c r="AX109">
        <v>42225224</v>
      </c>
      <c r="AY109">
        <v>1</v>
      </c>
      <c r="AZ109">
        <v>0</v>
      </c>
      <c r="BA109">
        <v>96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Y109*Source!I225</f>
        <v>0.65</v>
      </c>
      <c r="CY109">
        <f t="shared" si="24"/>
        <v>4207.5</v>
      </c>
      <c r="CZ109">
        <f t="shared" si="25"/>
        <v>4207.5</v>
      </c>
      <c r="DA109">
        <f t="shared" si="26"/>
        <v>1</v>
      </c>
      <c r="DB109">
        <f t="shared" si="22"/>
        <v>5469.75</v>
      </c>
      <c r="DC109">
        <f t="shared" si="23"/>
        <v>0</v>
      </c>
    </row>
    <row r="110" spans="1:107">
      <c r="A110">
        <f>ROW(Source!A225)</f>
        <v>225</v>
      </c>
      <c r="B110">
        <v>42225948</v>
      </c>
      <c r="C110">
        <v>42225204</v>
      </c>
      <c r="D110">
        <v>38801911</v>
      </c>
      <c r="E110">
        <v>1</v>
      </c>
      <c r="F110">
        <v>1</v>
      </c>
      <c r="G110">
        <v>27</v>
      </c>
      <c r="H110">
        <v>3</v>
      </c>
      <c r="I110" t="s">
        <v>354</v>
      </c>
      <c r="J110" t="s">
        <v>355</v>
      </c>
      <c r="K110" t="s">
        <v>356</v>
      </c>
      <c r="L110">
        <v>1339</v>
      </c>
      <c r="N110">
        <v>1007</v>
      </c>
      <c r="O110" t="s">
        <v>349</v>
      </c>
      <c r="P110" t="s">
        <v>349</v>
      </c>
      <c r="Q110">
        <v>1</v>
      </c>
      <c r="W110">
        <v>0</v>
      </c>
      <c r="X110">
        <v>1927597627</v>
      </c>
      <c r="Y110">
        <v>1</v>
      </c>
      <c r="AA110">
        <v>35.25</v>
      </c>
      <c r="AB110">
        <v>0</v>
      </c>
      <c r="AC110">
        <v>0</v>
      </c>
      <c r="AD110">
        <v>0</v>
      </c>
      <c r="AE110">
        <v>35.25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0</v>
      </c>
      <c r="AQ110">
        <v>0</v>
      </c>
      <c r="AR110">
        <v>0</v>
      </c>
      <c r="AS110" t="s">
        <v>3</v>
      </c>
      <c r="AT110">
        <v>1</v>
      </c>
      <c r="AU110" t="s">
        <v>3</v>
      </c>
      <c r="AV110">
        <v>0</v>
      </c>
      <c r="AW110">
        <v>2</v>
      </c>
      <c r="AX110">
        <v>42225225</v>
      </c>
      <c r="AY110">
        <v>1</v>
      </c>
      <c r="AZ110">
        <v>0</v>
      </c>
      <c r="BA110">
        <v>97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Y110*Source!I225</f>
        <v>0.5</v>
      </c>
      <c r="CY110">
        <f t="shared" si="24"/>
        <v>35.25</v>
      </c>
      <c r="CZ110">
        <f t="shared" si="25"/>
        <v>35.25</v>
      </c>
      <c r="DA110">
        <f t="shared" si="26"/>
        <v>1</v>
      </c>
      <c r="DB110">
        <f t="shared" si="22"/>
        <v>35.25</v>
      </c>
      <c r="DC110">
        <f t="shared" si="23"/>
        <v>0</v>
      </c>
    </row>
    <row r="111" spans="1:107">
      <c r="A111">
        <f>ROW(Source!A225)</f>
        <v>225</v>
      </c>
      <c r="B111">
        <v>42225948</v>
      </c>
      <c r="C111">
        <v>42225204</v>
      </c>
      <c r="D111">
        <v>38803130</v>
      </c>
      <c r="E111">
        <v>1</v>
      </c>
      <c r="F111">
        <v>1</v>
      </c>
      <c r="G111">
        <v>27</v>
      </c>
      <c r="H111">
        <v>3</v>
      </c>
      <c r="I111" t="s">
        <v>413</v>
      </c>
      <c r="J111" t="s">
        <v>414</v>
      </c>
      <c r="K111" t="s">
        <v>415</v>
      </c>
      <c r="L111">
        <v>1348</v>
      </c>
      <c r="N111">
        <v>1009</v>
      </c>
      <c r="O111" t="s">
        <v>281</v>
      </c>
      <c r="P111" t="s">
        <v>281</v>
      </c>
      <c r="Q111">
        <v>1000</v>
      </c>
      <c r="W111">
        <v>0</v>
      </c>
      <c r="X111">
        <v>-508128525</v>
      </c>
      <c r="Y111">
        <v>0.03</v>
      </c>
      <c r="AA111">
        <v>36434</v>
      </c>
      <c r="AB111">
        <v>0</v>
      </c>
      <c r="AC111">
        <v>0</v>
      </c>
      <c r="AD111">
        <v>0</v>
      </c>
      <c r="AE111">
        <v>36434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0.03</v>
      </c>
      <c r="AU111" t="s">
        <v>3</v>
      </c>
      <c r="AV111">
        <v>0</v>
      </c>
      <c r="AW111">
        <v>2</v>
      </c>
      <c r="AX111">
        <v>42225226</v>
      </c>
      <c r="AY111">
        <v>1</v>
      </c>
      <c r="AZ111">
        <v>0</v>
      </c>
      <c r="BA111">
        <v>98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Y111*Source!I225</f>
        <v>1.4999999999999999E-2</v>
      </c>
      <c r="CY111">
        <f t="shared" si="24"/>
        <v>36434</v>
      </c>
      <c r="CZ111">
        <f t="shared" si="25"/>
        <v>36434</v>
      </c>
      <c r="DA111">
        <f t="shared" si="26"/>
        <v>1</v>
      </c>
      <c r="DB111">
        <f t="shared" si="22"/>
        <v>1093.02</v>
      </c>
      <c r="DC111">
        <f t="shared" si="23"/>
        <v>0</v>
      </c>
    </row>
    <row r="112" spans="1:107">
      <c r="A112">
        <f>ROW(Source!A263)</f>
        <v>263</v>
      </c>
      <c r="B112">
        <v>42225948</v>
      </c>
      <c r="C112">
        <v>42225227</v>
      </c>
      <c r="D112">
        <v>38786840</v>
      </c>
      <c r="E112">
        <v>27</v>
      </c>
      <c r="F112">
        <v>1</v>
      </c>
      <c r="G112">
        <v>27</v>
      </c>
      <c r="H112">
        <v>1</v>
      </c>
      <c r="I112" t="s">
        <v>339</v>
      </c>
      <c r="J112" t="s">
        <v>3</v>
      </c>
      <c r="K112" t="s">
        <v>340</v>
      </c>
      <c r="L112">
        <v>1191</v>
      </c>
      <c r="N112">
        <v>1013</v>
      </c>
      <c r="O112" t="s">
        <v>341</v>
      </c>
      <c r="P112" t="s">
        <v>341</v>
      </c>
      <c r="Q112">
        <v>1</v>
      </c>
      <c r="W112">
        <v>0</v>
      </c>
      <c r="X112">
        <v>476480486</v>
      </c>
      <c r="Y112">
        <v>30.8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30.8</v>
      </c>
      <c r="AU112" t="s">
        <v>3</v>
      </c>
      <c r="AV112">
        <v>1</v>
      </c>
      <c r="AW112">
        <v>2</v>
      </c>
      <c r="AX112">
        <v>42225232</v>
      </c>
      <c r="AY112">
        <v>1</v>
      </c>
      <c r="AZ112">
        <v>0</v>
      </c>
      <c r="BA112">
        <v>99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Y112*Source!I263</f>
        <v>127.05</v>
      </c>
      <c r="CY112">
        <f>AD112</f>
        <v>0</v>
      </c>
      <c r="CZ112">
        <f>AH112</f>
        <v>0</v>
      </c>
      <c r="DA112">
        <f>AL112</f>
        <v>1</v>
      </c>
      <c r="DB112">
        <f t="shared" si="22"/>
        <v>0</v>
      </c>
      <c r="DC112">
        <f t="shared" si="23"/>
        <v>0</v>
      </c>
    </row>
    <row r="113" spans="1:107">
      <c r="A113">
        <f>ROW(Source!A263)</f>
        <v>263</v>
      </c>
      <c r="B113">
        <v>42225948</v>
      </c>
      <c r="C113">
        <v>42225227</v>
      </c>
      <c r="D113">
        <v>38799611</v>
      </c>
      <c r="E113">
        <v>1</v>
      </c>
      <c r="F113">
        <v>1</v>
      </c>
      <c r="G113">
        <v>27</v>
      </c>
      <c r="H113">
        <v>2</v>
      </c>
      <c r="I113" t="s">
        <v>416</v>
      </c>
      <c r="J113" t="s">
        <v>417</v>
      </c>
      <c r="K113" t="s">
        <v>418</v>
      </c>
      <c r="L113">
        <v>1368</v>
      </c>
      <c r="N113">
        <v>1011</v>
      </c>
      <c r="O113" t="s">
        <v>345</v>
      </c>
      <c r="P113" t="s">
        <v>345</v>
      </c>
      <c r="Q113">
        <v>1</v>
      </c>
      <c r="W113">
        <v>0</v>
      </c>
      <c r="X113">
        <v>2094046019</v>
      </c>
      <c r="Y113">
        <v>0.06</v>
      </c>
      <c r="AA113">
        <v>0</v>
      </c>
      <c r="AB113">
        <v>20.7</v>
      </c>
      <c r="AC113">
        <v>9.74</v>
      </c>
      <c r="AD113">
        <v>0</v>
      </c>
      <c r="AE113">
        <v>0</v>
      </c>
      <c r="AF113">
        <v>20.7</v>
      </c>
      <c r="AG113">
        <v>9.74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0</v>
      </c>
      <c r="AQ113">
        <v>0</v>
      </c>
      <c r="AR113">
        <v>0</v>
      </c>
      <c r="AS113" t="s">
        <v>3</v>
      </c>
      <c r="AT113">
        <v>0.06</v>
      </c>
      <c r="AU113" t="s">
        <v>3</v>
      </c>
      <c r="AV113">
        <v>0</v>
      </c>
      <c r="AW113">
        <v>2</v>
      </c>
      <c r="AX113">
        <v>42225233</v>
      </c>
      <c r="AY113">
        <v>1</v>
      </c>
      <c r="AZ113">
        <v>0</v>
      </c>
      <c r="BA113">
        <v>100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Y113*Source!I263</f>
        <v>0.2475</v>
      </c>
      <c r="CY113">
        <f>AB113</f>
        <v>20.7</v>
      </c>
      <c r="CZ113">
        <f>AF113</f>
        <v>20.7</v>
      </c>
      <c r="DA113">
        <f>AJ113</f>
        <v>1</v>
      </c>
      <c r="DB113">
        <f t="shared" si="22"/>
        <v>1.24</v>
      </c>
      <c r="DC113">
        <f t="shared" si="23"/>
        <v>0.57999999999999996</v>
      </c>
    </row>
    <row r="114" spans="1:107">
      <c r="A114">
        <f>ROW(Source!A263)</f>
        <v>263</v>
      </c>
      <c r="B114">
        <v>42225948</v>
      </c>
      <c r="C114">
        <v>42225227</v>
      </c>
      <c r="D114">
        <v>38799061</v>
      </c>
      <c r="E114">
        <v>1</v>
      </c>
      <c r="F114">
        <v>1</v>
      </c>
      <c r="G114">
        <v>27</v>
      </c>
      <c r="H114">
        <v>2</v>
      </c>
      <c r="I114" t="s">
        <v>366</v>
      </c>
      <c r="J114" t="s">
        <v>367</v>
      </c>
      <c r="K114" t="s">
        <v>368</v>
      </c>
      <c r="L114">
        <v>1368</v>
      </c>
      <c r="N114">
        <v>1011</v>
      </c>
      <c r="O114" t="s">
        <v>345</v>
      </c>
      <c r="P114" t="s">
        <v>345</v>
      </c>
      <c r="Q114">
        <v>1</v>
      </c>
      <c r="W114">
        <v>0</v>
      </c>
      <c r="X114">
        <v>978366829</v>
      </c>
      <c r="Y114">
        <v>0.06</v>
      </c>
      <c r="AA114">
        <v>0</v>
      </c>
      <c r="AB114">
        <v>991.89</v>
      </c>
      <c r="AC114">
        <v>360.79</v>
      </c>
      <c r="AD114">
        <v>0</v>
      </c>
      <c r="AE114">
        <v>0</v>
      </c>
      <c r="AF114">
        <v>991.89</v>
      </c>
      <c r="AG114">
        <v>360.79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3</v>
      </c>
      <c r="AT114">
        <v>0.06</v>
      </c>
      <c r="AU114" t="s">
        <v>3</v>
      </c>
      <c r="AV114">
        <v>0</v>
      </c>
      <c r="AW114">
        <v>2</v>
      </c>
      <c r="AX114">
        <v>42225234</v>
      </c>
      <c r="AY114">
        <v>1</v>
      </c>
      <c r="AZ114">
        <v>0</v>
      </c>
      <c r="BA114">
        <v>101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Y114*Source!I263</f>
        <v>0.2475</v>
      </c>
      <c r="CY114">
        <f>AB114</f>
        <v>991.89</v>
      </c>
      <c r="CZ114">
        <f>AF114</f>
        <v>991.89</v>
      </c>
      <c r="DA114">
        <f>AJ114</f>
        <v>1</v>
      </c>
      <c r="DB114">
        <f t="shared" si="22"/>
        <v>59.51</v>
      </c>
      <c r="DC114">
        <f t="shared" si="23"/>
        <v>21.65</v>
      </c>
    </row>
    <row r="115" spans="1:107">
      <c r="A115">
        <f>ROW(Source!A263)</f>
        <v>263</v>
      </c>
      <c r="B115">
        <v>42225948</v>
      </c>
      <c r="C115">
        <v>42225227</v>
      </c>
      <c r="D115">
        <v>38803640</v>
      </c>
      <c r="E115">
        <v>1</v>
      </c>
      <c r="F115">
        <v>1</v>
      </c>
      <c r="G115">
        <v>27</v>
      </c>
      <c r="H115">
        <v>3</v>
      </c>
      <c r="I115" t="s">
        <v>346</v>
      </c>
      <c r="J115" t="s">
        <v>372</v>
      </c>
      <c r="K115" t="s">
        <v>348</v>
      </c>
      <c r="L115">
        <v>1339</v>
      </c>
      <c r="N115">
        <v>1007</v>
      </c>
      <c r="O115" t="s">
        <v>349</v>
      </c>
      <c r="P115" t="s">
        <v>349</v>
      </c>
      <c r="Q115">
        <v>1</v>
      </c>
      <c r="W115">
        <v>0</v>
      </c>
      <c r="X115">
        <v>-1172857595</v>
      </c>
      <c r="Y115">
        <v>15</v>
      </c>
      <c r="AA115">
        <v>753.67</v>
      </c>
      <c r="AB115">
        <v>0</v>
      </c>
      <c r="AC115">
        <v>0</v>
      </c>
      <c r="AD115">
        <v>0</v>
      </c>
      <c r="AE115">
        <v>753.67</v>
      </c>
      <c r="AF115">
        <v>0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3</v>
      </c>
      <c r="AT115">
        <v>15</v>
      </c>
      <c r="AU115" t="s">
        <v>3</v>
      </c>
      <c r="AV115">
        <v>0</v>
      </c>
      <c r="AW115">
        <v>2</v>
      </c>
      <c r="AX115">
        <v>42225235</v>
      </c>
      <c r="AY115">
        <v>1</v>
      </c>
      <c r="AZ115">
        <v>0</v>
      </c>
      <c r="BA115">
        <v>102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Y115*Source!I263</f>
        <v>61.875</v>
      </c>
      <c r="CY115">
        <f>AA115</f>
        <v>753.67</v>
      </c>
      <c r="CZ115">
        <f>AE115</f>
        <v>753.67</v>
      </c>
      <c r="DA115">
        <f>AI115</f>
        <v>1</v>
      </c>
      <c r="DB115">
        <f t="shared" si="22"/>
        <v>11305.05</v>
      </c>
      <c r="DC115">
        <f t="shared" si="23"/>
        <v>0</v>
      </c>
    </row>
    <row r="116" spans="1:107">
      <c r="A116">
        <f>ROW(Source!A264)</f>
        <v>264</v>
      </c>
      <c r="B116">
        <v>42225948</v>
      </c>
      <c r="C116">
        <v>42225236</v>
      </c>
      <c r="D116">
        <v>38786840</v>
      </c>
      <c r="E116">
        <v>27</v>
      </c>
      <c r="F116">
        <v>1</v>
      </c>
      <c r="G116">
        <v>27</v>
      </c>
      <c r="H116">
        <v>1</v>
      </c>
      <c r="I116" t="s">
        <v>339</v>
      </c>
      <c r="J116" t="s">
        <v>3</v>
      </c>
      <c r="K116" t="s">
        <v>340</v>
      </c>
      <c r="L116">
        <v>1191</v>
      </c>
      <c r="N116">
        <v>1013</v>
      </c>
      <c r="O116" t="s">
        <v>341</v>
      </c>
      <c r="P116" t="s">
        <v>341</v>
      </c>
      <c r="Q116">
        <v>1</v>
      </c>
      <c r="W116">
        <v>0</v>
      </c>
      <c r="X116">
        <v>476480486</v>
      </c>
      <c r="Y116">
        <v>46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 t="s">
        <v>3</v>
      </c>
      <c r="AT116">
        <v>46</v>
      </c>
      <c r="AU116" t="s">
        <v>3</v>
      </c>
      <c r="AV116">
        <v>1</v>
      </c>
      <c r="AW116">
        <v>2</v>
      </c>
      <c r="AX116">
        <v>42225239</v>
      </c>
      <c r="AY116">
        <v>1</v>
      </c>
      <c r="AZ116">
        <v>0</v>
      </c>
      <c r="BA116">
        <v>103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Y116*Source!I264</f>
        <v>63.25</v>
      </c>
      <c r="CY116">
        <f>AD116</f>
        <v>0</v>
      </c>
      <c r="CZ116">
        <f>AH116</f>
        <v>0</v>
      </c>
      <c r="DA116">
        <f>AL116</f>
        <v>1</v>
      </c>
      <c r="DB116">
        <f t="shared" si="22"/>
        <v>0</v>
      </c>
      <c r="DC116">
        <f t="shared" si="23"/>
        <v>0</v>
      </c>
    </row>
    <row r="117" spans="1:107">
      <c r="A117">
        <f>ROW(Source!A264)</f>
        <v>264</v>
      </c>
      <c r="B117">
        <v>42225948</v>
      </c>
      <c r="C117">
        <v>42225236</v>
      </c>
      <c r="D117">
        <v>38803640</v>
      </c>
      <c r="E117">
        <v>1</v>
      </c>
      <c r="F117">
        <v>1</v>
      </c>
      <c r="G117">
        <v>27</v>
      </c>
      <c r="H117">
        <v>3</v>
      </c>
      <c r="I117" t="s">
        <v>346</v>
      </c>
      <c r="J117" t="s">
        <v>372</v>
      </c>
      <c r="K117" t="s">
        <v>348</v>
      </c>
      <c r="L117">
        <v>1339</v>
      </c>
      <c r="N117">
        <v>1007</v>
      </c>
      <c r="O117" t="s">
        <v>349</v>
      </c>
      <c r="P117" t="s">
        <v>349</v>
      </c>
      <c r="Q117">
        <v>1</v>
      </c>
      <c r="W117">
        <v>0</v>
      </c>
      <c r="X117">
        <v>-1172857595</v>
      </c>
      <c r="Y117">
        <v>15</v>
      </c>
      <c r="AA117">
        <v>753.67</v>
      </c>
      <c r="AB117">
        <v>0</v>
      </c>
      <c r="AC117">
        <v>0</v>
      </c>
      <c r="AD117">
        <v>0</v>
      </c>
      <c r="AE117">
        <v>753.67</v>
      </c>
      <c r="AF117">
        <v>0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 t="s">
        <v>3</v>
      </c>
      <c r="AT117">
        <v>15</v>
      </c>
      <c r="AU117" t="s">
        <v>3</v>
      </c>
      <c r="AV117">
        <v>0</v>
      </c>
      <c r="AW117">
        <v>2</v>
      </c>
      <c r="AX117">
        <v>42225240</v>
      </c>
      <c r="AY117">
        <v>1</v>
      </c>
      <c r="AZ117">
        <v>0</v>
      </c>
      <c r="BA117">
        <v>104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Y117*Source!I264</f>
        <v>20.625</v>
      </c>
      <c r="CY117">
        <f>AA117</f>
        <v>753.67</v>
      </c>
      <c r="CZ117">
        <f>AE117</f>
        <v>753.67</v>
      </c>
      <c r="DA117">
        <f>AI117</f>
        <v>1</v>
      </c>
      <c r="DB117">
        <f t="shared" si="22"/>
        <v>11305.05</v>
      </c>
      <c r="DC117">
        <f t="shared" si="23"/>
        <v>0</v>
      </c>
    </row>
    <row r="118" spans="1:107">
      <c r="A118">
        <f>ROW(Source!A265)</f>
        <v>265</v>
      </c>
      <c r="B118">
        <v>42225948</v>
      </c>
      <c r="C118">
        <v>42225241</v>
      </c>
      <c r="D118">
        <v>38786840</v>
      </c>
      <c r="E118">
        <v>27</v>
      </c>
      <c r="F118">
        <v>1</v>
      </c>
      <c r="G118">
        <v>27</v>
      </c>
      <c r="H118">
        <v>1</v>
      </c>
      <c r="I118" t="s">
        <v>339</v>
      </c>
      <c r="J118" t="s">
        <v>3</v>
      </c>
      <c r="K118" t="s">
        <v>340</v>
      </c>
      <c r="L118">
        <v>1191</v>
      </c>
      <c r="N118">
        <v>1013</v>
      </c>
      <c r="O118" t="s">
        <v>341</v>
      </c>
      <c r="P118" t="s">
        <v>341</v>
      </c>
      <c r="Q118">
        <v>1</v>
      </c>
      <c r="W118">
        <v>0</v>
      </c>
      <c r="X118">
        <v>476480486</v>
      </c>
      <c r="Y118">
        <v>6.29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6.29</v>
      </c>
      <c r="AU118" t="s">
        <v>3</v>
      </c>
      <c r="AV118">
        <v>1</v>
      </c>
      <c r="AW118">
        <v>2</v>
      </c>
      <c r="AX118">
        <v>42225244</v>
      </c>
      <c r="AY118">
        <v>1</v>
      </c>
      <c r="AZ118">
        <v>0</v>
      </c>
      <c r="BA118">
        <v>105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Y118*Source!I265</f>
        <v>-34.594999999999999</v>
      </c>
      <c r="CY118">
        <f>AD118</f>
        <v>0</v>
      </c>
      <c r="CZ118">
        <f>AH118</f>
        <v>0</v>
      </c>
      <c r="DA118">
        <f>AL118</f>
        <v>1</v>
      </c>
      <c r="DB118">
        <f t="shared" si="22"/>
        <v>0</v>
      </c>
      <c r="DC118">
        <f t="shared" si="23"/>
        <v>0</v>
      </c>
    </row>
    <row r="119" spans="1:107">
      <c r="A119">
        <f>ROW(Source!A265)</f>
        <v>265</v>
      </c>
      <c r="B119">
        <v>42225948</v>
      </c>
      <c r="C119">
        <v>42225241</v>
      </c>
      <c r="D119">
        <v>38803640</v>
      </c>
      <c r="E119">
        <v>1</v>
      </c>
      <c r="F119">
        <v>1</v>
      </c>
      <c r="G119">
        <v>27</v>
      </c>
      <c r="H119">
        <v>3</v>
      </c>
      <c r="I119" t="s">
        <v>346</v>
      </c>
      <c r="J119" t="s">
        <v>372</v>
      </c>
      <c r="K119" t="s">
        <v>348</v>
      </c>
      <c r="L119">
        <v>1339</v>
      </c>
      <c r="N119">
        <v>1007</v>
      </c>
      <c r="O119" t="s">
        <v>349</v>
      </c>
      <c r="P119" t="s">
        <v>349</v>
      </c>
      <c r="Q119">
        <v>1</v>
      </c>
      <c r="W119">
        <v>0</v>
      </c>
      <c r="X119">
        <v>-1172857595</v>
      </c>
      <c r="Y119">
        <v>5</v>
      </c>
      <c r="AA119">
        <v>753.67</v>
      </c>
      <c r="AB119">
        <v>0</v>
      </c>
      <c r="AC119">
        <v>0</v>
      </c>
      <c r="AD119">
        <v>0</v>
      </c>
      <c r="AE119">
        <v>753.67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 t="s">
        <v>3</v>
      </c>
      <c r="AT119">
        <v>5</v>
      </c>
      <c r="AU119" t="s">
        <v>3</v>
      </c>
      <c r="AV119">
        <v>0</v>
      </c>
      <c r="AW119">
        <v>2</v>
      </c>
      <c r="AX119">
        <v>42225245</v>
      </c>
      <c r="AY119">
        <v>1</v>
      </c>
      <c r="AZ119">
        <v>0</v>
      </c>
      <c r="BA119">
        <v>106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Y119*Source!I265</f>
        <v>-27.5</v>
      </c>
      <c r="CY119">
        <f>AA119</f>
        <v>753.67</v>
      </c>
      <c r="CZ119">
        <f>AE119</f>
        <v>753.67</v>
      </c>
      <c r="DA119">
        <f>AI119</f>
        <v>1</v>
      </c>
      <c r="DB119">
        <f t="shared" si="22"/>
        <v>3768.35</v>
      </c>
      <c r="DC119">
        <f t="shared" si="23"/>
        <v>0</v>
      </c>
    </row>
    <row r="120" spans="1:107">
      <c r="A120">
        <f>ROW(Source!A266)</f>
        <v>266</v>
      </c>
      <c r="B120">
        <v>42225948</v>
      </c>
      <c r="C120">
        <v>42225246</v>
      </c>
      <c r="D120">
        <v>38786840</v>
      </c>
      <c r="E120">
        <v>27</v>
      </c>
      <c r="F120">
        <v>1</v>
      </c>
      <c r="G120">
        <v>27</v>
      </c>
      <c r="H120">
        <v>1</v>
      </c>
      <c r="I120" t="s">
        <v>339</v>
      </c>
      <c r="J120" t="s">
        <v>3</v>
      </c>
      <c r="K120" t="s">
        <v>340</v>
      </c>
      <c r="L120">
        <v>1191</v>
      </c>
      <c r="N120">
        <v>1013</v>
      </c>
      <c r="O120" t="s">
        <v>341</v>
      </c>
      <c r="P120" t="s">
        <v>341</v>
      </c>
      <c r="Q120">
        <v>1</v>
      </c>
      <c r="W120">
        <v>0</v>
      </c>
      <c r="X120">
        <v>476480486</v>
      </c>
      <c r="Y120">
        <v>6.04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6.04</v>
      </c>
      <c r="AU120" t="s">
        <v>3</v>
      </c>
      <c r="AV120">
        <v>1</v>
      </c>
      <c r="AW120">
        <v>2</v>
      </c>
      <c r="AX120">
        <v>42225250</v>
      </c>
      <c r="AY120">
        <v>1</v>
      </c>
      <c r="AZ120">
        <v>0</v>
      </c>
      <c r="BA120">
        <v>107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Y120*Source!I266</f>
        <v>33.22</v>
      </c>
      <c r="CY120">
        <f>AD120</f>
        <v>0</v>
      </c>
      <c r="CZ120">
        <f>AH120</f>
        <v>0</v>
      </c>
      <c r="DA120">
        <f>AL120</f>
        <v>1</v>
      </c>
      <c r="DB120">
        <f t="shared" si="22"/>
        <v>0</v>
      </c>
      <c r="DC120">
        <f t="shared" si="23"/>
        <v>0</v>
      </c>
    </row>
    <row r="121" spans="1:107">
      <c r="A121">
        <f>ROW(Source!A266)</f>
        <v>266</v>
      </c>
      <c r="B121">
        <v>42225948</v>
      </c>
      <c r="C121">
        <v>42225246</v>
      </c>
      <c r="D121">
        <v>38801911</v>
      </c>
      <c r="E121">
        <v>1</v>
      </c>
      <c r="F121">
        <v>1</v>
      </c>
      <c r="G121">
        <v>27</v>
      </c>
      <c r="H121">
        <v>3</v>
      </c>
      <c r="I121" t="s">
        <v>354</v>
      </c>
      <c r="J121" t="s">
        <v>355</v>
      </c>
      <c r="K121" t="s">
        <v>356</v>
      </c>
      <c r="L121">
        <v>1339</v>
      </c>
      <c r="N121">
        <v>1007</v>
      </c>
      <c r="O121" t="s">
        <v>349</v>
      </c>
      <c r="P121" t="s">
        <v>349</v>
      </c>
      <c r="Q121">
        <v>1</v>
      </c>
      <c r="W121">
        <v>0</v>
      </c>
      <c r="X121">
        <v>1927597627</v>
      </c>
      <c r="Y121">
        <v>10</v>
      </c>
      <c r="AA121">
        <v>35.25</v>
      </c>
      <c r="AB121">
        <v>0</v>
      </c>
      <c r="AC121">
        <v>0</v>
      </c>
      <c r="AD121">
        <v>0</v>
      </c>
      <c r="AE121">
        <v>35.25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 t="s">
        <v>3</v>
      </c>
      <c r="AT121">
        <v>10</v>
      </c>
      <c r="AU121" t="s">
        <v>3</v>
      </c>
      <c r="AV121">
        <v>0</v>
      </c>
      <c r="AW121">
        <v>2</v>
      </c>
      <c r="AX121">
        <v>42225251</v>
      </c>
      <c r="AY121">
        <v>1</v>
      </c>
      <c r="AZ121">
        <v>0</v>
      </c>
      <c r="BA121">
        <v>108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Y121*Source!I266</f>
        <v>55</v>
      </c>
      <c r="CY121">
        <f>AA121</f>
        <v>35.25</v>
      </c>
      <c r="CZ121">
        <f>AE121</f>
        <v>35.25</v>
      </c>
      <c r="DA121">
        <f>AI121</f>
        <v>1</v>
      </c>
      <c r="DB121">
        <f t="shared" si="22"/>
        <v>352.5</v>
      </c>
      <c r="DC121">
        <f t="shared" si="23"/>
        <v>0</v>
      </c>
    </row>
    <row r="122" spans="1:107">
      <c r="A122">
        <f>ROW(Source!A266)</f>
        <v>266</v>
      </c>
      <c r="B122">
        <v>42225948</v>
      </c>
      <c r="C122">
        <v>42225246</v>
      </c>
      <c r="D122">
        <v>38803645</v>
      </c>
      <c r="E122">
        <v>1</v>
      </c>
      <c r="F122">
        <v>1</v>
      </c>
      <c r="G122">
        <v>27</v>
      </c>
      <c r="H122">
        <v>3</v>
      </c>
      <c r="I122" t="s">
        <v>419</v>
      </c>
      <c r="J122" t="s">
        <v>420</v>
      </c>
      <c r="K122" t="s">
        <v>421</v>
      </c>
      <c r="L122">
        <v>1346</v>
      </c>
      <c r="N122">
        <v>1009</v>
      </c>
      <c r="O122" t="s">
        <v>353</v>
      </c>
      <c r="P122" t="s">
        <v>353</v>
      </c>
      <c r="Q122">
        <v>1</v>
      </c>
      <c r="W122">
        <v>0</v>
      </c>
      <c r="X122">
        <v>-835995803</v>
      </c>
      <c r="Y122">
        <v>4</v>
      </c>
      <c r="AA122">
        <v>303.08999999999997</v>
      </c>
      <c r="AB122">
        <v>0</v>
      </c>
      <c r="AC122">
        <v>0</v>
      </c>
      <c r="AD122">
        <v>0</v>
      </c>
      <c r="AE122">
        <v>303.08999999999997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1</v>
      </c>
      <c r="AP122">
        <v>0</v>
      </c>
      <c r="AQ122">
        <v>0</v>
      </c>
      <c r="AR122">
        <v>0</v>
      </c>
      <c r="AS122" t="s">
        <v>3</v>
      </c>
      <c r="AT122">
        <v>4</v>
      </c>
      <c r="AU122" t="s">
        <v>3</v>
      </c>
      <c r="AV122">
        <v>0</v>
      </c>
      <c r="AW122">
        <v>2</v>
      </c>
      <c r="AX122">
        <v>42225252</v>
      </c>
      <c r="AY122">
        <v>1</v>
      </c>
      <c r="AZ122">
        <v>0</v>
      </c>
      <c r="BA122">
        <v>109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Y122*Source!I266</f>
        <v>22</v>
      </c>
      <c r="CY122">
        <f>AA122</f>
        <v>303.08999999999997</v>
      </c>
      <c r="CZ122">
        <f>AE122</f>
        <v>303.08999999999997</v>
      </c>
      <c r="DA122">
        <f>AI122</f>
        <v>1</v>
      </c>
      <c r="DB122">
        <f t="shared" si="22"/>
        <v>1212.3599999999999</v>
      </c>
      <c r="DC122">
        <f t="shared" si="23"/>
        <v>0</v>
      </c>
    </row>
    <row r="123" spans="1:107">
      <c r="A123">
        <f>ROW(Source!A304)</f>
        <v>304</v>
      </c>
      <c r="B123">
        <v>42225948</v>
      </c>
      <c r="C123">
        <v>42225253</v>
      </c>
      <c r="D123">
        <v>38786840</v>
      </c>
      <c r="E123">
        <v>27</v>
      </c>
      <c r="F123">
        <v>1</v>
      </c>
      <c r="G123">
        <v>27</v>
      </c>
      <c r="H123">
        <v>1</v>
      </c>
      <c r="I123" t="s">
        <v>339</v>
      </c>
      <c r="J123" t="s">
        <v>3</v>
      </c>
      <c r="K123" t="s">
        <v>340</v>
      </c>
      <c r="L123">
        <v>1191</v>
      </c>
      <c r="N123">
        <v>1013</v>
      </c>
      <c r="O123" t="s">
        <v>341</v>
      </c>
      <c r="P123" t="s">
        <v>341</v>
      </c>
      <c r="Q123">
        <v>1</v>
      </c>
      <c r="W123">
        <v>0</v>
      </c>
      <c r="X123">
        <v>476480486</v>
      </c>
      <c r="Y123">
        <v>221.6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S123" t="s">
        <v>3</v>
      </c>
      <c r="AT123">
        <v>221.6</v>
      </c>
      <c r="AU123" t="s">
        <v>3</v>
      </c>
      <c r="AV123">
        <v>1</v>
      </c>
      <c r="AW123">
        <v>2</v>
      </c>
      <c r="AX123">
        <v>42225255</v>
      </c>
      <c r="AY123">
        <v>1</v>
      </c>
      <c r="AZ123">
        <v>0</v>
      </c>
      <c r="BA123">
        <v>110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Y123*Source!I304</f>
        <v>0.17727999999999999</v>
      </c>
      <c r="CY123">
        <f>AD123</f>
        <v>0</v>
      </c>
      <c r="CZ123">
        <f>AH123</f>
        <v>0</v>
      </c>
      <c r="DA123">
        <f>AL123</f>
        <v>1</v>
      </c>
      <c r="DB123">
        <f t="shared" si="22"/>
        <v>0</v>
      </c>
      <c r="DC123">
        <f t="shared" si="23"/>
        <v>0</v>
      </c>
    </row>
    <row r="124" spans="1:107">
      <c r="A124">
        <f>ROW(Source!A305)</f>
        <v>305</v>
      </c>
      <c r="B124">
        <v>42225948</v>
      </c>
      <c r="C124">
        <v>42225256</v>
      </c>
      <c r="D124">
        <v>38786840</v>
      </c>
      <c r="E124">
        <v>27</v>
      </c>
      <c r="F124">
        <v>1</v>
      </c>
      <c r="G124">
        <v>27</v>
      </c>
      <c r="H124">
        <v>1</v>
      </c>
      <c r="I124" t="s">
        <v>339</v>
      </c>
      <c r="J124" t="s">
        <v>3</v>
      </c>
      <c r="K124" t="s">
        <v>340</v>
      </c>
      <c r="L124">
        <v>1191</v>
      </c>
      <c r="N124">
        <v>1013</v>
      </c>
      <c r="O124" t="s">
        <v>341</v>
      </c>
      <c r="P124" t="s">
        <v>341</v>
      </c>
      <c r="Q124">
        <v>1</v>
      </c>
      <c r="W124">
        <v>0</v>
      </c>
      <c r="X124">
        <v>476480486</v>
      </c>
      <c r="Y124">
        <v>1.59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1</v>
      </c>
      <c r="AP124">
        <v>0</v>
      </c>
      <c r="AQ124">
        <v>0</v>
      </c>
      <c r="AR124">
        <v>0</v>
      </c>
      <c r="AS124" t="s">
        <v>3</v>
      </c>
      <c r="AT124">
        <v>1.59</v>
      </c>
      <c r="AU124" t="s">
        <v>3</v>
      </c>
      <c r="AV124">
        <v>1</v>
      </c>
      <c r="AW124">
        <v>2</v>
      </c>
      <c r="AX124">
        <v>42225260</v>
      </c>
      <c r="AY124">
        <v>1</v>
      </c>
      <c r="AZ124">
        <v>0</v>
      </c>
      <c r="BA124">
        <v>111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Y124*Source!I305</f>
        <v>1.1130000000000001E-2</v>
      </c>
      <c r="CY124">
        <f>AD124</f>
        <v>0</v>
      </c>
      <c r="CZ124">
        <f>AH124</f>
        <v>0</v>
      </c>
      <c r="DA124">
        <f>AL124</f>
        <v>1</v>
      </c>
      <c r="DB124">
        <f t="shared" si="22"/>
        <v>0</v>
      </c>
      <c r="DC124">
        <f t="shared" si="23"/>
        <v>0</v>
      </c>
    </row>
    <row r="125" spans="1:107">
      <c r="A125">
        <f>ROW(Source!A305)</f>
        <v>305</v>
      </c>
      <c r="B125">
        <v>42225948</v>
      </c>
      <c r="C125">
        <v>42225256</v>
      </c>
      <c r="D125">
        <v>38799010</v>
      </c>
      <c r="E125">
        <v>1</v>
      </c>
      <c r="F125">
        <v>1</v>
      </c>
      <c r="G125">
        <v>27</v>
      </c>
      <c r="H125">
        <v>2</v>
      </c>
      <c r="I125" t="s">
        <v>422</v>
      </c>
      <c r="J125" t="s">
        <v>423</v>
      </c>
      <c r="K125" t="s">
        <v>424</v>
      </c>
      <c r="L125">
        <v>1368</v>
      </c>
      <c r="N125">
        <v>1011</v>
      </c>
      <c r="O125" t="s">
        <v>345</v>
      </c>
      <c r="P125" t="s">
        <v>345</v>
      </c>
      <c r="Q125">
        <v>1</v>
      </c>
      <c r="W125">
        <v>0</v>
      </c>
      <c r="X125">
        <v>-903558812</v>
      </c>
      <c r="Y125">
        <v>4.9800000000000004</v>
      </c>
      <c r="AA125">
        <v>0</v>
      </c>
      <c r="AB125">
        <v>1493.72</v>
      </c>
      <c r="AC125">
        <v>566.86</v>
      </c>
      <c r="AD125">
        <v>0</v>
      </c>
      <c r="AE125">
        <v>0</v>
      </c>
      <c r="AF125">
        <v>1493.72</v>
      </c>
      <c r="AG125">
        <v>566.86</v>
      </c>
      <c r="AH125">
        <v>0</v>
      </c>
      <c r="AI125">
        <v>1</v>
      </c>
      <c r="AJ125">
        <v>1</v>
      </c>
      <c r="AK125">
        <v>1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3</v>
      </c>
      <c r="AT125">
        <v>4.9800000000000004</v>
      </c>
      <c r="AU125" t="s">
        <v>3</v>
      </c>
      <c r="AV125">
        <v>0</v>
      </c>
      <c r="AW125">
        <v>2</v>
      </c>
      <c r="AX125">
        <v>42225261</v>
      </c>
      <c r="AY125">
        <v>1</v>
      </c>
      <c r="AZ125">
        <v>0</v>
      </c>
      <c r="BA125">
        <v>112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Y125*Source!I305</f>
        <v>3.4860000000000002E-2</v>
      </c>
      <c r="CY125">
        <f>AB125</f>
        <v>1493.72</v>
      </c>
      <c r="CZ125">
        <f>AF125</f>
        <v>1493.72</v>
      </c>
      <c r="DA125">
        <f>AJ125</f>
        <v>1</v>
      </c>
      <c r="DB125">
        <f t="shared" si="22"/>
        <v>7438.73</v>
      </c>
      <c r="DC125">
        <f t="shared" si="23"/>
        <v>2822.96</v>
      </c>
    </row>
    <row r="126" spans="1:107">
      <c r="A126">
        <f>ROW(Source!A305)</f>
        <v>305</v>
      </c>
      <c r="B126">
        <v>42225948</v>
      </c>
      <c r="C126">
        <v>42225256</v>
      </c>
      <c r="D126">
        <v>38799033</v>
      </c>
      <c r="E126">
        <v>1</v>
      </c>
      <c r="F126">
        <v>1</v>
      </c>
      <c r="G126">
        <v>27</v>
      </c>
      <c r="H126">
        <v>2</v>
      </c>
      <c r="I126" t="s">
        <v>425</v>
      </c>
      <c r="J126" t="s">
        <v>426</v>
      </c>
      <c r="K126" t="s">
        <v>427</v>
      </c>
      <c r="L126">
        <v>1368</v>
      </c>
      <c r="N126">
        <v>1011</v>
      </c>
      <c r="O126" t="s">
        <v>345</v>
      </c>
      <c r="P126" t="s">
        <v>345</v>
      </c>
      <c r="Q126">
        <v>1</v>
      </c>
      <c r="W126">
        <v>0</v>
      </c>
      <c r="X126">
        <v>-888973741</v>
      </c>
      <c r="Y126">
        <v>1.25</v>
      </c>
      <c r="AA126">
        <v>0</v>
      </c>
      <c r="AB126">
        <v>1072.23</v>
      </c>
      <c r="AC126">
        <v>488.73</v>
      </c>
      <c r="AD126">
        <v>0</v>
      </c>
      <c r="AE126">
        <v>0</v>
      </c>
      <c r="AF126">
        <v>1072.23</v>
      </c>
      <c r="AG126">
        <v>488.73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 t="s">
        <v>3</v>
      </c>
      <c r="AT126">
        <v>1.25</v>
      </c>
      <c r="AU126" t="s">
        <v>3</v>
      </c>
      <c r="AV126">
        <v>0</v>
      </c>
      <c r="AW126">
        <v>2</v>
      </c>
      <c r="AX126">
        <v>42225262</v>
      </c>
      <c r="AY126">
        <v>1</v>
      </c>
      <c r="AZ126">
        <v>0</v>
      </c>
      <c r="BA126">
        <v>113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Y126*Source!I305</f>
        <v>8.7500000000000008E-3</v>
      </c>
      <c r="CY126">
        <f>AB126</f>
        <v>1072.23</v>
      </c>
      <c r="CZ126">
        <f>AF126</f>
        <v>1072.23</v>
      </c>
      <c r="DA126">
        <f>AJ126</f>
        <v>1</v>
      </c>
      <c r="DB126">
        <f t="shared" si="22"/>
        <v>1340.29</v>
      </c>
      <c r="DC126">
        <f t="shared" si="23"/>
        <v>610.91</v>
      </c>
    </row>
    <row r="127" spans="1:107">
      <c r="A127">
        <f>ROW(Source!A306)</f>
        <v>306</v>
      </c>
      <c r="B127">
        <v>42225948</v>
      </c>
      <c r="C127">
        <v>42225263</v>
      </c>
      <c r="D127">
        <v>38799032</v>
      </c>
      <c r="E127">
        <v>1</v>
      </c>
      <c r="F127">
        <v>1</v>
      </c>
      <c r="G127">
        <v>27</v>
      </c>
      <c r="H127">
        <v>2</v>
      </c>
      <c r="I127" t="s">
        <v>373</v>
      </c>
      <c r="J127" t="s">
        <v>374</v>
      </c>
      <c r="K127" t="s">
        <v>375</v>
      </c>
      <c r="L127">
        <v>1368</v>
      </c>
      <c r="N127">
        <v>1011</v>
      </c>
      <c r="O127" t="s">
        <v>345</v>
      </c>
      <c r="P127" t="s">
        <v>345</v>
      </c>
      <c r="Q127">
        <v>1</v>
      </c>
      <c r="W127">
        <v>0</v>
      </c>
      <c r="X127">
        <v>974897901</v>
      </c>
      <c r="Y127">
        <v>0.31</v>
      </c>
      <c r="AA127">
        <v>0</v>
      </c>
      <c r="AB127">
        <v>956.79</v>
      </c>
      <c r="AC127">
        <v>359.44</v>
      </c>
      <c r="AD127">
        <v>0</v>
      </c>
      <c r="AE127">
        <v>0</v>
      </c>
      <c r="AF127">
        <v>956.79</v>
      </c>
      <c r="AG127">
        <v>359.44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 t="s">
        <v>3</v>
      </c>
      <c r="AT127">
        <v>0.31</v>
      </c>
      <c r="AU127" t="s">
        <v>3</v>
      </c>
      <c r="AV127">
        <v>0</v>
      </c>
      <c r="AW127">
        <v>2</v>
      </c>
      <c r="AX127">
        <v>42225265</v>
      </c>
      <c r="AY127">
        <v>1</v>
      </c>
      <c r="AZ127">
        <v>0</v>
      </c>
      <c r="BA127">
        <v>114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Y127*Source!I306</f>
        <v>8.0599999999999995E-3</v>
      </c>
      <c r="CY127">
        <f>AB127</f>
        <v>956.79</v>
      </c>
      <c r="CZ127">
        <f>AF127</f>
        <v>956.79</v>
      </c>
      <c r="DA127">
        <f>AJ127</f>
        <v>1</v>
      </c>
      <c r="DB127">
        <f t="shared" si="22"/>
        <v>296.60000000000002</v>
      </c>
      <c r="DC127">
        <f t="shared" si="23"/>
        <v>111.43</v>
      </c>
    </row>
    <row r="128" spans="1:107">
      <c r="A128">
        <f>ROW(Source!A307)</f>
        <v>307</v>
      </c>
      <c r="B128">
        <v>42225948</v>
      </c>
      <c r="C128">
        <v>42225266</v>
      </c>
      <c r="D128">
        <v>38786840</v>
      </c>
      <c r="E128">
        <v>27</v>
      </c>
      <c r="F128">
        <v>1</v>
      </c>
      <c r="G128">
        <v>27</v>
      </c>
      <c r="H128">
        <v>1</v>
      </c>
      <c r="I128" t="s">
        <v>339</v>
      </c>
      <c r="J128" t="s">
        <v>3</v>
      </c>
      <c r="K128" t="s">
        <v>340</v>
      </c>
      <c r="L128">
        <v>1191</v>
      </c>
      <c r="N128">
        <v>1013</v>
      </c>
      <c r="O128" t="s">
        <v>341</v>
      </c>
      <c r="P128" t="s">
        <v>341</v>
      </c>
      <c r="Q128">
        <v>1</v>
      </c>
      <c r="W128">
        <v>0</v>
      </c>
      <c r="X128">
        <v>476480486</v>
      </c>
      <c r="Y128">
        <v>11.73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1</v>
      </c>
      <c r="AL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 t="s">
        <v>3</v>
      </c>
      <c r="AT128">
        <v>11.73</v>
      </c>
      <c r="AU128" t="s">
        <v>3</v>
      </c>
      <c r="AV128">
        <v>1</v>
      </c>
      <c r="AW128">
        <v>2</v>
      </c>
      <c r="AX128">
        <v>42225268</v>
      </c>
      <c r="AY128">
        <v>1</v>
      </c>
      <c r="AZ128">
        <v>0</v>
      </c>
      <c r="BA128">
        <v>115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Y128*Source!I307</f>
        <v>0.10557</v>
      </c>
      <c r="CY128">
        <f>AD128</f>
        <v>0</v>
      </c>
      <c r="CZ128">
        <f>AH128</f>
        <v>0</v>
      </c>
      <c r="DA128">
        <f>AL128</f>
        <v>1</v>
      </c>
      <c r="DB128">
        <f t="shared" si="22"/>
        <v>0</v>
      </c>
      <c r="DC128">
        <f t="shared" si="23"/>
        <v>0</v>
      </c>
    </row>
    <row r="129" spans="1:107">
      <c r="A129">
        <f>ROW(Source!A308)</f>
        <v>308</v>
      </c>
      <c r="B129">
        <v>42225948</v>
      </c>
      <c r="C129">
        <v>42225269</v>
      </c>
      <c r="D129">
        <v>38786840</v>
      </c>
      <c r="E129">
        <v>27</v>
      </c>
      <c r="F129">
        <v>1</v>
      </c>
      <c r="G129">
        <v>27</v>
      </c>
      <c r="H129">
        <v>1</v>
      </c>
      <c r="I129" t="s">
        <v>339</v>
      </c>
      <c r="J129" t="s">
        <v>3</v>
      </c>
      <c r="K129" t="s">
        <v>340</v>
      </c>
      <c r="L129">
        <v>1191</v>
      </c>
      <c r="N129">
        <v>1013</v>
      </c>
      <c r="O129" t="s">
        <v>341</v>
      </c>
      <c r="P129" t="s">
        <v>341</v>
      </c>
      <c r="Q129">
        <v>1</v>
      </c>
      <c r="W129">
        <v>0</v>
      </c>
      <c r="X129">
        <v>476480486</v>
      </c>
      <c r="Y129">
        <v>16.559999999999999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1</v>
      </c>
      <c r="AK129">
        <v>1</v>
      </c>
      <c r="AL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 t="s">
        <v>3</v>
      </c>
      <c r="AT129">
        <v>16.559999999999999</v>
      </c>
      <c r="AU129" t="s">
        <v>3</v>
      </c>
      <c r="AV129">
        <v>1</v>
      </c>
      <c r="AW129">
        <v>2</v>
      </c>
      <c r="AX129">
        <v>42225278</v>
      </c>
      <c r="AY129">
        <v>1</v>
      </c>
      <c r="AZ129">
        <v>0</v>
      </c>
      <c r="BA129">
        <v>116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Y129*Source!I308</f>
        <v>4.3055999999999997E-2</v>
      </c>
      <c r="CY129">
        <f>AD129</f>
        <v>0</v>
      </c>
      <c r="CZ129">
        <f>AH129</f>
        <v>0</v>
      </c>
      <c r="DA129">
        <f>AL129</f>
        <v>1</v>
      </c>
      <c r="DB129">
        <f t="shared" si="22"/>
        <v>0</v>
      </c>
      <c r="DC129">
        <f t="shared" si="23"/>
        <v>0</v>
      </c>
    </row>
    <row r="130" spans="1:107">
      <c r="A130">
        <f>ROW(Source!A308)</f>
        <v>308</v>
      </c>
      <c r="B130">
        <v>42225948</v>
      </c>
      <c r="C130">
        <v>42225269</v>
      </c>
      <c r="D130">
        <v>38799055</v>
      </c>
      <c r="E130">
        <v>1</v>
      </c>
      <c r="F130">
        <v>1</v>
      </c>
      <c r="G130">
        <v>27</v>
      </c>
      <c r="H130">
        <v>2</v>
      </c>
      <c r="I130" t="s">
        <v>428</v>
      </c>
      <c r="J130" t="s">
        <v>429</v>
      </c>
      <c r="K130" t="s">
        <v>430</v>
      </c>
      <c r="L130">
        <v>1368</v>
      </c>
      <c r="N130">
        <v>1011</v>
      </c>
      <c r="O130" t="s">
        <v>345</v>
      </c>
      <c r="P130" t="s">
        <v>345</v>
      </c>
      <c r="Q130">
        <v>1</v>
      </c>
      <c r="W130">
        <v>0</v>
      </c>
      <c r="X130">
        <v>-714750861</v>
      </c>
      <c r="Y130">
        <v>2.08</v>
      </c>
      <c r="AA130">
        <v>0</v>
      </c>
      <c r="AB130">
        <v>740.94</v>
      </c>
      <c r="AC130">
        <v>413.22</v>
      </c>
      <c r="AD130">
        <v>0</v>
      </c>
      <c r="AE130">
        <v>0</v>
      </c>
      <c r="AF130">
        <v>740.94</v>
      </c>
      <c r="AG130">
        <v>413.22</v>
      </c>
      <c r="AH130">
        <v>0</v>
      </c>
      <c r="AI130">
        <v>1</v>
      </c>
      <c r="AJ130">
        <v>1</v>
      </c>
      <c r="AK130">
        <v>1</v>
      </c>
      <c r="AL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 t="s">
        <v>3</v>
      </c>
      <c r="AT130">
        <v>2.08</v>
      </c>
      <c r="AU130" t="s">
        <v>3</v>
      </c>
      <c r="AV130">
        <v>0</v>
      </c>
      <c r="AW130">
        <v>2</v>
      </c>
      <c r="AX130">
        <v>42225279</v>
      </c>
      <c r="AY130">
        <v>1</v>
      </c>
      <c r="AZ130">
        <v>0</v>
      </c>
      <c r="BA130">
        <v>117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Y130*Source!I308</f>
        <v>5.4079999999999996E-3</v>
      </c>
      <c r="CY130">
        <f>AB130</f>
        <v>740.94</v>
      </c>
      <c r="CZ130">
        <f>AF130</f>
        <v>740.94</v>
      </c>
      <c r="DA130">
        <f>AJ130</f>
        <v>1</v>
      </c>
      <c r="DB130">
        <f t="shared" si="22"/>
        <v>1541.16</v>
      </c>
      <c r="DC130">
        <f t="shared" si="23"/>
        <v>859.5</v>
      </c>
    </row>
    <row r="131" spans="1:107">
      <c r="A131">
        <f>ROW(Source!A308)</f>
        <v>308</v>
      </c>
      <c r="B131">
        <v>42225948</v>
      </c>
      <c r="C131">
        <v>42225269</v>
      </c>
      <c r="D131">
        <v>38799210</v>
      </c>
      <c r="E131">
        <v>1</v>
      </c>
      <c r="F131">
        <v>1</v>
      </c>
      <c r="G131">
        <v>27</v>
      </c>
      <c r="H131">
        <v>2</v>
      </c>
      <c r="I131" t="s">
        <v>431</v>
      </c>
      <c r="J131" t="s">
        <v>432</v>
      </c>
      <c r="K131" t="s">
        <v>433</v>
      </c>
      <c r="L131">
        <v>1368</v>
      </c>
      <c r="N131">
        <v>1011</v>
      </c>
      <c r="O131" t="s">
        <v>345</v>
      </c>
      <c r="P131" t="s">
        <v>345</v>
      </c>
      <c r="Q131">
        <v>1</v>
      </c>
      <c r="W131">
        <v>0</v>
      </c>
      <c r="X131">
        <v>1985690002</v>
      </c>
      <c r="Y131">
        <v>2.08</v>
      </c>
      <c r="AA131">
        <v>0</v>
      </c>
      <c r="AB131">
        <v>430.32</v>
      </c>
      <c r="AC131">
        <v>215.31</v>
      </c>
      <c r="AD131">
        <v>0</v>
      </c>
      <c r="AE131">
        <v>0</v>
      </c>
      <c r="AF131">
        <v>430.32</v>
      </c>
      <c r="AG131">
        <v>215.31</v>
      </c>
      <c r="AH131">
        <v>0</v>
      </c>
      <c r="AI131">
        <v>1</v>
      </c>
      <c r="AJ131">
        <v>1</v>
      </c>
      <c r="AK131">
        <v>1</v>
      </c>
      <c r="AL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 t="s">
        <v>3</v>
      </c>
      <c r="AT131">
        <v>2.08</v>
      </c>
      <c r="AU131" t="s">
        <v>3</v>
      </c>
      <c r="AV131">
        <v>0</v>
      </c>
      <c r="AW131">
        <v>2</v>
      </c>
      <c r="AX131">
        <v>42225280</v>
      </c>
      <c r="AY131">
        <v>1</v>
      </c>
      <c r="AZ131">
        <v>0</v>
      </c>
      <c r="BA131">
        <v>118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Y131*Source!I308</f>
        <v>5.4079999999999996E-3</v>
      </c>
      <c r="CY131">
        <f>AB131</f>
        <v>430.32</v>
      </c>
      <c r="CZ131">
        <f>AF131</f>
        <v>430.32</v>
      </c>
      <c r="DA131">
        <f>AJ131</f>
        <v>1</v>
      </c>
      <c r="DB131">
        <f t="shared" si="22"/>
        <v>895.07</v>
      </c>
      <c r="DC131">
        <f t="shared" si="23"/>
        <v>447.84</v>
      </c>
    </row>
    <row r="132" spans="1:107">
      <c r="A132">
        <f>ROW(Source!A308)</f>
        <v>308</v>
      </c>
      <c r="B132">
        <v>42225948</v>
      </c>
      <c r="C132">
        <v>42225269</v>
      </c>
      <c r="D132">
        <v>38799213</v>
      </c>
      <c r="E132">
        <v>1</v>
      </c>
      <c r="F132">
        <v>1</v>
      </c>
      <c r="G132">
        <v>27</v>
      </c>
      <c r="H132">
        <v>2</v>
      </c>
      <c r="I132" t="s">
        <v>376</v>
      </c>
      <c r="J132" t="s">
        <v>434</v>
      </c>
      <c r="K132" t="s">
        <v>378</v>
      </c>
      <c r="L132">
        <v>1368</v>
      </c>
      <c r="N132">
        <v>1011</v>
      </c>
      <c r="O132" t="s">
        <v>345</v>
      </c>
      <c r="P132" t="s">
        <v>345</v>
      </c>
      <c r="Q132">
        <v>1</v>
      </c>
      <c r="W132">
        <v>0</v>
      </c>
      <c r="X132">
        <v>351519474</v>
      </c>
      <c r="Y132">
        <v>0.81</v>
      </c>
      <c r="AA132">
        <v>0</v>
      </c>
      <c r="AB132">
        <v>2020.59</v>
      </c>
      <c r="AC132">
        <v>458.56</v>
      </c>
      <c r="AD132">
        <v>0</v>
      </c>
      <c r="AE132">
        <v>0</v>
      </c>
      <c r="AF132">
        <v>2020.59</v>
      </c>
      <c r="AG132">
        <v>458.56</v>
      </c>
      <c r="AH132">
        <v>0</v>
      </c>
      <c r="AI132">
        <v>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 t="s">
        <v>3</v>
      </c>
      <c r="AT132">
        <v>0.81</v>
      </c>
      <c r="AU132" t="s">
        <v>3</v>
      </c>
      <c r="AV132">
        <v>0</v>
      </c>
      <c r="AW132">
        <v>2</v>
      </c>
      <c r="AX132">
        <v>42225281</v>
      </c>
      <c r="AY132">
        <v>1</v>
      </c>
      <c r="AZ132">
        <v>0</v>
      </c>
      <c r="BA132">
        <v>119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Y132*Source!I308</f>
        <v>2.1060000000000002E-3</v>
      </c>
      <c r="CY132">
        <f>AB132</f>
        <v>2020.59</v>
      </c>
      <c r="CZ132">
        <f>AF132</f>
        <v>2020.59</v>
      </c>
      <c r="DA132">
        <f>AJ132</f>
        <v>1</v>
      </c>
      <c r="DB132">
        <f t="shared" si="22"/>
        <v>1636.68</v>
      </c>
      <c r="DC132">
        <f t="shared" si="23"/>
        <v>371.43</v>
      </c>
    </row>
    <row r="133" spans="1:107">
      <c r="A133">
        <f>ROW(Source!A308)</f>
        <v>308</v>
      </c>
      <c r="B133">
        <v>42225948</v>
      </c>
      <c r="C133">
        <v>42225269</v>
      </c>
      <c r="D133">
        <v>38799237</v>
      </c>
      <c r="E133">
        <v>1</v>
      </c>
      <c r="F133">
        <v>1</v>
      </c>
      <c r="G133">
        <v>27</v>
      </c>
      <c r="H133">
        <v>2</v>
      </c>
      <c r="I133" t="s">
        <v>435</v>
      </c>
      <c r="J133" t="s">
        <v>436</v>
      </c>
      <c r="K133" t="s">
        <v>437</v>
      </c>
      <c r="L133">
        <v>1368</v>
      </c>
      <c r="N133">
        <v>1011</v>
      </c>
      <c r="O133" t="s">
        <v>345</v>
      </c>
      <c r="P133" t="s">
        <v>345</v>
      </c>
      <c r="Q133">
        <v>1</v>
      </c>
      <c r="W133">
        <v>0</v>
      </c>
      <c r="X133">
        <v>41279402</v>
      </c>
      <c r="Y133">
        <v>1.94</v>
      </c>
      <c r="AA133">
        <v>0</v>
      </c>
      <c r="AB133">
        <v>1412.71</v>
      </c>
      <c r="AC133">
        <v>641.32000000000005</v>
      </c>
      <c r="AD133">
        <v>0</v>
      </c>
      <c r="AE133">
        <v>0</v>
      </c>
      <c r="AF133">
        <v>1412.71</v>
      </c>
      <c r="AG133">
        <v>641.32000000000005</v>
      </c>
      <c r="AH133">
        <v>0</v>
      </c>
      <c r="AI133">
        <v>1</v>
      </c>
      <c r="AJ133">
        <v>1</v>
      </c>
      <c r="AK133">
        <v>1</v>
      </c>
      <c r="AL133">
        <v>1</v>
      </c>
      <c r="AN133">
        <v>0</v>
      </c>
      <c r="AO133">
        <v>1</v>
      </c>
      <c r="AP133">
        <v>0</v>
      </c>
      <c r="AQ133">
        <v>0</v>
      </c>
      <c r="AR133">
        <v>0</v>
      </c>
      <c r="AS133" t="s">
        <v>3</v>
      </c>
      <c r="AT133">
        <v>1.94</v>
      </c>
      <c r="AU133" t="s">
        <v>3</v>
      </c>
      <c r="AV133">
        <v>0</v>
      </c>
      <c r="AW133">
        <v>2</v>
      </c>
      <c r="AX133">
        <v>42225282</v>
      </c>
      <c r="AY133">
        <v>1</v>
      </c>
      <c r="AZ133">
        <v>0</v>
      </c>
      <c r="BA133">
        <v>120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Y133*Source!I308</f>
        <v>5.0439999999999999E-3</v>
      </c>
      <c r="CY133">
        <f>AB133</f>
        <v>1412.71</v>
      </c>
      <c r="CZ133">
        <f>AF133</f>
        <v>1412.71</v>
      </c>
      <c r="DA133">
        <f>AJ133</f>
        <v>1</v>
      </c>
      <c r="DB133">
        <f t="shared" ref="DB133:DB164" si="27">ROUND(ROUND(AT133*CZ133,2),6)</f>
        <v>2740.66</v>
      </c>
      <c r="DC133">
        <f t="shared" ref="DC133:DC164" si="28">ROUND(ROUND(AT133*AG133,2),6)</f>
        <v>1244.1600000000001</v>
      </c>
    </row>
    <row r="134" spans="1:107">
      <c r="A134">
        <f>ROW(Source!A308)</f>
        <v>308</v>
      </c>
      <c r="B134">
        <v>42225948</v>
      </c>
      <c r="C134">
        <v>42225269</v>
      </c>
      <c r="D134">
        <v>38799203</v>
      </c>
      <c r="E134">
        <v>1</v>
      </c>
      <c r="F134">
        <v>1</v>
      </c>
      <c r="G134">
        <v>27</v>
      </c>
      <c r="H134">
        <v>2</v>
      </c>
      <c r="I134" t="s">
        <v>438</v>
      </c>
      <c r="J134" t="s">
        <v>439</v>
      </c>
      <c r="K134" t="s">
        <v>440</v>
      </c>
      <c r="L134">
        <v>1368</v>
      </c>
      <c r="N134">
        <v>1011</v>
      </c>
      <c r="O134" t="s">
        <v>345</v>
      </c>
      <c r="P134" t="s">
        <v>345</v>
      </c>
      <c r="Q134">
        <v>1</v>
      </c>
      <c r="W134">
        <v>0</v>
      </c>
      <c r="X134">
        <v>-1991511797</v>
      </c>
      <c r="Y134">
        <v>0.65</v>
      </c>
      <c r="AA134">
        <v>0</v>
      </c>
      <c r="AB134">
        <v>1213.3399999999999</v>
      </c>
      <c r="AC134">
        <v>461.6</v>
      </c>
      <c r="AD134">
        <v>0</v>
      </c>
      <c r="AE134">
        <v>0</v>
      </c>
      <c r="AF134">
        <v>1213.3399999999999</v>
      </c>
      <c r="AG134">
        <v>461.6</v>
      </c>
      <c r="AH134">
        <v>0</v>
      </c>
      <c r="AI134">
        <v>1</v>
      </c>
      <c r="AJ134">
        <v>1</v>
      </c>
      <c r="AK134">
        <v>1</v>
      </c>
      <c r="AL134">
        <v>1</v>
      </c>
      <c r="AN134">
        <v>0</v>
      </c>
      <c r="AO134">
        <v>1</v>
      </c>
      <c r="AP134">
        <v>0</v>
      </c>
      <c r="AQ134">
        <v>0</v>
      </c>
      <c r="AR134">
        <v>0</v>
      </c>
      <c r="AS134" t="s">
        <v>3</v>
      </c>
      <c r="AT134">
        <v>0.65</v>
      </c>
      <c r="AU134" t="s">
        <v>3</v>
      </c>
      <c r="AV134">
        <v>0</v>
      </c>
      <c r="AW134">
        <v>2</v>
      </c>
      <c r="AX134">
        <v>42225283</v>
      </c>
      <c r="AY134">
        <v>1</v>
      </c>
      <c r="AZ134">
        <v>0</v>
      </c>
      <c r="BA134">
        <v>121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Y134*Source!I308</f>
        <v>1.6899999999999999E-3</v>
      </c>
      <c r="CY134">
        <f>AB134</f>
        <v>1213.3399999999999</v>
      </c>
      <c r="CZ134">
        <f>AF134</f>
        <v>1213.3399999999999</v>
      </c>
      <c r="DA134">
        <f>AJ134</f>
        <v>1</v>
      </c>
      <c r="DB134">
        <f t="shared" si="27"/>
        <v>788.67</v>
      </c>
      <c r="DC134">
        <f t="shared" si="28"/>
        <v>300.04000000000002</v>
      </c>
    </row>
    <row r="135" spans="1:107">
      <c r="A135">
        <f>ROW(Source!A308)</f>
        <v>308</v>
      </c>
      <c r="B135">
        <v>42225948</v>
      </c>
      <c r="C135">
        <v>42225269</v>
      </c>
      <c r="D135">
        <v>38801165</v>
      </c>
      <c r="E135">
        <v>1</v>
      </c>
      <c r="F135">
        <v>1</v>
      </c>
      <c r="G135">
        <v>27</v>
      </c>
      <c r="H135">
        <v>3</v>
      </c>
      <c r="I135" t="s">
        <v>441</v>
      </c>
      <c r="J135" t="s">
        <v>442</v>
      </c>
      <c r="K135" t="s">
        <v>443</v>
      </c>
      <c r="L135">
        <v>1339</v>
      </c>
      <c r="N135">
        <v>1007</v>
      </c>
      <c r="O135" t="s">
        <v>349</v>
      </c>
      <c r="P135" t="s">
        <v>349</v>
      </c>
      <c r="Q135">
        <v>1</v>
      </c>
      <c r="W135">
        <v>0</v>
      </c>
      <c r="X135">
        <v>-840107338</v>
      </c>
      <c r="Y135">
        <v>110</v>
      </c>
      <c r="AA135">
        <v>590.78</v>
      </c>
      <c r="AB135">
        <v>0</v>
      </c>
      <c r="AC135">
        <v>0</v>
      </c>
      <c r="AD135">
        <v>0</v>
      </c>
      <c r="AE135">
        <v>590.78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 t="s">
        <v>3</v>
      </c>
      <c r="AT135">
        <v>110</v>
      </c>
      <c r="AU135" t="s">
        <v>3</v>
      </c>
      <c r="AV135">
        <v>0</v>
      </c>
      <c r="AW135">
        <v>2</v>
      </c>
      <c r="AX135">
        <v>42225284</v>
      </c>
      <c r="AY135">
        <v>1</v>
      </c>
      <c r="AZ135">
        <v>0</v>
      </c>
      <c r="BA135">
        <v>122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Y135*Source!I308</f>
        <v>0.28599999999999998</v>
      </c>
      <c r="CY135">
        <f>AA135</f>
        <v>590.78</v>
      </c>
      <c r="CZ135">
        <f>AE135</f>
        <v>590.78</v>
      </c>
      <c r="DA135">
        <f>AI135</f>
        <v>1</v>
      </c>
      <c r="DB135">
        <f t="shared" si="27"/>
        <v>64985.8</v>
      </c>
      <c r="DC135">
        <f t="shared" si="28"/>
        <v>0</v>
      </c>
    </row>
    <row r="136" spans="1:107">
      <c r="A136">
        <f>ROW(Source!A308)</f>
        <v>308</v>
      </c>
      <c r="B136">
        <v>42225948</v>
      </c>
      <c r="C136">
        <v>42225269</v>
      </c>
      <c r="D136">
        <v>38801911</v>
      </c>
      <c r="E136">
        <v>1</v>
      </c>
      <c r="F136">
        <v>1</v>
      </c>
      <c r="G136">
        <v>27</v>
      </c>
      <c r="H136">
        <v>3</v>
      </c>
      <c r="I136" t="s">
        <v>354</v>
      </c>
      <c r="J136" t="s">
        <v>444</v>
      </c>
      <c r="K136" t="s">
        <v>356</v>
      </c>
      <c r="L136">
        <v>1339</v>
      </c>
      <c r="N136">
        <v>1007</v>
      </c>
      <c r="O136" t="s">
        <v>349</v>
      </c>
      <c r="P136" t="s">
        <v>349</v>
      </c>
      <c r="Q136">
        <v>1</v>
      </c>
      <c r="W136">
        <v>0</v>
      </c>
      <c r="X136">
        <v>2028445372</v>
      </c>
      <c r="Y136">
        <v>5</v>
      </c>
      <c r="AA136">
        <v>35.25</v>
      </c>
      <c r="AB136">
        <v>0</v>
      </c>
      <c r="AC136">
        <v>0</v>
      </c>
      <c r="AD136">
        <v>0</v>
      </c>
      <c r="AE136">
        <v>35.25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 t="s">
        <v>3</v>
      </c>
      <c r="AT136">
        <v>5</v>
      </c>
      <c r="AU136" t="s">
        <v>3</v>
      </c>
      <c r="AV136">
        <v>0</v>
      </c>
      <c r="AW136">
        <v>2</v>
      </c>
      <c r="AX136">
        <v>42225285</v>
      </c>
      <c r="AY136">
        <v>1</v>
      </c>
      <c r="AZ136">
        <v>0</v>
      </c>
      <c r="BA136">
        <v>123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Y136*Source!I308</f>
        <v>1.2999999999999999E-2</v>
      </c>
      <c r="CY136">
        <f>AA136</f>
        <v>35.25</v>
      </c>
      <c r="CZ136">
        <f>AE136</f>
        <v>35.25</v>
      </c>
      <c r="DA136">
        <f>AI136</f>
        <v>1</v>
      </c>
      <c r="DB136">
        <f t="shared" si="27"/>
        <v>176.25</v>
      </c>
      <c r="DC136">
        <f t="shared" si="28"/>
        <v>0</v>
      </c>
    </row>
    <row r="137" spans="1:107">
      <c r="A137">
        <f>ROW(Source!A309)</f>
        <v>309</v>
      </c>
      <c r="B137">
        <v>42225948</v>
      </c>
      <c r="C137">
        <v>42225286</v>
      </c>
      <c r="D137">
        <v>38786840</v>
      </c>
      <c r="E137">
        <v>27</v>
      </c>
      <c r="F137">
        <v>1</v>
      </c>
      <c r="G137">
        <v>27</v>
      </c>
      <c r="H137">
        <v>1</v>
      </c>
      <c r="I137" t="s">
        <v>339</v>
      </c>
      <c r="J137" t="s">
        <v>3</v>
      </c>
      <c r="K137" t="s">
        <v>340</v>
      </c>
      <c r="L137">
        <v>1191</v>
      </c>
      <c r="N137">
        <v>1013</v>
      </c>
      <c r="O137" t="s">
        <v>341</v>
      </c>
      <c r="P137" t="s">
        <v>341</v>
      </c>
      <c r="Q137">
        <v>1</v>
      </c>
      <c r="W137">
        <v>0</v>
      </c>
      <c r="X137">
        <v>476480486</v>
      </c>
      <c r="Y137">
        <v>24.84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 t="s">
        <v>3</v>
      </c>
      <c r="AT137">
        <v>24.84</v>
      </c>
      <c r="AU137" t="s">
        <v>3</v>
      </c>
      <c r="AV137">
        <v>1</v>
      </c>
      <c r="AW137">
        <v>2</v>
      </c>
      <c r="AX137">
        <v>42225296</v>
      </c>
      <c r="AY137">
        <v>1</v>
      </c>
      <c r="AZ137">
        <v>0</v>
      </c>
      <c r="BA137">
        <v>124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Y137*Source!I309</f>
        <v>9.687599999999999E-2</v>
      </c>
      <c r="CY137">
        <f>AD137</f>
        <v>0</v>
      </c>
      <c r="CZ137">
        <f>AH137</f>
        <v>0</v>
      </c>
      <c r="DA137">
        <f>AL137</f>
        <v>1</v>
      </c>
      <c r="DB137">
        <f t="shared" si="27"/>
        <v>0</v>
      </c>
      <c r="DC137">
        <f t="shared" si="28"/>
        <v>0</v>
      </c>
    </row>
    <row r="138" spans="1:107">
      <c r="A138">
        <f>ROW(Source!A309)</f>
        <v>309</v>
      </c>
      <c r="B138">
        <v>42225948</v>
      </c>
      <c r="C138">
        <v>42225286</v>
      </c>
      <c r="D138">
        <v>38799032</v>
      </c>
      <c r="E138">
        <v>1</v>
      </c>
      <c r="F138">
        <v>1</v>
      </c>
      <c r="G138">
        <v>27</v>
      </c>
      <c r="H138">
        <v>2</v>
      </c>
      <c r="I138" t="s">
        <v>373</v>
      </c>
      <c r="J138" t="s">
        <v>374</v>
      </c>
      <c r="K138" t="s">
        <v>375</v>
      </c>
      <c r="L138">
        <v>1368</v>
      </c>
      <c r="N138">
        <v>1011</v>
      </c>
      <c r="O138" t="s">
        <v>345</v>
      </c>
      <c r="P138" t="s">
        <v>345</v>
      </c>
      <c r="Q138">
        <v>1</v>
      </c>
      <c r="W138">
        <v>0</v>
      </c>
      <c r="X138">
        <v>974897901</v>
      </c>
      <c r="Y138">
        <v>2.94</v>
      </c>
      <c r="AA138">
        <v>0</v>
      </c>
      <c r="AB138">
        <v>956.79</v>
      </c>
      <c r="AC138">
        <v>359.44</v>
      </c>
      <c r="AD138">
        <v>0</v>
      </c>
      <c r="AE138">
        <v>0</v>
      </c>
      <c r="AF138">
        <v>956.79</v>
      </c>
      <c r="AG138">
        <v>359.44</v>
      </c>
      <c r="AH138">
        <v>0</v>
      </c>
      <c r="AI138">
        <v>1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 t="s">
        <v>3</v>
      </c>
      <c r="AT138">
        <v>2.94</v>
      </c>
      <c r="AU138" t="s">
        <v>3</v>
      </c>
      <c r="AV138">
        <v>0</v>
      </c>
      <c r="AW138">
        <v>2</v>
      </c>
      <c r="AX138">
        <v>42225297</v>
      </c>
      <c r="AY138">
        <v>1</v>
      </c>
      <c r="AZ138">
        <v>0</v>
      </c>
      <c r="BA138">
        <v>125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Y138*Source!I309</f>
        <v>1.1465999999999999E-2</v>
      </c>
      <c r="CY138">
        <f t="shared" ref="CY138:CY143" si="29">AB138</f>
        <v>956.79</v>
      </c>
      <c r="CZ138">
        <f t="shared" ref="CZ138:CZ143" si="30">AF138</f>
        <v>956.79</v>
      </c>
      <c r="DA138">
        <f t="shared" ref="DA138:DA143" si="31">AJ138</f>
        <v>1</v>
      </c>
      <c r="DB138">
        <f t="shared" si="27"/>
        <v>2812.96</v>
      </c>
      <c r="DC138">
        <f t="shared" si="28"/>
        <v>1056.75</v>
      </c>
    </row>
    <row r="139" spans="1:107">
      <c r="A139">
        <f>ROW(Source!A309)</f>
        <v>309</v>
      </c>
      <c r="B139">
        <v>42225948</v>
      </c>
      <c r="C139">
        <v>42225286</v>
      </c>
      <c r="D139">
        <v>38799213</v>
      </c>
      <c r="E139">
        <v>1</v>
      </c>
      <c r="F139">
        <v>1</v>
      </c>
      <c r="G139">
        <v>27</v>
      </c>
      <c r="H139">
        <v>2</v>
      </c>
      <c r="I139" t="s">
        <v>376</v>
      </c>
      <c r="J139" t="s">
        <v>434</v>
      </c>
      <c r="K139" t="s">
        <v>378</v>
      </c>
      <c r="L139">
        <v>1368</v>
      </c>
      <c r="N139">
        <v>1011</v>
      </c>
      <c r="O139" t="s">
        <v>345</v>
      </c>
      <c r="P139" t="s">
        <v>345</v>
      </c>
      <c r="Q139">
        <v>1</v>
      </c>
      <c r="W139">
        <v>0</v>
      </c>
      <c r="X139">
        <v>351519474</v>
      </c>
      <c r="Y139">
        <v>1.1399999999999999</v>
      </c>
      <c r="AA139">
        <v>0</v>
      </c>
      <c r="AB139">
        <v>2020.59</v>
      </c>
      <c r="AC139">
        <v>458.56</v>
      </c>
      <c r="AD139">
        <v>0</v>
      </c>
      <c r="AE139">
        <v>0</v>
      </c>
      <c r="AF139">
        <v>2020.59</v>
      </c>
      <c r="AG139">
        <v>458.56</v>
      </c>
      <c r="AH139">
        <v>0</v>
      </c>
      <c r="AI139">
        <v>1</v>
      </c>
      <c r="AJ139">
        <v>1</v>
      </c>
      <c r="AK139">
        <v>1</v>
      </c>
      <c r="AL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S139" t="s">
        <v>3</v>
      </c>
      <c r="AT139">
        <v>1.1399999999999999</v>
      </c>
      <c r="AU139" t="s">
        <v>3</v>
      </c>
      <c r="AV139">
        <v>0</v>
      </c>
      <c r="AW139">
        <v>2</v>
      </c>
      <c r="AX139">
        <v>42225298</v>
      </c>
      <c r="AY139">
        <v>1</v>
      </c>
      <c r="AZ139">
        <v>0</v>
      </c>
      <c r="BA139">
        <v>126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Y139*Source!I309</f>
        <v>4.4459999999999994E-3</v>
      </c>
      <c r="CY139">
        <f t="shared" si="29"/>
        <v>2020.59</v>
      </c>
      <c r="CZ139">
        <f t="shared" si="30"/>
        <v>2020.59</v>
      </c>
      <c r="DA139">
        <f t="shared" si="31"/>
        <v>1</v>
      </c>
      <c r="DB139">
        <f t="shared" si="27"/>
        <v>2303.4699999999998</v>
      </c>
      <c r="DC139">
        <f t="shared" si="28"/>
        <v>522.76</v>
      </c>
    </row>
    <row r="140" spans="1:107">
      <c r="A140">
        <f>ROW(Source!A309)</f>
        <v>309</v>
      </c>
      <c r="B140">
        <v>42225948</v>
      </c>
      <c r="C140">
        <v>42225286</v>
      </c>
      <c r="D140">
        <v>38799198</v>
      </c>
      <c r="E140">
        <v>1</v>
      </c>
      <c r="F140">
        <v>1</v>
      </c>
      <c r="G140">
        <v>27</v>
      </c>
      <c r="H140">
        <v>2</v>
      </c>
      <c r="I140" t="s">
        <v>445</v>
      </c>
      <c r="J140" t="s">
        <v>446</v>
      </c>
      <c r="K140" t="s">
        <v>447</v>
      </c>
      <c r="L140">
        <v>1368</v>
      </c>
      <c r="N140">
        <v>1011</v>
      </c>
      <c r="O140" t="s">
        <v>345</v>
      </c>
      <c r="P140" t="s">
        <v>345</v>
      </c>
      <c r="Q140">
        <v>1</v>
      </c>
      <c r="W140">
        <v>0</v>
      </c>
      <c r="X140">
        <v>-1930120489</v>
      </c>
      <c r="Y140">
        <v>8.9600000000000009</v>
      </c>
      <c r="AA140">
        <v>0</v>
      </c>
      <c r="AB140">
        <v>1261.8699999999999</v>
      </c>
      <c r="AC140">
        <v>530.02</v>
      </c>
      <c r="AD140">
        <v>0</v>
      </c>
      <c r="AE140">
        <v>0</v>
      </c>
      <c r="AF140">
        <v>1261.8699999999999</v>
      </c>
      <c r="AG140">
        <v>530.02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1</v>
      </c>
      <c r="AP140">
        <v>0</v>
      </c>
      <c r="AQ140">
        <v>0</v>
      </c>
      <c r="AR140">
        <v>0</v>
      </c>
      <c r="AS140" t="s">
        <v>3</v>
      </c>
      <c r="AT140">
        <v>8.9600000000000009</v>
      </c>
      <c r="AU140" t="s">
        <v>3</v>
      </c>
      <c r="AV140">
        <v>0</v>
      </c>
      <c r="AW140">
        <v>2</v>
      </c>
      <c r="AX140">
        <v>42225299</v>
      </c>
      <c r="AY140">
        <v>1</v>
      </c>
      <c r="AZ140">
        <v>0</v>
      </c>
      <c r="BA140">
        <v>127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Y140*Source!I309</f>
        <v>3.4944000000000003E-2</v>
      </c>
      <c r="CY140">
        <f t="shared" si="29"/>
        <v>1261.8699999999999</v>
      </c>
      <c r="CZ140">
        <f t="shared" si="30"/>
        <v>1261.8699999999999</v>
      </c>
      <c r="DA140">
        <f t="shared" si="31"/>
        <v>1</v>
      </c>
      <c r="DB140">
        <f t="shared" si="27"/>
        <v>11306.36</v>
      </c>
      <c r="DC140">
        <f t="shared" si="28"/>
        <v>4748.9799999999996</v>
      </c>
    </row>
    <row r="141" spans="1:107">
      <c r="A141">
        <f>ROW(Source!A309)</f>
        <v>309</v>
      </c>
      <c r="B141">
        <v>42225948</v>
      </c>
      <c r="C141">
        <v>42225286</v>
      </c>
      <c r="D141">
        <v>38799199</v>
      </c>
      <c r="E141">
        <v>1</v>
      </c>
      <c r="F141">
        <v>1</v>
      </c>
      <c r="G141">
        <v>27</v>
      </c>
      <c r="H141">
        <v>2</v>
      </c>
      <c r="I141" t="s">
        <v>448</v>
      </c>
      <c r="J141" t="s">
        <v>449</v>
      </c>
      <c r="K141" t="s">
        <v>450</v>
      </c>
      <c r="L141">
        <v>1368</v>
      </c>
      <c r="N141">
        <v>1011</v>
      </c>
      <c r="O141" t="s">
        <v>345</v>
      </c>
      <c r="P141" t="s">
        <v>345</v>
      </c>
      <c r="Q141">
        <v>1</v>
      </c>
      <c r="W141">
        <v>0</v>
      </c>
      <c r="X141">
        <v>1869206802</v>
      </c>
      <c r="Y141">
        <v>18.25</v>
      </c>
      <c r="AA141">
        <v>0</v>
      </c>
      <c r="AB141">
        <v>1827.95</v>
      </c>
      <c r="AC141">
        <v>720.55</v>
      </c>
      <c r="AD141">
        <v>0</v>
      </c>
      <c r="AE141">
        <v>0</v>
      </c>
      <c r="AF141">
        <v>1827.95</v>
      </c>
      <c r="AG141">
        <v>720.55</v>
      </c>
      <c r="AH141">
        <v>0</v>
      </c>
      <c r="AI141">
        <v>1</v>
      </c>
      <c r="AJ141">
        <v>1</v>
      </c>
      <c r="AK141">
        <v>1</v>
      </c>
      <c r="AL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 t="s">
        <v>3</v>
      </c>
      <c r="AT141">
        <v>18.25</v>
      </c>
      <c r="AU141" t="s">
        <v>3</v>
      </c>
      <c r="AV141">
        <v>0</v>
      </c>
      <c r="AW141">
        <v>2</v>
      </c>
      <c r="AX141">
        <v>42225300</v>
      </c>
      <c r="AY141">
        <v>1</v>
      </c>
      <c r="AZ141">
        <v>0</v>
      </c>
      <c r="BA141">
        <v>128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Y141*Source!I309</f>
        <v>7.1175000000000002E-2</v>
      </c>
      <c r="CY141">
        <f t="shared" si="29"/>
        <v>1827.95</v>
      </c>
      <c r="CZ141">
        <f t="shared" si="30"/>
        <v>1827.95</v>
      </c>
      <c r="DA141">
        <f t="shared" si="31"/>
        <v>1</v>
      </c>
      <c r="DB141">
        <f t="shared" si="27"/>
        <v>33360.089999999997</v>
      </c>
      <c r="DC141">
        <f t="shared" si="28"/>
        <v>13150.04</v>
      </c>
    </row>
    <row r="142" spans="1:107">
      <c r="A142">
        <f>ROW(Source!A309)</f>
        <v>309</v>
      </c>
      <c r="B142">
        <v>42225948</v>
      </c>
      <c r="C142">
        <v>42225286</v>
      </c>
      <c r="D142">
        <v>38799237</v>
      </c>
      <c r="E142">
        <v>1</v>
      </c>
      <c r="F142">
        <v>1</v>
      </c>
      <c r="G142">
        <v>27</v>
      </c>
      <c r="H142">
        <v>2</v>
      </c>
      <c r="I142" t="s">
        <v>435</v>
      </c>
      <c r="J142" t="s">
        <v>436</v>
      </c>
      <c r="K142" t="s">
        <v>437</v>
      </c>
      <c r="L142">
        <v>1368</v>
      </c>
      <c r="N142">
        <v>1011</v>
      </c>
      <c r="O142" t="s">
        <v>345</v>
      </c>
      <c r="P142" t="s">
        <v>345</v>
      </c>
      <c r="Q142">
        <v>1</v>
      </c>
      <c r="W142">
        <v>0</v>
      </c>
      <c r="X142">
        <v>41279402</v>
      </c>
      <c r="Y142">
        <v>2.2400000000000002</v>
      </c>
      <c r="AA142">
        <v>0</v>
      </c>
      <c r="AB142">
        <v>1412.71</v>
      </c>
      <c r="AC142">
        <v>641.32000000000005</v>
      </c>
      <c r="AD142">
        <v>0</v>
      </c>
      <c r="AE142">
        <v>0</v>
      </c>
      <c r="AF142">
        <v>1412.71</v>
      </c>
      <c r="AG142">
        <v>641.32000000000005</v>
      </c>
      <c r="AH142">
        <v>0</v>
      </c>
      <c r="AI142">
        <v>1</v>
      </c>
      <c r="AJ142">
        <v>1</v>
      </c>
      <c r="AK142">
        <v>1</v>
      </c>
      <c r="AL142">
        <v>1</v>
      </c>
      <c r="AN142">
        <v>0</v>
      </c>
      <c r="AO142">
        <v>1</v>
      </c>
      <c r="AP142">
        <v>0</v>
      </c>
      <c r="AQ142">
        <v>0</v>
      </c>
      <c r="AR142">
        <v>0</v>
      </c>
      <c r="AS142" t="s">
        <v>3</v>
      </c>
      <c r="AT142">
        <v>2.2400000000000002</v>
      </c>
      <c r="AU142" t="s">
        <v>3</v>
      </c>
      <c r="AV142">
        <v>0</v>
      </c>
      <c r="AW142">
        <v>2</v>
      </c>
      <c r="AX142">
        <v>42225301</v>
      </c>
      <c r="AY142">
        <v>1</v>
      </c>
      <c r="AZ142">
        <v>0</v>
      </c>
      <c r="BA142">
        <v>129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Y142*Source!I309</f>
        <v>8.7360000000000007E-3</v>
      </c>
      <c r="CY142">
        <f t="shared" si="29"/>
        <v>1412.71</v>
      </c>
      <c r="CZ142">
        <f t="shared" si="30"/>
        <v>1412.71</v>
      </c>
      <c r="DA142">
        <f t="shared" si="31"/>
        <v>1</v>
      </c>
      <c r="DB142">
        <f t="shared" si="27"/>
        <v>3164.47</v>
      </c>
      <c r="DC142">
        <f t="shared" si="28"/>
        <v>1436.56</v>
      </c>
    </row>
    <row r="143" spans="1:107">
      <c r="A143">
        <f>ROW(Source!A309)</f>
        <v>309</v>
      </c>
      <c r="B143">
        <v>42225948</v>
      </c>
      <c r="C143">
        <v>42225286</v>
      </c>
      <c r="D143">
        <v>38799203</v>
      </c>
      <c r="E143">
        <v>1</v>
      </c>
      <c r="F143">
        <v>1</v>
      </c>
      <c r="G143">
        <v>27</v>
      </c>
      <c r="H143">
        <v>2</v>
      </c>
      <c r="I143" t="s">
        <v>438</v>
      </c>
      <c r="J143" t="s">
        <v>439</v>
      </c>
      <c r="K143" t="s">
        <v>440</v>
      </c>
      <c r="L143">
        <v>1368</v>
      </c>
      <c r="N143">
        <v>1011</v>
      </c>
      <c r="O143" t="s">
        <v>345</v>
      </c>
      <c r="P143" t="s">
        <v>345</v>
      </c>
      <c r="Q143">
        <v>1</v>
      </c>
      <c r="W143">
        <v>0</v>
      </c>
      <c r="X143">
        <v>-1991511797</v>
      </c>
      <c r="Y143">
        <v>0.65</v>
      </c>
      <c r="AA143">
        <v>0</v>
      </c>
      <c r="AB143">
        <v>1213.3399999999999</v>
      </c>
      <c r="AC143">
        <v>461.6</v>
      </c>
      <c r="AD143">
        <v>0</v>
      </c>
      <c r="AE143">
        <v>0</v>
      </c>
      <c r="AF143">
        <v>1213.3399999999999</v>
      </c>
      <c r="AG143">
        <v>461.6</v>
      </c>
      <c r="AH143">
        <v>0</v>
      </c>
      <c r="AI143">
        <v>1</v>
      </c>
      <c r="AJ143">
        <v>1</v>
      </c>
      <c r="AK143">
        <v>1</v>
      </c>
      <c r="AL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 t="s">
        <v>3</v>
      </c>
      <c r="AT143">
        <v>0.65</v>
      </c>
      <c r="AU143" t="s">
        <v>3</v>
      </c>
      <c r="AV143">
        <v>0</v>
      </c>
      <c r="AW143">
        <v>2</v>
      </c>
      <c r="AX143">
        <v>42225302</v>
      </c>
      <c r="AY143">
        <v>1</v>
      </c>
      <c r="AZ143">
        <v>0</v>
      </c>
      <c r="BA143">
        <v>130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Y143*Source!I309</f>
        <v>2.5349999999999999E-3</v>
      </c>
      <c r="CY143">
        <f t="shared" si="29"/>
        <v>1213.3399999999999</v>
      </c>
      <c r="CZ143">
        <f t="shared" si="30"/>
        <v>1213.3399999999999</v>
      </c>
      <c r="DA143">
        <f t="shared" si="31"/>
        <v>1</v>
      </c>
      <c r="DB143">
        <f t="shared" si="27"/>
        <v>788.67</v>
      </c>
      <c r="DC143">
        <f t="shared" si="28"/>
        <v>300.04000000000002</v>
      </c>
    </row>
    <row r="144" spans="1:107">
      <c r="A144">
        <f>ROW(Source!A309)</f>
        <v>309</v>
      </c>
      <c r="B144">
        <v>42225948</v>
      </c>
      <c r="C144">
        <v>42225286</v>
      </c>
      <c r="D144">
        <v>38801191</v>
      </c>
      <c r="E144">
        <v>1</v>
      </c>
      <c r="F144">
        <v>1</v>
      </c>
      <c r="G144">
        <v>27</v>
      </c>
      <c r="H144">
        <v>3</v>
      </c>
      <c r="I144" t="s">
        <v>451</v>
      </c>
      <c r="J144" t="s">
        <v>452</v>
      </c>
      <c r="K144" t="s">
        <v>453</v>
      </c>
      <c r="L144">
        <v>1339</v>
      </c>
      <c r="N144">
        <v>1007</v>
      </c>
      <c r="O144" t="s">
        <v>349</v>
      </c>
      <c r="P144" t="s">
        <v>349</v>
      </c>
      <c r="Q144">
        <v>1</v>
      </c>
      <c r="W144">
        <v>0</v>
      </c>
      <c r="X144">
        <v>811973350</v>
      </c>
      <c r="Y144">
        <v>126</v>
      </c>
      <c r="AA144">
        <v>1763.75</v>
      </c>
      <c r="AB144">
        <v>0</v>
      </c>
      <c r="AC144">
        <v>0</v>
      </c>
      <c r="AD144">
        <v>0</v>
      </c>
      <c r="AE144">
        <v>1763.75</v>
      </c>
      <c r="AF144">
        <v>0</v>
      </c>
      <c r="AG144">
        <v>0</v>
      </c>
      <c r="AH144">
        <v>0</v>
      </c>
      <c r="AI144">
        <v>1</v>
      </c>
      <c r="AJ144">
        <v>1</v>
      </c>
      <c r="AK144">
        <v>1</v>
      </c>
      <c r="AL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S144" t="s">
        <v>3</v>
      </c>
      <c r="AT144">
        <v>126</v>
      </c>
      <c r="AU144" t="s">
        <v>3</v>
      </c>
      <c r="AV144">
        <v>0</v>
      </c>
      <c r="AW144">
        <v>2</v>
      </c>
      <c r="AX144">
        <v>42225303</v>
      </c>
      <c r="AY144">
        <v>1</v>
      </c>
      <c r="AZ144">
        <v>0</v>
      </c>
      <c r="BA144">
        <v>131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Y144*Source!I309</f>
        <v>0.4914</v>
      </c>
      <c r="CY144">
        <f>AA144</f>
        <v>1763.75</v>
      </c>
      <c r="CZ144">
        <f>AE144</f>
        <v>1763.75</v>
      </c>
      <c r="DA144">
        <f>AI144</f>
        <v>1</v>
      </c>
      <c r="DB144">
        <f t="shared" si="27"/>
        <v>222232.5</v>
      </c>
      <c r="DC144">
        <f t="shared" si="28"/>
        <v>0</v>
      </c>
    </row>
    <row r="145" spans="1:107">
      <c r="A145">
        <f>ROW(Source!A309)</f>
        <v>309</v>
      </c>
      <c r="B145">
        <v>42225948</v>
      </c>
      <c r="C145">
        <v>42225286</v>
      </c>
      <c r="D145">
        <v>38801911</v>
      </c>
      <c r="E145">
        <v>1</v>
      </c>
      <c r="F145">
        <v>1</v>
      </c>
      <c r="G145">
        <v>27</v>
      </c>
      <c r="H145">
        <v>3</v>
      </c>
      <c r="I145" t="s">
        <v>354</v>
      </c>
      <c r="J145" t="s">
        <v>444</v>
      </c>
      <c r="K145" t="s">
        <v>356</v>
      </c>
      <c r="L145">
        <v>1339</v>
      </c>
      <c r="N145">
        <v>1007</v>
      </c>
      <c r="O145" t="s">
        <v>349</v>
      </c>
      <c r="P145" t="s">
        <v>349</v>
      </c>
      <c r="Q145">
        <v>1</v>
      </c>
      <c r="W145">
        <v>0</v>
      </c>
      <c r="X145">
        <v>2028445372</v>
      </c>
      <c r="Y145">
        <v>7</v>
      </c>
      <c r="AA145">
        <v>35.25</v>
      </c>
      <c r="AB145">
        <v>0</v>
      </c>
      <c r="AC145">
        <v>0</v>
      </c>
      <c r="AD145">
        <v>0</v>
      </c>
      <c r="AE145">
        <v>35.25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 t="s">
        <v>3</v>
      </c>
      <c r="AT145">
        <v>7</v>
      </c>
      <c r="AU145" t="s">
        <v>3</v>
      </c>
      <c r="AV145">
        <v>0</v>
      </c>
      <c r="AW145">
        <v>2</v>
      </c>
      <c r="AX145">
        <v>42225304</v>
      </c>
      <c r="AY145">
        <v>1</v>
      </c>
      <c r="AZ145">
        <v>0</v>
      </c>
      <c r="BA145">
        <v>132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Y145*Source!I309</f>
        <v>2.7299999999999998E-2</v>
      </c>
      <c r="CY145">
        <f>AA145</f>
        <v>35.25</v>
      </c>
      <c r="CZ145">
        <f>AE145</f>
        <v>35.25</v>
      </c>
      <c r="DA145">
        <f>AI145</f>
        <v>1</v>
      </c>
      <c r="DB145">
        <f t="shared" si="27"/>
        <v>246.75</v>
      </c>
      <c r="DC145">
        <f t="shared" si="28"/>
        <v>0</v>
      </c>
    </row>
    <row r="146" spans="1:107">
      <c r="A146">
        <f>ROW(Source!A310)</f>
        <v>310</v>
      </c>
      <c r="B146">
        <v>42225948</v>
      </c>
      <c r="C146">
        <v>42225305</v>
      </c>
      <c r="D146">
        <v>38786840</v>
      </c>
      <c r="E146">
        <v>27</v>
      </c>
      <c r="F146">
        <v>1</v>
      </c>
      <c r="G146">
        <v>27</v>
      </c>
      <c r="H146">
        <v>1</v>
      </c>
      <c r="I146" t="s">
        <v>339</v>
      </c>
      <c r="J146" t="s">
        <v>3</v>
      </c>
      <c r="K146" t="s">
        <v>340</v>
      </c>
      <c r="L146">
        <v>1191</v>
      </c>
      <c r="N146">
        <v>1013</v>
      </c>
      <c r="O146" t="s">
        <v>341</v>
      </c>
      <c r="P146" t="s">
        <v>341</v>
      </c>
      <c r="Q146">
        <v>1</v>
      </c>
      <c r="W146">
        <v>0</v>
      </c>
      <c r="X146">
        <v>476480486</v>
      </c>
      <c r="Y146">
        <v>111.55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 t="s">
        <v>3</v>
      </c>
      <c r="AT146">
        <v>111.55</v>
      </c>
      <c r="AU146" t="s">
        <v>3</v>
      </c>
      <c r="AV146">
        <v>1</v>
      </c>
      <c r="AW146">
        <v>2</v>
      </c>
      <c r="AX146">
        <v>42225317</v>
      </c>
      <c r="AY146">
        <v>1</v>
      </c>
      <c r="AZ146">
        <v>0</v>
      </c>
      <c r="BA146">
        <v>133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Y146*Source!I310</f>
        <v>0.43504499999999996</v>
      </c>
      <c r="CY146">
        <f>AD146</f>
        <v>0</v>
      </c>
      <c r="CZ146">
        <f>AH146</f>
        <v>0</v>
      </c>
      <c r="DA146">
        <f>AL146</f>
        <v>1</v>
      </c>
      <c r="DB146">
        <f t="shared" si="27"/>
        <v>0</v>
      </c>
      <c r="DC146">
        <f t="shared" si="28"/>
        <v>0</v>
      </c>
    </row>
    <row r="147" spans="1:107">
      <c r="A147">
        <f>ROW(Source!A310)</f>
        <v>310</v>
      </c>
      <c r="B147">
        <v>42225948</v>
      </c>
      <c r="C147">
        <v>42225305</v>
      </c>
      <c r="D147">
        <v>38799857</v>
      </c>
      <c r="E147">
        <v>1</v>
      </c>
      <c r="F147">
        <v>1</v>
      </c>
      <c r="G147">
        <v>27</v>
      </c>
      <c r="H147">
        <v>2</v>
      </c>
      <c r="I147" t="s">
        <v>454</v>
      </c>
      <c r="J147" t="s">
        <v>455</v>
      </c>
      <c r="K147" t="s">
        <v>456</v>
      </c>
      <c r="L147">
        <v>1368</v>
      </c>
      <c r="N147">
        <v>1011</v>
      </c>
      <c r="O147" t="s">
        <v>345</v>
      </c>
      <c r="P147" t="s">
        <v>345</v>
      </c>
      <c r="Q147">
        <v>1</v>
      </c>
      <c r="W147">
        <v>0</v>
      </c>
      <c r="X147">
        <v>1598319406</v>
      </c>
      <c r="Y147">
        <v>0.12</v>
      </c>
      <c r="AA147">
        <v>0</v>
      </c>
      <c r="AB147">
        <v>3.67</v>
      </c>
      <c r="AC147">
        <v>0.01</v>
      </c>
      <c r="AD147">
        <v>0</v>
      </c>
      <c r="AE147">
        <v>0</v>
      </c>
      <c r="AF147">
        <v>3.67</v>
      </c>
      <c r="AG147">
        <v>0.01</v>
      </c>
      <c r="AH147">
        <v>0</v>
      </c>
      <c r="AI147">
        <v>1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 t="s">
        <v>3</v>
      </c>
      <c r="AT147">
        <v>0.12</v>
      </c>
      <c r="AU147" t="s">
        <v>3</v>
      </c>
      <c r="AV147">
        <v>0</v>
      </c>
      <c r="AW147">
        <v>2</v>
      </c>
      <c r="AX147">
        <v>42225318</v>
      </c>
      <c r="AY147">
        <v>1</v>
      </c>
      <c r="AZ147">
        <v>0</v>
      </c>
      <c r="BA147">
        <v>134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Y147*Source!I310</f>
        <v>4.6799999999999994E-4</v>
      </c>
      <c r="CY147">
        <f>AB147</f>
        <v>3.67</v>
      </c>
      <c r="CZ147">
        <f>AF147</f>
        <v>3.67</v>
      </c>
      <c r="DA147">
        <f>AJ147</f>
        <v>1</v>
      </c>
      <c r="DB147">
        <f t="shared" si="27"/>
        <v>0.44</v>
      </c>
      <c r="DC147">
        <f t="shared" si="28"/>
        <v>0</v>
      </c>
    </row>
    <row r="148" spans="1:107">
      <c r="A148">
        <f>ROW(Source!A310)</f>
        <v>310</v>
      </c>
      <c r="B148">
        <v>42225948</v>
      </c>
      <c r="C148">
        <v>42225305</v>
      </c>
      <c r="D148">
        <v>38799127</v>
      </c>
      <c r="E148">
        <v>1</v>
      </c>
      <c r="F148">
        <v>1</v>
      </c>
      <c r="G148">
        <v>27</v>
      </c>
      <c r="H148">
        <v>2</v>
      </c>
      <c r="I148" t="s">
        <v>457</v>
      </c>
      <c r="J148" t="s">
        <v>458</v>
      </c>
      <c r="K148" t="s">
        <v>459</v>
      </c>
      <c r="L148">
        <v>1368</v>
      </c>
      <c r="N148">
        <v>1011</v>
      </c>
      <c r="O148" t="s">
        <v>345</v>
      </c>
      <c r="P148" t="s">
        <v>345</v>
      </c>
      <c r="Q148">
        <v>1</v>
      </c>
      <c r="W148">
        <v>0</v>
      </c>
      <c r="X148">
        <v>-1323805330</v>
      </c>
      <c r="Y148">
        <v>0.31</v>
      </c>
      <c r="AA148">
        <v>0</v>
      </c>
      <c r="AB148">
        <v>683.9</v>
      </c>
      <c r="AC148">
        <v>371.27</v>
      </c>
      <c r="AD148">
        <v>0</v>
      </c>
      <c r="AE148">
        <v>0</v>
      </c>
      <c r="AF148">
        <v>683.9</v>
      </c>
      <c r="AG148">
        <v>371.27</v>
      </c>
      <c r="AH148">
        <v>0</v>
      </c>
      <c r="AI148">
        <v>1</v>
      </c>
      <c r="AJ148">
        <v>1</v>
      </c>
      <c r="AK148">
        <v>1</v>
      </c>
      <c r="AL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 t="s">
        <v>3</v>
      </c>
      <c r="AT148">
        <v>0.31</v>
      </c>
      <c r="AU148" t="s">
        <v>3</v>
      </c>
      <c r="AV148">
        <v>0</v>
      </c>
      <c r="AW148">
        <v>2</v>
      </c>
      <c r="AX148">
        <v>42225319</v>
      </c>
      <c r="AY148">
        <v>1</v>
      </c>
      <c r="AZ148">
        <v>0</v>
      </c>
      <c r="BA148">
        <v>135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Y148*Source!I310</f>
        <v>1.209E-3</v>
      </c>
      <c r="CY148">
        <f>AB148</f>
        <v>683.9</v>
      </c>
      <c r="CZ148">
        <f>AF148</f>
        <v>683.9</v>
      </c>
      <c r="DA148">
        <f>AJ148</f>
        <v>1</v>
      </c>
      <c r="DB148">
        <f t="shared" si="27"/>
        <v>212.01</v>
      </c>
      <c r="DC148">
        <f t="shared" si="28"/>
        <v>115.09</v>
      </c>
    </row>
    <row r="149" spans="1:107">
      <c r="A149">
        <f>ROW(Source!A310)</f>
        <v>310</v>
      </c>
      <c r="B149">
        <v>42225948</v>
      </c>
      <c r="C149">
        <v>42225305</v>
      </c>
      <c r="D149">
        <v>38799297</v>
      </c>
      <c r="E149">
        <v>1</v>
      </c>
      <c r="F149">
        <v>1</v>
      </c>
      <c r="G149">
        <v>27</v>
      </c>
      <c r="H149">
        <v>2</v>
      </c>
      <c r="I149" t="s">
        <v>460</v>
      </c>
      <c r="J149" t="s">
        <v>461</v>
      </c>
      <c r="K149" t="s">
        <v>462</v>
      </c>
      <c r="L149">
        <v>1368</v>
      </c>
      <c r="N149">
        <v>1011</v>
      </c>
      <c r="O149" t="s">
        <v>345</v>
      </c>
      <c r="P149" t="s">
        <v>345</v>
      </c>
      <c r="Q149">
        <v>1</v>
      </c>
      <c r="W149">
        <v>0</v>
      </c>
      <c r="X149">
        <v>1349119844</v>
      </c>
      <c r="Y149">
        <v>6.12</v>
      </c>
      <c r="AA149">
        <v>0</v>
      </c>
      <c r="AB149">
        <v>10.82</v>
      </c>
      <c r="AC149">
        <v>2.97</v>
      </c>
      <c r="AD149">
        <v>0</v>
      </c>
      <c r="AE149">
        <v>0</v>
      </c>
      <c r="AF149">
        <v>10.82</v>
      </c>
      <c r="AG149">
        <v>2.97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 t="s">
        <v>3</v>
      </c>
      <c r="AT149">
        <v>6.12</v>
      </c>
      <c r="AU149" t="s">
        <v>3</v>
      </c>
      <c r="AV149">
        <v>0</v>
      </c>
      <c r="AW149">
        <v>2</v>
      </c>
      <c r="AX149">
        <v>42225320</v>
      </c>
      <c r="AY149">
        <v>1</v>
      </c>
      <c r="AZ149">
        <v>0</v>
      </c>
      <c r="BA149">
        <v>136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Y149*Source!I310</f>
        <v>2.3868E-2</v>
      </c>
      <c r="CY149">
        <f>AB149</f>
        <v>10.82</v>
      </c>
      <c r="CZ149">
        <f>AF149</f>
        <v>10.82</v>
      </c>
      <c r="DA149">
        <f>AJ149</f>
        <v>1</v>
      </c>
      <c r="DB149">
        <f t="shared" si="27"/>
        <v>66.22</v>
      </c>
      <c r="DC149">
        <f t="shared" si="28"/>
        <v>18.18</v>
      </c>
    </row>
    <row r="150" spans="1:107">
      <c r="A150">
        <f>ROW(Source!A310)</f>
        <v>310</v>
      </c>
      <c r="B150">
        <v>42225948</v>
      </c>
      <c r="C150">
        <v>42225305</v>
      </c>
      <c r="D150">
        <v>38800986</v>
      </c>
      <c r="E150">
        <v>1</v>
      </c>
      <c r="F150">
        <v>1</v>
      </c>
      <c r="G150">
        <v>27</v>
      </c>
      <c r="H150">
        <v>3</v>
      </c>
      <c r="I150" t="s">
        <v>463</v>
      </c>
      <c r="J150" t="s">
        <v>464</v>
      </c>
      <c r="K150" t="s">
        <v>465</v>
      </c>
      <c r="L150">
        <v>1348</v>
      </c>
      <c r="N150">
        <v>1009</v>
      </c>
      <c r="O150" t="s">
        <v>281</v>
      </c>
      <c r="P150" t="s">
        <v>281</v>
      </c>
      <c r="Q150">
        <v>1000</v>
      </c>
      <c r="W150">
        <v>0</v>
      </c>
      <c r="X150">
        <v>1959613851</v>
      </c>
      <c r="Y150">
        <v>2E-3</v>
      </c>
      <c r="AA150">
        <v>49736.04</v>
      </c>
      <c r="AB150">
        <v>0</v>
      </c>
      <c r="AC150">
        <v>0</v>
      </c>
      <c r="AD150">
        <v>0</v>
      </c>
      <c r="AE150">
        <v>49736.04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 t="s">
        <v>3</v>
      </c>
      <c r="AT150">
        <v>2E-3</v>
      </c>
      <c r="AU150" t="s">
        <v>3</v>
      </c>
      <c r="AV150">
        <v>0</v>
      </c>
      <c r="AW150">
        <v>2</v>
      </c>
      <c r="AX150">
        <v>42225321</v>
      </c>
      <c r="AY150">
        <v>1</v>
      </c>
      <c r="AZ150">
        <v>0</v>
      </c>
      <c r="BA150">
        <v>137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Y150*Source!I310</f>
        <v>7.7999999999999999E-6</v>
      </c>
      <c r="CY150">
        <f t="shared" ref="CY150:CY156" si="32">AA150</f>
        <v>49736.04</v>
      </c>
      <c r="CZ150">
        <f t="shared" ref="CZ150:CZ156" si="33">AE150</f>
        <v>49736.04</v>
      </c>
      <c r="DA150">
        <f t="shared" ref="DA150:DA156" si="34">AI150</f>
        <v>1</v>
      </c>
      <c r="DB150">
        <f t="shared" si="27"/>
        <v>99.47</v>
      </c>
      <c r="DC150">
        <f t="shared" si="28"/>
        <v>0</v>
      </c>
    </row>
    <row r="151" spans="1:107">
      <c r="A151">
        <f>ROW(Source!A310)</f>
        <v>310</v>
      </c>
      <c r="B151">
        <v>42225948</v>
      </c>
      <c r="C151">
        <v>42225305</v>
      </c>
      <c r="D151">
        <v>38801734</v>
      </c>
      <c r="E151">
        <v>1</v>
      </c>
      <c r="F151">
        <v>1</v>
      </c>
      <c r="G151">
        <v>27</v>
      </c>
      <c r="H151">
        <v>3</v>
      </c>
      <c r="I151" t="s">
        <v>380</v>
      </c>
      <c r="J151" t="s">
        <v>381</v>
      </c>
      <c r="K151" t="s">
        <v>382</v>
      </c>
      <c r="L151">
        <v>1327</v>
      </c>
      <c r="N151">
        <v>1005</v>
      </c>
      <c r="O151" t="s">
        <v>302</v>
      </c>
      <c r="P151" t="s">
        <v>302</v>
      </c>
      <c r="Q151">
        <v>1</v>
      </c>
      <c r="W151">
        <v>0</v>
      </c>
      <c r="X151">
        <v>-2047649341</v>
      </c>
      <c r="Y151">
        <v>30</v>
      </c>
      <c r="AA151">
        <v>91.89</v>
      </c>
      <c r="AB151">
        <v>0</v>
      </c>
      <c r="AC151">
        <v>0</v>
      </c>
      <c r="AD151">
        <v>0</v>
      </c>
      <c r="AE151">
        <v>91.89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N151">
        <v>0</v>
      </c>
      <c r="AO151">
        <v>1</v>
      </c>
      <c r="AP151">
        <v>0</v>
      </c>
      <c r="AQ151">
        <v>0</v>
      </c>
      <c r="AR151">
        <v>0</v>
      </c>
      <c r="AS151" t="s">
        <v>3</v>
      </c>
      <c r="AT151">
        <v>30</v>
      </c>
      <c r="AU151" t="s">
        <v>3</v>
      </c>
      <c r="AV151">
        <v>0</v>
      </c>
      <c r="AW151">
        <v>2</v>
      </c>
      <c r="AX151">
        <v>42225323</v>
      </c>
      <c r="AY151">
        <v>1</v>
      </c>
      <c r="AZ151">
        <v>0</v>
      </c>
      <c r="BA151">
        <v>138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Y151*Source!I310</f>
        <v>0.11699999999999999</v>
      </c>
      <c r="CY151">
        <f t="shared" si="32"/>
        <v>91.89</v>
      </c>
      <c r="CZ151">
        <f t="shared" si="33"/>
        <v>91.89</v>
      </c>
      <c r="DA151">
        <f t="shared" si="34"/>
        <v>1</v>
      </c>
      <c r="DB151">
        <f t="shared" si="27"/>
        <v>2756.7</v>
      </c>
      <c r="DC151">
        <f t="shared" si="28"/>
        <v>0</v>
      </c>
    </row>
    <row r="152" spans="1:107">
      <c r="A152">
        <f>ROW(Source!A310)</f>
        <v>310</v>
      </c>
      <c r="B152">
        <v>42225948</v>
      </c>
      <c r="C152">
        <v>42225305</v>
      </c>
      <c r="D152">
        <v>38800105</v>
      </c>
      <c r="E152">
        <v>1</v>
      </c>
      <c r="F152">
        <v>1</v>
      </c>
      <c r="G152">
        <v>27</v>
      </c>
      <c r="H152">
        <v>3</v>
      </c>
      <c r="I152" t="s">
        <v>466</v>
      </c>
      <c r="J152" t="s">
        <v>467</v>
      </c>
      <c r="K152" t="s">
        <v>468</v>
      </c>
      <c r="L152">
        <v>1348</v>
      </c>
      <c r="N152">
        <v>1009</v>
      </c>
      <c r="O152" t="s">
        <v>281</v>
      </c>
      <c r="P152" t="s">
        <v>281</v>
      </c>
      <c r="Q152">
        <v>1000</v>
      </c>
      <c r="W152">
        <v>0</v>
      </c>
      <c r="X152">
        <v>-459844717</v>
      </c>
      <c r="Y152">
        <v>0.01</v>
      </c>
      <c r="AA152">
        <v>4752.34</v>
      </c>
      <c r="AB152">
        <v>0</v>
      </c>
      <c r="AC152">
        <v>0</v>
      </c>
      <c r="AD152">
        <v>0</v>
      </c>
      <c r="AE152">
        <v>4752.34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N152">
        <v>0</v>
      </c>
      <c r="AO152">
        <v>1</v>
      </c>
      <c r="AP152">
        <v>0</v>
      </c>
      <c r="AQ152">
        <v>0</v>
      </c>
      <c r="AR152">
        <v>0</v>
      </c>
      <c r="AS152" t="s">
        <v>3</v>
      </c>
      <c r="AT152">
        <v>0.01</v>
      </c>
      <c r="AU152" t="s">
        <v>3</v>
      </c>
      <c r="AV152">
        <v>0</v>
      </c>
      <c r="AW152">
        <v>2</v>
      </c>
      <c r="AX152">
        <v>42225322</v>
      </c>
      <c r="AY152">
        <v>1</v>
      </c>
      <c r="AZ152">
        <v>0</v>
      </c>
      <c r="BA152">
        <v>139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Y152*Source!I310</f>
        <v>3.8999999999999999E-5</v>
      </c>
      <c r="CY152">
        <f t="shared" si="32"/>
        <v>4752.34</v>
      </c>
      <c r="CZ152">
        <f t="shared" si="33"/>
        <v>4752.34</v>
      </c>
      <c r="DA152">
        <f t="shared" si="34"/>
        <v>1</v>
      </c>
      <c r="DB152">
        <f t="shared" si="27"/>
        <v>47.52</v>
      </c>
      <c r="DC152">
        <f t="shared" si="28"/>
        <v>0</v>
      </c>
    </row>
    <row r="153" spans="1:107">
      <c r="A153">
        <f>ROW(Source!A310)</f>
        <v>310</v>
      </c>
      <c r="B153">
        <v>42225948</v>
      </c>
      <c r="C153">
        <v>42225305</v>
      </c>
      <c r="D153">
        <v>38801911</v>
      </c>
      <c r="E153">
        <v>1</v>
      </c>
      <c r="F153">
        <v>1</v>
      </c>
      <c r="G153">
        <v>27</v>
      </c>
      <c r="H153">
        <v>3</v>
      </c>
      <c r="I153" t="s">
        <v>354</v>
      </c>
      <c r="J153" t="s">
        <v>355</v>
      </c>
      <c r="K153" t="s">
        <v>356</v>
      </c>
      <c r="L153">
        <v>1339</v>
      </c>
      <c r="N153">
        <v>1007</v>
      </c>
      <c r="O153" t="s">
        <v>349</v>
      </c>
      <c r="P153" t="s">
        <v>349</v>
      </c>
      <c r="Q153">
        <v>1</v>
      </c>
      <c r="W153">
        <v>0</v>
      </c>
      <c r="X153">
        <v>1927597627</v>
      </c>
      <c r="Y153">
        <v>0.73</v>
      </c>
      <c r="AA153">
        <v>35.25</v>
      </c>
      <c r="AB153">
        <v>0</v>
      </c>
      <c r="AC153">
        <v>0</v>
      </c>
      <c r="AD153">
        <v>0</v>
      </c>
      <c r="AE153">
        <v>35.25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 t="s">
        <v>3</v>
      </c>
      <c r="AT153">
        <v>0.73</v>
      </c>
      <c r="AU153" t="s">
        <v>3</v>
      </c>
      <c r="AV153">
        <v>0</v>
      </c>
      <c r="AW153">
        <v>2</v>
      </c>
      <c r="AX153">
        <v>42225324</v>
      </c>
      <c r="AY153">
        <v>1</v>
      </c>
      <c r="AZ153">
        <v>0</v>
      </c>
      <c r="BA153">
        <v>140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Y153*Source!I310</f>
        <v>2.8469999999999997E-3</v>
      </c>
      <c r="CY153">
        <f t="shared" si="32"/>
        <v>35.25</v>
      </c>
      <c r="CZ153">
        <f t="shared" si="33"/>
        <v>35.25</v>
      </c>
      <c r="DA153">
        <f t="shared" si="34"/>
        <v>1</v>
      </c>
      <c r="DB153">
        <f t="shared" si="27"/>
        <v>25.73</v>
      </c>
      <c r="DC153">
        <f t="shared" si="28"/>
        <v>0</v>
      </c>
    </row>
    <row r="154" spans="1:107">
      <c r="A154">
        <f>ROW(Source!A310)</f>
        <v>310</v>
      </c>
      <c r="B154">
        <v>42225948</v>
      </c>
      <c r="C154">
        <v>42225305</v>
      </c>
      <c r="D154">
        <v>38800613</v>
      </c>
      <c r="E154">
        <v>1</v>
      </c>
      <c r="F154">
        <v>1</v>
      </c>
      <c r="G154">
        <v>27</v>
      </c>
      <c r="H154">
        <v>3</v>
      </c>
      <c r="I154" t="s">
        <v>357</v>
      </c>
      <c r="J154" t="s">
        <v>358</v>
      </c>
      <c r="K154" t="s">
        <v>359</v>
      </c>
      <c r="L154">
        <v>1339</v>
      </c>
      <c r="N154">
        <v>1007</v>
      </c>
      <c r="O154" t="s">
        <v>349</v>
      </c>
      <c r="P154" t="s">
        <v>349</v>
      </c>
      <c r="Q154">
        <v>1</v>
      </c>
      <c r="W154">
        <v>0</v>
      </c>
      <c r="X154">
        <v>538447250</v>
      </c>
      <c r="Y154">
        <v>0.04</v>
      </c>
      <c r="AA154">
        <v>7098.7</v>
      </c>
      <c r="AB154">
        <v>0</v>
      </c>
      <c r="AC154">
        <v>0</v>
      </c>
      <c r="AD154">
        <v>0</v>
      </c>
      <c r="AE154">
        <v>7098.7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 t="s">
        <v>3</v>
      </c>
      <c r="AT154">
        <v>0.04</v>
      </c>
      <c r="AU154" t="s">
        <v>3</v>
      </c>
      <c r="AV154">
        <v>0</v>
      </c>
      <c r="AW154">
        <v>2</v>
      </c>
      <c r="AX154">
        <v>42225325</v>
      </c>
      <c r="AY154">
        <v>1</v>
      </c>
      <c r="AZ154">
        <v>0</v>
      </c>
      <c r="BA154">
        <v>141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Y154*Source!I310</f>
        <v>1.56E-4</v>
      </c>
      <c r="CY154">
        <f t="shared" si="32"/>
        <v>7098.7</v>
      </c>
      <c r="CZ154">
        <f t="shared" si="33"/>
        <v>7098.7</v>
      </c>
      <c r="DA154">
        <f t="shared" si="34"/>
        <v>1</v>
      </c>
      <c r="DB154">
        <f t="shared" si="27"/>
        <v>283.95</v>
      </c>
      <c r="DC154">
        <f t="shared" si="28"/>
        <v>0</v>
      </c>
    </row>
    <row r="155" spans="1:107">
      <c r="A155">
        <f>ROW(Source!A310)</f>
        <v>310</v>
      </c>
      <c r="B155">
        <v>42225948</v>
      </c>
      <c r="C155">
        <v>42225305</v>
      </c>
      <c r="D155">
        <v>38802875</v>
      </c>
      <c r="E155">
        <v>1</v>
      </c>
      <c r="F155">
        <v>1</v>
      </c>
      <c r="G155">
        <v>27</v>
      </c>
      <c r="H155">
        <v>3</v>
      </c>
      <c r="I155" t="s">
        <v>469</v>
      </c>
      <c r="J155" t="s">
        <v>470</v>
      </c>
      <c r="K155" t="s">
        <v>471</v>
      </c>
      <c r="L155">
        <v>1339</v>
      </c>
      <c r="N155">
        <v>1007</v>
      </c>
      <c r="O155" t="s">
        <v>349</v>
      </c>
      <c r="P155" t="s">
        <v>349</v>
      </c>
      <c r="Q155">
        <v>1</v>
      </c>
      <c r="W155">
        <v>0</v>
      </c>
      <c r="X155">
        <v>1860113861</v>
      </c>
      <c r="Y155">
        <v>102</v>
      </c>
      <c r="AA155">
        <v>3247.23</v>
      </c>
      <c r="AB155">
        <v>0</v>
      </c>
      <c r="AC155">
        <v>0</v>
      </c>
      <c r="AD155">
        <v>0</v>
      </c>
      <c r="AE155">
        <v>3247.23</v>
      </c>
      <c r="AF155">
        <v>0</v>
      </c>
      <c r="AG155">
        <v>0</v>
      </c>
      <c r="AH155">
        <v>0</v>
      </c>
      <c r="AI155">
        <v>1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0</v>
      </c>
      <c r="AQ155">
        <v>0</v>
      </c>
      <c r="AR155">
        <v>0</v>
      </c>
      <c r="AS155" t="s">
        <v>3</v>
      </c>
      <c r="AT155">
        <v>102</v>
      </c>
      <c r="AU155" t="s">
        <v>3</v>
      </c>
      <c r="AV155">
        <v>0</v>
      </c>
      <c r="AW155">
        <v>2</v>
      </c>
      <c r="AX155">
        <v>42225326</v>
      </c>
      <c r="AY155">
        <v>1</v>
      </c>
      <c r="AZ155">
        <v>0</v>
      </c>
      <c r="BA155">
        <v>142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Y155*Source!I310</f>
        <v>0.39779999999999999</v>
      </c>
      <c r="CY155">
        <f t="shared" si="32"/>
        <v>3247.23</v>
      </c>
      <c r="CZ155">
        <f t="shared" si="33"/>
        <v>3247.23</v>
      </c>
      <c r="DA155">
        <f t="shared" si="34"/>
        <v>1</v>
      </c>
      <c r="DB155">
        <f t="shared" si="27"/>
        <v>331217.46000000002</v>
      </c>
      <c r="DC155">
        <f t="shared" si="28"/>
        <v>0</v>
      </c>
    </row>
    <row r="156" spans="1:107">
      <c r="A156">
        <f>ROW(Source!A310)</f>
        <v>310</v>
      </c>
      <c r="B156">
        <v>42225948</v>
      </c>
      <c r="C156">
        <v>42225305</v>
      </c>
      <c r="D156">
        <v>38805042</v>
      </c>
      <c r="E156">
        <v>1</v>
      </c>
      <c r="F156">
        <v>1</v>
      </c>
      <c r="G156">
        <v>27</v>
      </c>
      <c r="H156">
        <v>3</v>
      </c>
      <c r="I156" t="s">
        <v>472</v>
      </c>
      <c r="J156" t="s">
        <v>473</v>
      </c>
      <c r="K156" t="s">
        <v>474</v>
      </c>
      <c r="L156">
        <v>1327</v>
      </c>
      <c r="N156">
        <v>1005</v>
      </c>
      <c r="O156" t="s">
        <v>302</v>
      </c>
      <c r="P156" t="s">
        <v>302</v>
      </c>
      <c r="Q156">
        <v>1</v>
      </c>
      <c r="W156">
        <v>0</v>
      </c>
      <c r="X156">
        <v>1680411856</v>
      </c>
      <c r="Y156">
        <v>3.6</v>
      </c>
      <c r="AA156">
        <v>473.82</v>
      </c>
      <c r="AB156">
        <v>0</v>
      </c>
      <c r="AC156">
        <v>0</v>
      </c>
      <c r="AD156">
        <v>0</v>
      </c>
      <c r="AE156">
        <v>473.82</v>
      </c>
      <c r="AF156">
        <v>0</v>
      </c>
      <c r="AG156">
        <v>0</v>
      </c>
      <c r="AH156">
        <v>0</v>
      </c>
      <c r="AI156">
        <v>1</v>
      </c>
      <c r="AJ156">
        <v>1</v>
      </c>
      <c r="AK156">
        <v>1</v>
      </c>
      <c r="AL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 t="s">
        <v>3</v>
      </c>
      <c r="AT156">
        <v>3.6</v>
      </c>
      <c r="AU156" t="s">
        <v>3</v>
      </c>
      <c r="AV156">
        <v>0</v>
      </c>
      <c r="AW156">
        <v>2</v>
      </c>
      <c r="AX156">
        <v>42225327</v>
      </c>
      <c r="AY156">
        <v>1</v>
      </c>
      <c r="AZ156">
        <v>0</v>
      </c>
      <c r="BA156">
        <v>143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Y156*Source!I310</f>
        <v>1.404E-2</v>
      </c>
      <c r="CY156">
        <f t="shared" si="32"/>
        <v>473.82</v>
      </c>
      <c r="CZ156">
        <f t="shared" si="33"/>
        <v>473.82</v>
      </c>
      <c r="DA156">
        <f t="shared" si="34"/>
        <v>1</v>
      </c>
      <c r="DB156">
        <f t="shared" si="27"/>
        <v>1705.75</v>
      </c>
      <c r="DC156">
        <f t="shared" si="28"/>
        <v>0</v>
      </c>
    </row>
    <row r="157" spans="1:107">
      <c r="A157">
        <f>ROW(Source!A311)</f>
        <v>311</v>
      </c>
      <c r="B157">
        <v>42225948</v>
      </c>
      <c r="C157">
        <v>42225328</v>
      </c>
      <c r="D157">
        <v>38786840</v>
      </c>
      <c r="E157">
        <v>27</v>
      </c>
      <c r="F157">
        <v>1</v>
      </c>
      <c r="G157">
        <v>27</v>
      </c>
      <c r="H157">
        <v>1</v>
      </c>
      <c r="I157" t="s">
        <v>339</v>
      </c>
      <c r="J157" t="s">
        <v>3</v>
      </c>
      <c r="K157" t="s">
        <v>340</v>
      </c>
      <c r="L157">
        <v>1191</v>
      </c>
      <c r="N157">
        <v>1013</v>
      </c>
      <c r="O157" t="s">
        <v>341</v>
      </c>
      <c r="P157" t="s">
        <v>341</v>
      </c>
      <c r="Q157">
        <v>1</v>
      </c>
      <c r="W157">
        <v>0</v>
      </c>
      <c r="X157">
        <v>476480486</v>
      </c>
      <c r="Y157">
        <v>44.85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0</v>
      </c>
      <c r="AQ157">
        <v>0</v>
      </c>
      <c r="AR157">
        <v>0</v>
      </c>
      <c r="AS157" t="s">
        <v>3</v>
      </c>
      <c r="AT157">
        <v>44.85</v>
      </c>
      <c r="AU157" t="s">
        <v>3</v>
      </c>
      <c r="AV157">
        <v>1</v>
      </c>
      <c r="AW157">
        <v>2</v>
      </c>
      <c r="AX157">
        <v>42225334</v>
      </c>
      <c r="AY157">
        <v>1</v>
      </c>
      <c r="AZ157">
        <v>0</v>
      </c>
      <c r="BA157">
        <v>144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Y157*Source!I311</f>
        <v>0.19734000000000002</v>
      </c>
      <c r="CY157">
        <f>AD157</f>
        <v>0</v>
      </c>
      <c r="CZ157">
        <f>AH157</f>
        <v>0</v>
      </c>
      <c r="DA157">
        <f>AL157</f>
        <v>1</v>
      </c>
      <c r="DB157">
        <f t="shared" si="27"/>
        <v>0</v>
      </c>
      <c r="DC157">
        <f t="shared" si="28"/>
        <v>0</v>
      </c>
    </row>
    <row r="158" spans="1:107">
      <c r="A158">
        <f>ROW(Source!A311)</f>
        <v>311</v>
      </c>
      <c r="B158">
        <v>42225948</v>
      </c>
      <c r="C158">
        <v>42225328</v>
      </c>
      <c r="D158">
        <v>38800006</v>
      </c>
      <c r="E158">
        <v>1</v>
      </c>
      <c r="F158">
        <v>1</v>
      </c>
      <c r="G158">
        <v>27</v>
      </c>
      <c r="H158">
        <v>3</v>
      </c>
      <c r="I158" t="s">
        <v>475</v>
      </c>
      <c r="J158" t="s">
        <v>476</v>
      </c>
      <c r="K158" t="s">
        <v>477</v>
      </c>
      <c r="L158">
        <v>1348</v>
      </c>
      <c r="N158">
        <v>1009</v>
      </c>
      <c r="O158" t="s">
        <v>281</v>
      </c>
      <c r="P158" t="s">
        <v>281</v>
      </c>
      <c r="Q158">
        <v>1000</v>
      </c>
      <c r="W158">
        <v>0</v>
      </c>
      <c r="X158">
        <v>533679429</v>
      </c>
      <c r="Y158">
        <v>1.6E-2</v>
      </c>
      <c r="AA158">
        <v>18737.900000000001</v>
      </c>
      <c r="AB158">
        <v>0</v>
      </c>
      <c r="AC158">
        <v>0</v>
      </c>
      <c r="AD158">
        <v>0</v>
      </c>
      <c r="AE158">
        <v>18737.900000000001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1</v>
      </c>
      <c r="AL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 t="s">
        <v>3</v>
      </c>
      <c r="AT158">
        <v>1.6E-2</v>
      </c>
      <c r="AU158" t="s">
        <v>3</v>
      </c>
      <c r="AV158">
        <v>0</v>
      </c>
      <c r="AW158">
        <v>2</v>
      </c>
      <c r="AX158">
        <v>42225335</v>
      </c>
      <c r="AY158">
        <v>1</v>
      </c>
      <c r="AZ158">
        <v>0</v>
      </c>
      <c r="BA158">
        <v>145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Y158*Source!I311</f>
        <v>7.0400000000000004E-5</v>
      </c>
      <c r="CY158">
        <f>AA158</f>
        <v>18737.900000000001</v>
      </c>
      <c r="CZ158">
        <f>AE158</f>
        <v>18737.900000000001</v>
      </c>
      <c r="DA158">
        <f>AI158</f>
        <v>1</v>
      </c>
      <c r="DB158">
        <f t="shared" si="27"/>
        <v>299.81</v>
      </c>
      <c r="DC158">
        <f t="shared" si="28"/>
        <v>0</v>
      </c>
    </row>
    <row r="159" spans="1:107">
      <c r="A159">
        <f>ROW(Source!A311)</f>
        <v>311</v>
      </c>
      <c r="B159">
        <v>42225948</v>
      </c>
      <c r="C159">
        <v>42225328</v>
      </c>
      <c r="D159">
        <v>38800074</v>
      </c>
      <c r="E159">
        <v>1</v>
      </c>
      <c r="F159">
        <v>1</v>
      </c>
      <c r="G159">
        <v>27</v>
      </c>
      <c r="H159">
        <v>3</v>
      </c>
      <c r="I159" t="s">
        <v>478</v>
      </c>
      <c r="J159" t="s">
        <v>479</v>
      </c>
      <c r="K159" t="s">
        <v>480</v>
      </c>
      <c r="L159">
        <v>1348</v>
      </c>
      <c r="N159">
        <v>1009</v>
      </c>
      <c r="O159" t="s">
        <v>281</v>
      </c>
      <c r="P159" t="s">
        <v>281</v>
      </c>
      <c r="Q159">
        <v>1000</v>
      </c>
      <c r="W159">
        <v>0</v>
      </c>
      <c r="X159">
        <v>-701540622</v>
      </c>
      <c r="Y159">
        <v>0.24</v>
      </c>
      <c r="AA159">
        <v>142619.79999999999</v>
      </c>
      <c r="AB159">
        <v>0</v>
      </c>
      <c r="AC159">
        <v>0</v>
      </c>
      <c r="AD159">
        <v>0</v>
      </c>
      <c r="AE159">
        <v>142619.79999999999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S159" t="s">
        <v>3</v>
      </c>
      <c r="AT159">
        <v>0.24</v>
      </c>
      <c r="AU159" t="s">
        <v>3</v>
      </c>
      <c r="AV159">
        <v>0</v>
      </c>
      <c r="AW159">
        <v>2</v>
      </c>
      <c r="AX159">
        <v>42225336</v>
      </c>
      <c r="AY159">
        <v>1</v>
      </c>
      <c r="AZ159">
        <v>0</v>
      </c>
      <c r="BA159">
        <v>146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Y159*Source!I311</f>
        <v>1.0560000000000001E-3</v>
      </c>
      <c r="CY159">
        <f>AA159</f>
        <v>142619.79999999999</v>
      </c>
      <c r="CZ159">
        <f>AE159</f>
        <v>142619.79999999999</v>
      </c>
      <c r="DA159">
        <f>AI159</f>
        <v>1</v>
      </c>
      <c r="DB159">
        <f t="shared" si="27"/>
        <v>34228.75</v>
      </c>
      <c r="DC159">
        <f t="shared" si="28"/>
        <v>0</v>
      </c>
    </row>
    <row r="160" spans="1:107">
      <c r="A160">
        <f>ROW(Source!A311)</f>
        <v>311</v>
      </c>
      <c r="B160">
        <v>42225948</v>
      </c>
      <c r="C160">
        <v>42225328</v>
      </c>
      <c r="D160">
        <v>38801724</v>
      </c>
      <c r="E160">
        <v>1</v>
      </c>
      <c r="F160">
        <v>1</v>
      </c>
      <c r="G160">
        <v>27</v>
      </c>
      <c r="H160">
        <v>3</v>
      </c>
      <c r="I160" t="s">
        <v>481</v>
      </c>
      <c r="J160" t="s">
        <v>482</v>
      </c>
      <c r="K160" t="s">
        <v>483</v>
      </c>
      <c r="L160">
        <v>1346</v>
      </c>
      <c r="N160">
        <v>1009</v>
      </c>
      <c r="O160" t="s">
        <v>353</v>
      </c>
      <c r="P160" t="s">
        <v>353</v>
      </c>
      <c r="Q160">
        <v>1</v>
      </c>
      <c r="W160">
        <v>0</v>
      </c>
      <c r="X160">
        <v>44890498</v>
      </c>
      <c r="Y160">
        <v>0.1</v>
      </c>
      <c r="AA160">
        <v>28.41</v>
      </c>
      <c r="AB160">
        <v>0</v>
      </c>
      <c r="AC160">
        <v>0</v>
      </c>
      <c r="AD160">
        <v>0</v>
      </c>
      <c r="AE160">
        <v>28.41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1</v>
      </c>
      <c r="AL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 t="s">
        <v>3</v>
      </c>
      <c r="AT160">
        <v>0.1</v>
      </c>
      <c r="AU160" t="s">
        <v>3</v>
      </c>
      <c r="AV160">
        <v>0</v>
      </c>
      <c r="AW160">
        <v>2</v>
      </c>
      <c r="AX160">
        <v>42225337</v>
      </c>
      <c r="AY160">
        <v>1</v>
      </c>
      <c r="AZ160">
        <v>0</v>
      </c>
      <c r="BA160">
        <v>147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Y160*Source!I311</f>
        <v>4.4000000000000007E-4</v>
      </c>
      <c r="CY160">
        <f>AA160</f>
        <v>28.41</v>
      </c>
      <c r="CZ160">
        <f>AE160</f>
        <v>28.41</v>
      </c>
      <c r="DA160">
        <f>AI160</f>
        <v>1</v>
      </c>
      <c r="DB160">
        <f t="shared" si="27"/>
        <v>2.84</v>
      </c>
      <c r="DC160">
        <f t="shared" si="28"/>
        <v>0</v>
      </c>
    </row>
    <row r="161" spans="1:107">
      <c r="A161">
        <f>ROW(Source!A311)</f>
        <v>311</v>
      </c>
      <c r="B161">
        <v>42225948</v>
      </c>
      <c r="C161">
        <v>42225328</v>
      </c>
      <c r="D161">
        <v>38800200</v>
      </c>
      <c r="E161">
        <v>1</v>
      </c>
      <c r="F161">
        <v>1</v>
      </c>
      <c r="G161">
        <v>27</v>
      </c>
      <c r="H161">
        <v>3</v>
      </c>
      <c r="I161" t="s">
        <v>484</v>
      </c>
      <c r="J161" t="s">
        <v>485</v>
      </c>
      <c r="K161" t="s">
        <v>486</v>
      </c>
      <c r="L161">
        <v>1348</v>
      </c>
      <c r="N161">
        <v>1009</v>
      </c>
      <c r="O161" t="s">
        <v>281</v>
      </c>
      <c r="P161" t="s">
        <v>281</v>
      </c>
      <c r="Q161">
        <v>1000</v>
      </c>
      <c r="W161">
        <v>0</v>
      </c>
      <c r="X161">
        <v>1016728886</v>
      </c>
      <c r="Y161">
        <v>2.4E-2</v>
      </c>
      <c r="AA161">
        <v>77719.73</v>
      </c>
      <c r="AB161">
        <v>0</v>
      </c>
      <c r="AC161">
        <v>0</v>
      </c>
      <c r="AD161">
        <v>0</v>
      </c>
      <c r="AE161">
        <v>77719.73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1</v>
      </c>
      <c r="AL161">
        <v>1</v>
      </c>
      <c r="AN161">
        <v>0</v>
      </c>
      <c r="AO161">
        <v>1</v>
      </c>
      <c r="AP161">
        <v>0</v>
      </c>
      <c r="AQ161">
        <v>0</v>
      </c>
      <c r="AR161">
        <v>0</v>
      </c>
      <c r="AS161" t="s">
        <v>3</v>
      </c>
      <c r="AT161">
        <v>2.4E-2</v>
      </c>
      <c r="AU161" t="s">
        <v>3</v>
      </c>
      <c r="AV161">
        <v>0</v>
      </c>
      <c r="AW161">
        <v>2</v>
      </c>
      <c r="AX161">
        <v>42225338</v>
      </c>
      <c r="AY161">
        <v>1</v>
      </c>
      <c r="AZ161">
        <v>0</v>
      </c>
      <c r="BA161">
        <v>148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Y161*Source!I311</f>
        <v>1.0560000000000001E-4</v>
      </c>
      <c r="CY161">
        <f>AA161</f>
        <v>77719.73</v>
      </c>
      <c r="CZ161">
        <f>AE161</f>
        <v>77719.73</v>
      </c>
      <c r="DA161">
        <f>AI161</f>
        <v>1</v>
      </c>
      <c r="DB161">
        <f t="shared" si="27"/>
        <v>1865.27</v>
      </c>
      <c r="DC161">
        <f t="shared" si="28"/>
        <v>0</v>
      </c>
    </row>
    <row r="162" spans="1:107">
      <c r="A162">
        <f>ROW(Source!A312)</f>
        <v>312</v>
      </c>
      <c r="B162">
        <v>42225948</v>
      </c>
      <c r="C162">
        <v>42225339</v>
      </c>
      <c r="D162">
        <v>38786840</v>
      </c>
      <c r="E162">
        <v>27</v>
      </c>
      <c r="F162">
        <v>1</v>
      </c>
      <c r="G162">
        <v>27</v>
      </c>
      <c r="H162">
        <v>1</v>
      </c>
      <c r="I162" t="s">
        <v>339</v>
      </c>
      <c r="J162" t="s">
        <v>3</v>
      </c>
      <c r="K162" t="s">
        <v>340</v>
      </c>
      <c r="L162">
        <v>1191</v>
      </c>
      <c r="N162">
        <v>1013</v>
      </c>
      <c r="O162" t="s">
        <v>341</v>
      </c>
      <c r="P162" t="s">
        <v>341</v>
      </c>
      <c r="Q162">
        <v>1</v>
      </c>
      <c r="W162">
        <v>0</v>
      </c>
      <c r="X162">
        <v>476480486</v>
      </c>
      <c r="Y162">
        <v>15.93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1</v>
      </c>
      <c r="AN162">
        <v>0</v>
      </c>
      <c r="AO162">
        <v>1</v>
      </c>
      <c r="AP162">
        <v>0</v>
      </c>
      <c r="AQ162">
        <v>0</v>
      </c>
      <c r="AR162">
        <v>0</v>
      </c>
      <c r="AS162" t="s">
        <v>3</v>
      </c>
      <c r="AT162">
        <v>15.93</v>
      </c>
      <c r="AU162" t="s">
        <v>3</v>
      </c>
      <c r="AV162">
        <v>1</v>
      </c>
      <c r="AW162">
        <v>2</v>
      </c>
      <c r="AX162">
        <v>42225346</v>
      </c>
      <c r="AY162">
        <v>1</v>
      </c>
      <c r="AZ162">
        <v>0</v>
      </c>
      <c r="BA162">
        <v>149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Y162*Source!I312</f>
        <v>0.55754999999999999</v>
      </c>
      <c r="CY162">
        <f>AD162</f>
        <v>0</v>
      </c>
      <c r="CZ162">
        <f>AH162</f>
        <v>0</v>
      </c>
      <c r="DA162">
        <f>AL162</f>
        <v>1</v>
      </c>
      <c r="DB162">
        <f t="shared" si="27"/>
        <v>0</v>
      </c>
      <c r="DC162">
        <f t="shared" si="28"/>
        <v>0</v>
      </c>
    </row>
    <row r="163" spans="1:107">
      <c r="A163">
        <f>ROW(Source!A312)</f>
        <v>312</v>
      </c>
      <c r="B163">
        <v>42225948</v>
      </c>
      <c r="C163">
        <v>42225339</v>
      </c>
      <c r="D163">
        <v>38802281</v>
      </c>
      <c r="E163">
        <v>1</v>
      </c>
      <c r="F163">
        <v>1</v>
      </c>
      <c r="G163">
        <v>27</v>
      </c>
      <c r="H163">
        <v>3</v>
      </c>
      <c r="I163" t="s">
        <v>487</v>
      </c>
      <c r="J163" t="s">
        <v>488</v>
      </c>
      <c r="K163" t="s">
        <v>489</v>
      </c>
      <c r="L163">
        <v>1348</v>
      </c>
      <c r="N163">
        <v>1009</v>
      </c>
      <c r="O163" t="s">
        <v>281</v>
      </c>
      <c r="P163" t="s">
        <v>281</v>
      </c>
      <c r="Q163">
        <v>1000</v>
      </c>
      <c r="W163">
        <v>0</v>
      </c>
      <c r="X163">
        <v>-1681382372</v>
      </c>
      <c r="Y163">
        <v>1E-3</v>
      </c>
      <c r="AA163">
        <v>26071.29</v>
      </c>
      <c r="AB163">
        <v>0</v>
      </c>
      <c r="AC163">
        <v>0</v>
      </c>
      <c r="AD163">
        <v>0</v>
      </c>
      <c r="AE163">
        <v>26071.29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 t="s">
        <v>3</v>
      </c>
      <c r="AT163">
        <v>1E-3</v>
      </c>
      <c r="AU163" t="s">
        <v>3</v>
      </c>
      <c r="AV163">
        <v>0</v>
      </c>
      <c r="AW163">
        <v>2</v>
      </c>
      <c r="AX163">
        <v>42225347</v>
      </c>
      <c r="AY163">
        <v>1</v>
      </c>
      <c r="AZ163">
        <v>0</v>
      </c>
      <c r="BA163">
        <v>150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Y163*Source!I312</f>
        <v>3.5000000000000004E-5</v>
      </c>
      <c r="CY163">
        <f>AA163</f>
        <v>26071.29</v>
      </c>
      <c r="CZ163">
        <f>AE163</f>
        <v>26071.29</v>
      </c>
      <c r="DA163">
        <f>AI163</f>
        <v>1</v>
      </c>
      <c r="DB163">
        <f t="shared" si="27"/>
        <v>26.07</v>
      </c>
      <c r="DC163">
        <f t="shared" si="28"/>
        <v>0</v>
      </c>
    </row>
    <row r="164" spans="1:107">
      <c r="A164">
        <f>ROW(Source!A312)</f>
        <v>312</v>
      </c>
      <c r="B164">
        <v>42225948</v>
      </c>
      <c r="C164">
        <v>42225339</v>
      </c>
      <c r="D164">
        <v>38800334</v>
      </c>
      <c r="E164">
        <v>1</v>
      </c>
      <c r="F164">
        <v>1</v>
      </c>
      <c r="G164">
        <v>27</v>
      </c>
      <c r="H164">
        <v>3</v>
      </c>
      <c r="I164" t="s">
        <v>490</v>
      </c>
      <c r="J164" t="s">
        <v>491</v>
      </c>
      <c r="K164" t="s">
        <v>492</v>
      </c>
      <c r="L164">
        <v>1348</v>
      </c>
      <c r="N164">
        <v>1009</v>
      </c>
      <c r="O164" t="s">
        <v>281</v>
      </c>
      <c r="P164" t="s">
        <v>281</v>
      </c>
      <c r="Q164">
        <v>1000</v>
      </c>
      <c r="W164">
        <v>0</v>
      </c>
      <c r="X164">
        <v>-97956853</v>
      </c>
      <c r="Y164">
        <v>1.8799999999999999E-3</v>
      </c>
      <c r="AA164">
        <v>119906.53</v>
      </c>
      <c r="AB164">
        <v>0</v>
      </c>
      <c r="AC164">
        <v>0</v>
      </c>
      <c r="AD164">
        <v>0</v>
      </c>
      <c r="AE164">
        <v>119906.53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 t="s">
        <v>3</v>
      </c>
      <c r="AT164">
        <v>1.8799999999999999E-3</v>
      </c>
      <c r="AU164" t="s">
        <v>3</v>
      </c>
      <c r="AV164">
        <v>0</v>
      </c>
      <c r="AW164">
        <v>2</v>
      </c>
      <c r="AX164">
        <v>42225348</v>
      </c>
      <c r="AY164">
        <v>1</v>
      </c>
      <c r="AZ164">
        <v>0</v>
      </c>
      <c r="BA164">
        <v>151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Y164*Source!I312</f>
        <v>6.58E-5</v>
      </c>
      <c r="CY164">
        <f>AA164</f>
        <v>119906.53</v>
      </c>
      <c r="CZ164">
        <f>AE164</f>
        <v>119906.53</v>
      </c>
      <c r="DA164">
        <f>AI164</f>
        <v>1</v>
      </c>
      <c r="DB164">
        <f t="shared" si="27"/>
        <v>225.42</v>
      </c>
      <c r="DC164">
        <f t="shared" si="28"/>
        <v>0</v>
      </c>
    </row>
    <row r="165" spans="1:107">
      <c r="A165">
        <f>ROW(Source!A312)</f>
        <v>312</v>
      </c>
      <c r="B165">
        <v>42225948</v>
      </c>
      <c r="C165">
        <v>42225339</v>
      </c>
      <c r="D165">
        <v>38800371</v>
      </c>
      <c r="E165">
        <v>1</v>
      </c>
      <c r="F165">
        <v>1</v>
      </c>
      <c r="G165">
        <v>27</v>
      </c>
      <c r="H165">
        <v>3</v>
      </c>
      <c r="I165" t="s">
        <v>493</v>
      </c>
      <c r="J165" t="s">
        <v>494</v>
      </c>
      <c r="K165" t="s">
        <v>495</v>
      </c>
      <c r="L165">
        <v>1348</v>
      </c>
      <c r="N165">
        <v>1009</v>
      </c>
      <c r="O165" t="s">
        <v>281</v>
      </c>
      <c r="P165" t="s">
        <v>281</v>
      </c>
      <c r="Q165">
        <v>1000</v>
      </c>
      <c r="W165">
        <v>0</v>
      </c>
      <c r="X165">
        <v>-1711427454</v>
      </c>
      <c r="Y165">
        <v>5.11E-2</v>
      </c>
      <c r="AA165">
        <v>103392.57</v>
      </c>
      <c r="AB165">
        <v>0</v>
      </c>
      <c r="AC165">
        <v>0</v>
      </c>
      <c r="AD165">
        <v>0</v>
      </c>
      <c r="AE165">
        <v>103392.57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1</v>
      </c>
      <c r="AL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 t="s">
        <v>3</v>
      </c>
      <c r="AT165">
        <v>5.11E-2</v>
      </c>
      <c r="AU165" t="s">
        <v>3</v>
      </c>
      <c r="AV165">
        <v>0</v>
      </c>
      <c r="AW165">
        <v>2</v>
      </c>
      <c r="AX165">
        <v>42225349</v>
      </c>
      <c r="AY165">
        <v>1</v>
      </c>
      <c r="AZ165">
        <v>0</v>
      </c>
      <c r="BA165">
        <v>152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Y165*Source!I312</f>
        <v>1.7885000000000002E-3</v>
      </c>
      <c r="CY165">
        <f>AA165</f>
        <v>103392.57</v>
      </c>
      <c r="CZ165">
        <f>AE165</f>
        <v>103392.57</v>
      </c>
      <c r="DA165">
        <f>AI165</f>
        <v>1</v>
      </c>
      <c r="DB165">
        <f t="shared" ref="DB165:DB196" si="35">ROUND(ROUND(AT165*CZ165,2),6)</f>
        <v>5283.36</v>
      </c>
      <c r="DC165">
        <f t="shared" ref="DC165:DC196" si="36">ROUND(ROUND(AT165*AG165,2),6)</f>
        <v>0</v>
      </c>
    </row>
    <row r="166" spans="1:107">
      <c r="A166">
        <f>ROW(Source!A312)</f>
        <v>312</v>
      </c>
      <c r="B166">
        <v>42225948</v>
      </c>
      <c r="C166">
        <v>42225339</v>
      </c>
      <c r="D166">
        <v>38800321</v>
      </c>
      <c r="E166">
        <v>1</v>
      </c>
      <c r="F166">
        <v>1</v>
      </c>
      <c r="G166">
        <v>27</v>
      </c>
      <c r="H166">
        <v>3</v>
      </c>
      <c r="I166" t="s">
        <v>496</v>
      </c>
      <c r="J166" t="s">
        <v>497</v>
      </c>
      <c r="K166" t="s">
        <v>498</v>
      </c>
      <c r="L166">
        <v>1348</v>
      </c>
      <c r="N166">
        <v>1009</v>
      </c>
      <c r="O166" t="s">
        <v>281</v>
      </c>
      <c r="P166" t="s">
        <v>281</v>
      </c>
      <c r="Q166">
        <v>1000</v>
      </c>
      <c r="W166">
        <v>0</v>
      </c>
      <c r="X166">
        <v>-744236664</v>
      </c>
      <c r="Y166">
        <v>2.4199999999999999E-2</v>
      </c>
      <c r="AA166">
        <v>104930.55</v>
      </c>
      <c r="AB166">
        <v>0</v>
      </c>
      <c r="AC166">
        <v>0</v>
      </c>
      <c r="AD166">
        <v>0</v>
      </c>
      <c r="AE166">
        <v>104930.55</v>
      </c>
      <c r="AF166">
        <v>0</v>
      </c>
      <c r="AG166">
        <v>0</v>
      </c>
      <c r="AH166">
        <v>0</v>
      </c>
      <c r="AI166">
        <v>1</v>
      </c>
      <c r="AJ166">
        <v>1</v>
      </c>
      <c r="AK166">
        <v>1</v>
      </c>
      <c r="AL166">
        <v>1</v>
      </c>
      <c r="AN166">
        <v>0</v>
      </c>
      <c r="AO166">
        <v>1</v>
      </c>
      <c r="AP166">
        <v>0</v>
      </c>
      <c r="AQ166">
        <v>0</v>
      </c>
      <c r="AR166">
        <v>0</v>
      </c>
      <c r="AS166" t="s">
        <v>3</v>
      </c>
      <c r="AT166">
        <v>2.4199999999999999E-2</v>
      </c>
      <c r="AU166" t="s">
        <v>3</v>
      </c>
      <c r="AV166">
        <v>0</v>
      </c>
      <c r="AW166">
        <v>2</v>
      </c>
      <c r="AX166">
        <v>42225350</v>
      </c>
      <c r="AY166">
        <v>1</v>
      </c>
      <c r="AZ166">
        <v>0</v>
      </c>
      <c r="BA166">
        <v>153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Y166*Source!I312</f>
        <v>8.470000000000001E-4</v>
      </c>
      <c r="CY166">
        <f>AA166</f>
        <v>104930.55</v>
      </c>
      <c r="CZ166">
        <f>AE166</f>
        <v>104930.55</v>
      </c>
      <c r="DA166">
        <f>AI166</f>
        <v>1</v>
      </c>
      <c r="DB166">
        <f t="shared" si="35"/>
        <v>2539.3200000000002</v>
      </c>
      <c r="DC166">
        <f t="shared" si="36"/>
        <v>0</v>
      </c>
    </row>
    <row r="167" spans="1:107">
      <c r="A167">
        <f>ROW(Source!A312)</f>
        <v>312</v>
      </c>
      <c r="B167">
        <v>42225948</v>
      </c>
      <c r="C167">
        <v>42225339</v>
      </c>
      <c r="D167">
        <v>38803034</v>
      </c>
      <c r="E167">
        <v>1</v>
      </c>
      <c r="F167">
        <v>1</v>
      </c>
      <c r="G167">
        <v>27</v>
      </c>
      <c r="H167">
        <v>3</v>
      </c>
      <c r="I167" t="s">
        <v>499</v>
      </c>
      <c r="J167" t="s">
        <v>500</v>
      </c>
      <c r="K167" t="s">
        <v>501</v>
      </c>
      <c r="L167">
        <v>1348</v>
      </c>
      <c r="N167">
        <v>1009</v>
      </c>
      <c r="O167" t="s">
        <v>281</v>
      </c>
      <c r="P167" t="s">
        <v>281</v>
      </c>
      <c r="Q167">
        <v>1000</v>
      </c>
      <c r="W167">
        <v>0</v>
      </c>
      <c r="X167">
        <v>-590465792</v>
      </c>
      <c r="Y167">
        <v>5.2499999999999998E-2</v>
      </c>
      <c r="AA167">
        <v>4664.17</v>
      </c>
      <c r="AB167">
        <v>0</v>
      </c>
      <c r="AC167">
        <v>0</v>
      </c>
      <c r="AD167">
        <v>0</v>
      </c>
      <c r="AE167">
        <v>4664.17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1</v>
      </c>
      <c r="AN167">
        <v>0</v>
      </c>
      <c r="AO167">
        <v>1</v>
      </c>
      <c r="AP167">
        <v>0</v>
      </c>
      <c r="AQ167">
        <v>0</v>
      </c>
      <c r="AR167">
        <v>0</v>
      </c>
      <c r="AS167" t="s">
        <v>3</v>
      </c>
      <c r="AT167">
        <v>5.2499999999999998E-2</v>
      </c>
      <c r="AU167" t="s">
        <v>3</v>
      </c>
      <c r="AV167">
        <v>0</v>
      </c>
      <c r="AW167">
        <v>2</v>
      </c>
      <c r="AX167">
        <v>42225351</v>
      </c>
      <c r="AY167">
        <v>1</v>
      </c>
      <c r="AZ167">
        <v>0</v>
      </c>
      <c r="BA167">
        <v>154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Y167*Source!I312</f>
        <v>1.8375000000000002E-3</v>
      </c>
      <c r="CY167">
        <f>AA167</f>
        <v>4664.17</v>
      </c>
      <c r="CZ167">
        <f>AE167</f>
        <v>4664.17</v>
      </c>
      <c r="DA167">
        <f>AI167</f>
        <v>1</v>
      </c>
      <c r="DB167">
        <f t="shared" si="35"/>
        <v>244.87</v>
      </c>
      <c r="DC167">
        <f t="shared" si="36"/>
        <v>0</v>
      </c>
    </row>
    <row r="168" spans="1:107">
      <c r="A168">
        <f>ROW(Source!A313)</f>
        <v>313</v>
      </c>
      <c r="B168">
        <v>42225948</v>
      </c>
      <c r="C168">
        <v>42225352</v>
      </c>
      <c r="D168">
        <v>38786840</v>
      </c>
      <c r="E168">
        <v>27</v>
      </c>
      <c r="F168">
        <v>1</v>
      </c>
      <c r="G168">
        <v>27</v>
      </c>
      <c r="H168">
        <v>1</v>
      </c>
      <c r="I168" t="s">
        <v>339</v>
      </c>
      <c r="J168" t="s">
        <v>3</v>
      </c>
      <c r="K168" t="s">
        <v>340</v>
      </c>
      <c r="L168">
        <v>1191</v>
      </c>
      <c r="N168">
        <v>1013</v>
      </c>
      <c r="O168" t="s">
        <v>341</v>
      </c>
      <c r="P168" t="s">
        <v>341</v>
      </c>
      <c r="Q168">
        <v>1</v>
      </c>
      <c r="W168">
        <v>0</v>
      </c>
      <c r="X168">
        <v>476480486</v>
      </c>
      <c r="Y168">
        <v>227.7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1</v>
      </c>
      <c r="AK168">
        <v>1</v>
      </c>
      <c r="AL168">
        <v>1</v>
      </c>
      <c r="AN168">
        <v>0</v>
      </c>
      <c r="AO168">
        <v>1</v>
      </c>
      <c r="AP168">
        <v>0</v>
      </c>
      <c r="AQ168">
        <v>0</v>
      </c>
      <c r="AR168">
        <v>0</v>
      </c>
      <c r="AS168" t="s">
        <v>3</v>
      </c>
      <c r="AT168">
        <v>227.7</v>
      </c>
      <c r="AU168" t="s">
        <v>3</v>
      </c>
      <c r="AV168">
        <v>1</v>
      </c>
      <c r="AW168">
        <v>2</v>
      </c>
      <c r="AX168">
        <v>42225355</v>
      </c>
      <c r="AY168">
        <v>1</v>
      </c>
      <c r="AZ168">
        <v>0</v>
      </c>
      <c r="BA168">
        <v>155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Y168*Source!I313</f>
        <v>196.7328</v>
      </c>
      <c r="CY168">
        <f>AD168</f>
        <v>0</v>
      </c>
      <c r="CZ168">
        <f>AH168</f>
        <v>0</v>
      </c>
      <c r="DA168">
        <f>AL168</f>
        <v>1</v>
      </c>
      <c r="DB168">
        <f t="shared" si="35"/>
        <v>0</v>
      </c>
      <c r="DC168">
        <f t="shared" si="36"/>
        <v>0</v>
      </c>
    </row>
    <row r="169" spans="1:107">
      <c r="A169">
        <f>ROW(Source!A313)</f>
        <v>313</v>
      </c>
      <c r="B169">
        <v>42225948</v>
      </c>
      <c r="C169">
        <v>42225352</v>
      </c>
      <c r="D169">
        <v>38803137</v>
      </c>
      <c r="E169">
        <v>1</v>
      </c>
      <c r="F169">
        <v>1</v>
      </c>
      <c r="G169">
        <v>27</v>
      </c>
      <c r="H169">
        <v>3</v>
      </c>
      <c r="I169" t="s">
        <v>502</v>
      </c>
      <c r="J169" t="s">
        <v>503</v>
      </c>
      <c r="K169" t="s">
        <v>504</v>
      </c>
      <c r="L169">
        <v>1348</v>
      </c>
      <c r="N169">
        <v>1009</v>
      </c>
      <c r="O169" t="s">
        <v>281</v>
      </c>
      <c r="P169" t="s">
        <v>281</v>
      </c>
      <c r="Q169">
        <v>1000</v>
      </c>
      <c r="W169">
        <v>0</v>
      </c>
      <c r="X169">
        <v>-1958973042</v>
      </c>
      <c r="Y169">
        <v>1</v>
      </c>
      <c r="AA169">
        <v>53233.52</v>
      </c>
      <c r="AB169">
        <v>0</v>
      </c>
      <c r="AC169">
        <v>0</v>
      </c>
      <c r="AD169">
        <v>0</v>
      </c>
      <c r="AE169">
        <v>53233.52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 t="s">
        <v>3</v>
      </c>
      <c r="AT169">
        <v>1</v>
      </c>
      <c r="AU169" t="s">
        <v>3</v>
      </c>
      <c r="AV169">
        <v>0</v>
      </c>
      <c r="AW169">
        <v>2</v>
      </c>
      <c r="AX169">
        <v>42225356</v>
      </c>
      <c r="AY169">
        <v>1</v>
      </c>
      <c r="AZ169">
        <v>0</v>
      </c>
      <c r="BA169">
        <v>156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Y169*Source!I313</f>
        <v>0.86399999999999999</v>
      </c>
      <c r="CY169">
        <f>AA169</f>
        <v>53233.52</v>
      </c>
      <c r="CZ169">
        <f>AE169</f>
        <v>53233.52</v>
      </c>
      <c r="DA169">
        <f>AI169</f>
        <v>1</v>
      </c>
      <c r="DB169">
        <f t="shared" si="35"/>
        <v>53233.52</v>
      </c>
      <c r="DC169">
        <f t="shared" si="36"/>
        <v>0</v>
      </c>
    </row>
    <row r="170" spans="1:107">
      <c r="A170">
        <f>ROW(Source!A314)</f>
        <v>314</v>
      </c>
      <c r="B170">
        <v>42225948</v>
      </c>
      <c r="C170">
        <v>42225357</v>
      </c>
      <c r="D170">
        <v>38786840</v>
      </c>
      <c r="E170">
        <v>27</v>
      </c>
      <c r="F170">
        <v>1</v>
      </c>
      <c r="G170">
        <v>27</v>
      </c>
      <c r="H170">
        <v>1</v>
      </c>
      <c r="I170" t="s">
        <v>339</v>
      </c>
      <c r="J170" t="s">
        <v>3</v>
      </c>
      <c r="K170" t="s">
        <v>340</v>
      </c>
      <c r="L170">
        <v>1191</v>
      </c>
      <c r="N170">
        <v>1013</v>
      </c>
      <c r="O170" t="s">
        <v>341</v>
      </c>
      <c r="P170" t="s">
        <v>341</v>
      </c>
      <c r="Q170">
        <v>1</v>
      </c>
      <c r="W170">
        <v>0</v>
      </c>
      <c r="X170">
        <v>476480486</v>
      </c>
      <c r="Y170">
        <v>36.11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 t="s">
        <v>3</v>
      </c>
      <c r="AT170">
        <v>36.11</v>
      </c>
      <c r="AU170" t="s">
        <v>3</v>
      </c>
      <c r="AV170">
        <v>1</v>
      </c>
      <c r="AW170">
        <v>2</v>
      </c>
      <c r="AX170">
        <v>42225364</v>
      </c>
      <c r="AY170">
        <v>1</v>
      </c>
      <c r="AZ170">
        <v>0</v>
      </c>
      <c r="BA170">
        <v>157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Y170*Source!I314</f>
        <v>34.123950000000001</v>
      </c>
      <c r="CY170">
        <f>AD170</f>
        <v>0</v>
      </c>
      <c r="CZ170">
        <f>AH170</f>
        <v>0</v>
      </c>
      <c r="DA170">
        <f>AL170</f>
        <v>1</v>
      </c>
      <c r="DB170">
        <f t="shared" si="35"/>
        <v>0</v>
      </c>
      <c r="DC170">
        <f t="shared" si="36"/>
        <v>0</v>
      </c>
    </row>
    <row r="171" spans="1:107">
      <c r="A171">
        <f>ROW(Source!A314)</f>
        <v>314</v>
      </c>
      <c r="B171">
        <v>42225948</v>
      </c>
      <c r="C171">
        <v>42225357</v>
      </c>
      <c r="D171">
        <v>38799460</v>
      </c>
      <c r="E171">
        <v>1</v>
      </c>
      <c r="F171">
        <v>1</v>
      </c>
      <c r="G171">
        <v>27</v>
      </c>
      <c r="H171">
        <v>2</v>
      </c>
      <c r="I171" t="s">
        <v>505</v>
      </c>
      <c r="J171" t="s">
        <v>506</v>
      </c>
      <c r="K171" t="s">
        <v>507</v>
      </c>
      <c r="L171">
        <v>1368</v>
      </c>
      <c r="N171">
        <v>1011</v>
      </c>
      <c r="O171" t="s">
        <v>345</v>
      </c>
      <c r="P171" t="s">
        <v>345</v>
      </c>
      <c r="Q171">
        <v>1</v>
      </c>
      <c r="W171">
        <v>0</v>
      </c>
      <c r="X171">
        <v>-1754447068</v>
      </c>
      <c r="Y171">
        <v>21.91</v>
      </c>
      <c r="AA171">
        <v>0</v>
      </c>
      <c r="AB171">
        <v>54.65</v>
      </c>
      <c r="AC171">
        <v>0.05</v>
      </c>
      <c r="AD171">
        <v>0</v>
      </c>
      <c r="AE171">
        <v>0</v>
      </c>
      <c r="AF171">
        <v>54.65</v>
      </c>
      <c r="AG171">
        <v>0.05</v>
      </c>
      <c r="AH171">
        <v>0</v>
      </c>
      <c r="AI171">
        <v>1</v>
      </c>
      <c r="AJ171">
        <v>1</v>
      </c>
      <c r="AK171">
        <v>1</v>
      </c>
      <c r="AL171">
        <v>1</v>
      </c>
      <c r="AN171">
        <v>0</v>
      </c>
      <c r="AO171">
        <v>1</v>
      </c>
      <c r="AP171">
        <v>0</v>
      </c>
      <c r="AQ171">
        <v>0</v>
      </c>
      <c r="AR171">
        <v>0</v>
      </c>
      <c r="AS171" t="s">
        <v>3</v>
      </c>
      <c r="AT171">
        <v>21.91</v>
      </c>
      <c r="AU171" t="s">
        <v>3</v>
      </c>
      <c r="AV171">
        <v>0</v>
      </c>
      <c r="AW171">
        <v>2</v>
      </c>
      <c r="AX171">
        <v>42225365</v>
      </c>
      <c r="AY171">
        <v>1</v>
      </c>
      <c r="AZ171">
        <v>0</v>
      </c>
      <c r="BA171">
        <v>158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Y171*Source!I314</f>
        <v>20.70495</v>
      </c>
      <c r="CY171">
        <f>AB171</f>
        <v>54.65</v>
      </c>
      <c r="CZ171">
        <f>AF171</f>
        <v>54.65</v>
      </c>
      <c r="DA171">
        <f>AJ171</f>
        <v>1</v>
      </c>
      <c r="DB171">
        <f t="shared" si="35"/>
        <v>1197.3800000000001</v>
      </c>
      <c r="DC171">
        <f t="shared" si="36"/>
        <v>1.1000000000000001</v>
      </c>
    </row>
    <row r="172" spans="1:107">
      <c r="A172">
        <f>ROW(Source!A314)</f>
        <v>314</v>
      </c>
      <c r="B172">
        <v>42225948</v>
      </c>
      <c r="C172">
        <v>42225357</v>
      </c>
      <c r="D172">
        <v>38800771</v>
      </c>
      <c r="E172">
        <v>1</v>
      </c>
      <c r="F172">
        <v>1</v>
      </c>
      <c r="G172">
        <v>27</v>
      </c>
      <c r="H172">
        <v>3</v>
      </c>
      <c r="I172" t="s">
        <v>288</v>
      </c>
      <c r="J172" t="s">
        <v>290</v>
      </c>
      <c r="K172" t="s">
        <v>289</v>
      </c>
      <c r="L172">
        <v>1348</v>
      </c>
      <c r="N172">
        <v>1009</v>
      </c>
      <c r="O172" t="s">
        <v>281</v>
      </c>
      <c r="P172" t="s">
        <v>281</v>
      </c>
      <c r="Q172">
        <v>1000</v>
      </c>
      <c r="W172">
        <v>0</v>
      </c>
      <c r="X172">
        <v>-1290471652</v>
      </c>
      <c r="Y172">
        <v>0.64705900000000005</v>
      </c>
      <c r="AA172">
        <v>32819.879999999997</v>
      </c>
      <c r="AB172">
        <v>0</v>
      </c>
      <c r="AC172">
        <v>0</v>
      </c>
      <c r="AD172">
        <v>0</v>
      </c>
      <c r="AE172">
        <v>32819.879999999997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1</v>
      </c>
      <c r="AL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 t="s">
        <v>3</v>
      </c>
      <c r="AT172">
        <v>0.64705900000000005</v>
      </c>
      <c r="AU172" t="s">
        <v>3</v>
      </c>
      <c r="AV172">
        <v>0</v>
      </c>
      <c r="AW172">
        <v>1</v>
      </c>
      <c r="AX172">
        <v>-1</v>
      </c>
      <c r="AY172">
        <v>0</v>
      </c>
      <c r="AZ172">
        <v>0</v>
      </c>
      <c r="BA172" t="s">
        <v>3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Y172*Source!I314</f>
        <v>0.61147075500000003</v>
      </c>
      <c r="CY172">
        <f>AA172</f>
        <v>32819.879999999997</v>
      </c>
      <c r="CZ172">
        <f>AE172</f>
        <v>32819.879999999997</v>
      </c>
      <c r="DA172">
        <f>AI172</f>
        <v>1</v>
      </c>
      <c r="DB172">
        <f t="shared" si="35"/>
        <v>21236.400000000001</v>
      </c>
      <c r="DC172">
        <f t="shared" si="36"/>
        <v>0</v>
      </c>
    </row>
    <row r="173" spans="1:107">
      <c r="A173">
        <f>ROW(Source!A314)</f>
        <v>314</v>
      </c>
      <c r="B173">
        <v>42225948</v>
      </c>
      <c r="C173">
        <v>42225357</v>
      </c>
      <c r="D173">
        <v>38800831</v>
      </c>
      <c r="E173">
        <v>1</v>
      </c>
      <c r="F173">
        <v>1</v>
      </c>
      <c r="G173">
        <v>27</v>
      </c>
      <c r="H173">
        <v>3</v>
      </c>
      <c r="I173" t="s">
        <v>292</v>
      </c>
      <c r="J173" t="s">
        <v>294</v>
      </c>
      <c r="K173" t="s">
        <v>293</v>
      </c>
      <c r="L173">
        <v>1348</v>
      </c>
      <c r="N173">
        <v>1009</v>
      </c>
      <c r="O173" t="s">
        <v>281</v>
      </c>
      <c r="P173" t="s">
        <v>281</v>
      </c>
      <c r="Q173">
        <v>1000</v>
      </c>
      <c r="W173">
        <v>0</v>
      </c>
      <c r="X173">
        <v>326158175</v>
      </c>
      <c r="Y173">
        <v>0.352941</v>
      </c>
      <c r="AA173">
        <v>38268.54</v>
      </c>
      <c r="AB173">
        <v>0</v>
      </c>
      <c r="AC173">
        <v>0</v>
      </c>
      <c r="AD173">
        <v>0</v>
      </c>
      <c r="AE173">
        <v>38268.54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 t="s">
        <v>3</v>
      </c>
      <c r="AT173">
        <v>0.352941</v>
      </c>
      <c r="AU173" t="s">
        <v>3</v>
      </c>
      <c r="AV173">
        <v>0</v>
      </c>
      <c r="AW173">
        <v>1</v>
      </c>
      <c r="AX173">
        <v>-1</v>
      </c>
      <c r="AY173">
        <v>0</v>
      </c>
      <c r="AZ173">
        <v>0</v>
      </c>
      <c r="BA173" t="s">
        <v>3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Y173*Source!I314</f>
        <v>0.33352924499999997</v>
      </c>
      <c r="CY173">
        <f>AA173</f>
        <v>38268.54</v>
      </c>
      <c r="CZ173">
        <f>AE173</f>
        <v>38268.54</v>
      </c>
      <c r="DA173">
        <f>AI173</f>
        <v>1</v>
      </c>
      <c r="DB173">
        <f t="shared" si="35"/>
        <v>13506.54</v>
      </c>
      <c r="DC173">
        <f t="shared" si="36"/>
        <v>0</v>
      </c>
    </row>
    <row r="174" spans="1:107">
      <c r="A174">
        <f>ROW(Source!A314)</f>
        <v>314</v>
      </c>
      <c r="B174">
        <v>42225948</v>
      </c>
      <c r="C174">
        <v>42225357</v>
      </c>
      <c r="D174">
        <v>38801818</v>
      </c>
      <c r="E174">
        <v>1</v>
      </c>
      <c r="F174">
        <v>1</v>
      </c>
      <c r="G174">
        <v>27</v>
      </c>
      <c r="H174">
        <v>3</v>
      </c>
      <c r="I174" t="s">
        <v>508</v>
      </c>
      <c r="J174" t="s">
        <v>509</v>
      </c>
      <c r="K174" t="s">
        <v>510</v>
      </c>
      <c r="L174">
        <v>1348</v>
      </c>
      <c r="N174">
        <v>1009</v>
      </c>
      <c r="O174" t="s">
        <v>281</v>
      </c>
      <c r="P174" t="s">
        <v>281</v>
      </c>
      <c r="Q174">
        <v>1000</v>
      </c>
      <c r="W174">
        <v>0</v>
      </c>
      <c r="X174">
        <v>-672771621</v>
      </c>
      <c r="Y174">
        <v>0.03</v>
      </c>
      <c r="AA174">
        <v>110781.14</v>
      </c>
      <c r="AB174">
        <v>0</v>
      </c>
      <c r="AC174">
        <v>0</v>
      </c>
      <c r="AD174">
        <v>0</v>
      </c>
      <c r="AE174">
        <v>110781.14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1</v>
      </c>
      <c r="AL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S174" t="s">
        <v>3</v>
      </c>
      <c r="AT174">
        <v>0.03</v>
      </c>
      <c r="AU174" t="s">
        <v>3</v>
      </c>
      <c r="AV174">
        <v>0</v>
      </c>
      <c r="AW174">
        <v>2</v>
      </c>
      <c r="AX174">
        <v>42225366</v>
      </c>
      <c r="AY174">
        <v>1</v>
      </c>
      <c r="AZ174">
        <v>0</v>
      </c>
      <c r="BA174">
        <v>159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Y174*Source!I314</f>
        <v>2.8349999999999997E-2</v>
      </c>
      <c r="CY174">
        <f>AA174</f>
        <v>110781.14</v>
      </c>
      <c r="CZ174">
        <f>AE174</f>
        <v>110781.14</v>
      </c>
      <c r="DA174">
        <f>AI174</f>
        <v>1</v>
      </c>
      <c r="DB174">
        <f t="shared" si="35"/>
        <v>3323.43</v>
      </c>
      <c r="DC174">
        <f t="shared" si="36"/>
        <v>0</v>
      </c>
    </row>
    <row r="175" spans="1:107">
      <c r="A175">
        <f>ROW(Source!A314)</f>
        <v>314</v>
      </c>
      <c r="B175">
        <v>42225948</v>
      </c>
      <c r="C175">
        <v>42225357</v>
      </c>
      <c r="D175">
        <v>38803137</v>
      </c>
      <c r="E175">
        <v>1</v>
      </c>
      <c r="F175">
        <v>1</v>
      </c>
      <c r="G175">
        <v>27</v>
      </c>
      <c r="H175">
        <v>3</v>
      </c>
      <c r="I175" t="s">
        <v>502</v>
      </c>
      <c r="J175" t="s">
        <v>503</v>
      </c>
      <c r="K175" t="s">
        <v>504</v>
      </c>
      <c r="L175">
        <v>1348</v>
      </c>
      <c r="N175">
        <v>1009</v>
      </c>
      <c r="O175" t="s">
        <v>281</v>
      </c>
      <c r="P175" t="s">
        <v>281</v>
      </c>
      <c r="Q175">
        <v>1000</v>
      </c>
      <c r="W175">
        <v>0</v>
      </c>
      <c r="X175">
        <v>-1958973042</v>
      </c>
      <c r="Y175">
        <v>1</v>
      </c>
      <c r="AA175">
        <v>53233.52</v>
      </c>
      <c r="AB175">
        <v>0</v>
      </c>
      <c r="AC175">
        <v>0</v>
      </c>
      <c r="AD175">
        <v>0</v>
      </c>
      <c r="AE175">
        <v>53233.52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1</v>
      </c>
      <c r="AL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 t="s">
        <v>3</v>
      </c>
      <c r="AT175">
        <v>1</v>
      </c>
      <c r="AU175" t="s">
        <v>3</v>
      </c>
      <c r="AV175">
        <v>0</v>
      </c>
      <c r="AW175">
        <v>2</v>
      </c>
      <c r="AX175">
        <v>42225367</v>
      </c>
      <c r="AY175">
        <v>1</v>
      </c>
      <c r="AZ175">
        <v>0</v>
      </c>
      <c r="BA175">
        <v>160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Y175*Source!I314</f>
        <v>0.94499999999999995</v>
      </c>
      <c r="CY175">
        <f>AA175</f>
        <v>53233.52</v>
      </c>
      <c r="CZ175">
        <f>AE175</f>
        <v>53233.52</v>
      </c>
      <c r="DA175">
        <f>AI175</f>
        <v>1</v>
      </c>
      <c r="DB175">
        <f t="shared" si="35"/>
        <v>53233.52</v>
      </c>
      <c r="DC175">
        <f t="shared" si="36"/>
        <v>0</v>
      </c>
    </row>
    <row r="176" spans="1:107">
      <c r="A176">
        <f>ROW(Source!A317)</f>
        <v>317</v>
      </c>
      <c r="B176">
        <v>42225948</v>
      </c>
      <c r="C176">
        <v>42225370</v>
      </c>
      <c r="D176">
        <v>38786840</v>
      </c>
      <c r="E176">
        <v>27</v>
      </c>
      <c r="F176">
        <v>1</v>
      </c>
      <c r="G176">
        <v>27</v>
      </c>
      <c r="H176">
        <v>1</v>
      </c>
      <c r="I176" t="s">
        <v>339</v>
      </c>
      <c r="J176" t="s">
        <v>3</v>
      </c>
      <c r="K176" t="s">
        <v>340</v>
      </c>
      <c r="L176">
        <v>1191</v>
      </c>
      <c r="N176">
        <v>1013</v>
      </c>
      <c r="O176" t="s">
        <v>341</v>
      </c>
      <c r="P176" t="s">
        <v>341</v>
      </c>
      <c r="Q176">
        <v>1</v>
      </c>
      <c r="W176">
        <v>0</v>
      </c>
      <c r="X176">
        <v>476480486</v>
      </c>
      <c r="Y176">
        <v>34.380000000000003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1</v>
      </c>
      <c r="AK176">
        <v>1</v>
      </c>
      <c r="AL176">
        <v>1</v>
      </c>
      <c r="AN176">
        <v>0</v>
      </c>
      <c r="AO176">
        <v>1</v>
      </c>
      <c r="AP176">
        <v>0</v>
      </c>
      <c r="AQ176">
        <v>0</v>
      </c>
      <c r="AR176">
        <v>0</v>
      </c>
      <c r="AS176" t="s">
        <v>3</v>
      </c>
      <c r="AT176">
        <v>34.380000000000003</v>
      </c>
      <c r="AU176" t="s">
        <v>3</v>
      </c>
      <c r="AV176">
        <v>1</v>
      </c>
      <c r="AW176">
        <v>2</v>
      </c>
      <c r="AX176">
        <v>42225377</v>
      </c>
      <c r="AY176">
        <v>1</v>
      </c>
      <c r="AZ176">
        <v>0</v>
      </c>
      <c r="BA176">
        <v>161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Y176*Source!I317</f>
        <v>11.139120000000002</v>
      </c>
      <c r="CY176">
        <f>AD176</f>
        <v>0</v>
      </c>
      <c r="CZ176">
        <f>AH176</f>
        <v>0</v>
      </c>
      <c r="DA176">
        <f>AL176</f>
        <v>1</v>
      </c>
      <c r="DB176">
        <f t="shared" si="35"/>
        <v>0</v>
      </c>
      <c r="DC176">
        <f t="shared" si="36"/>
        <v>0</v>
      </c>
    </row>
    <row r="177" spans="1:107">
      <c r="A177">
        <f>ROW(Source!A317)</f>
        <v>317</v>
      </c>
      <c r="B177">
        <v>42225948</v>
      </c>
      <c r="C177">
        <v>42225370</v>
      </c>
      <c r="D177">
        <v>38799922</v>
      </c>
      <c r="E177">
        <v>1</v>
      </c>
      <c r="F177">
        <v>1</v>
      </c>
      <c r="G177">
        <v>27</v>
      </c>
      <c r="H177">
        <v>2</v>
      </c>
      <c r="I177" t="s">
        <v>511</v>
      </c>
      <c r="J177" t="s">
        <v>512</v>
      </c>
      <c r="K177" t="s">
        <v>513</v>
      </c>
      <c r="L177">
        <v>1368</v>
      </c>
      <c r="N177">
        <v>1011</v>
      </c>
      <c r="O177" t="s">
        <v>345</v>
      </c>
      <c r="P177" t="s">
        <v>345</v>
      </c>
      <c r="Q177">
        <v>1</v>
      </c>
      <c r="W177">
        <v>0</v>
      </c>
      <c r="X177">
        <v>592514182</v>
      </c>
      <c r="Y177">
        <v>5.26</v>
      </c>
      <c r="AA177">
        <v>0</v>
      </c>
      <c r="AB177">
        <v>7.44</v>
      </c>
      <c r="AC177">
        <v>0.98</v>
      </c>
      <c r="AD177">
        <v>0</v>
      </c>
      <c r="AE177">
        <v>0</v>
      </c>
      <c r="AF177">
        <v>7.44</v>
      </c>
      <c r="AG177">
        <v>0.98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1</v>
      </c>
      <c r="AP177">
        <v>0</v>
      </c>
      <c r="AQ177">
        <v>0</v>
      </c>
      <c r="AR177">
        <v>0</v>
      </c>
      <c r="AS177" t="s">
        <v>3</v>
      </c>
      <c r="AT177">
        <v>5.26</v>
      </c>
      <c r="AU177" t="s">
        <v>3</v>
      </c>
      <c r="AV177">
        <v>0</v>
      </c>
      <c r="AW177">
        <v>2</v>
      </c>
      <c r="AX177">
        <v>42225378</v>
      </c>
      <c r="AY177">
        <v>1</v>
      </c>
      <c r="AZ177">
        <v>0</v>
      </c>
      <c r="BA177">
        <v>162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Y177*Source!I317</f>
        <v>1.70424</v>
      </c>
      <c r="CY177">
        <f>AB177</f>
        <v>7.44</v>
      </c>
      <c r="CZ177">
        <f>AF177</f>
        <v>7.44</v>
      </c>
      <c r="DA177">
        <f>AJ177</f>
        <v>1</v>
      </c>
      <c r="DB177">
        <f t="shared" si="35"/>
        <v>39.130000000000003</v>
      </c>
      <c r="DC177">
        <f t="shared" si="36"/>
        <v>5.15</v>
      </c>
    </row>
    <row r="178" spans="1:107">
      <c r="A178">
        <f>ROW(Source!A317)</f>
        <v>317</v>
      </c>
      <c r="B178">
        <v>42225948</v>
      </c>
      <c r="C178">
        <v>42225370</v>
      </c>
      <c r="D178">
        <v>38800822</v>
      </c>
      <c r="E178">
        <v>1</v>
      </c>
      <c r="F178">
        <v>1</v>
      </c>
      <c r="G178">
        <v>27</v>
      </c>
      <c r="H178">
        <v>3</v>
      </c>
      <c r="I178" t="s">
        <v>305</v>
      </c>
      <c r="J178" t="s">
        <v>307</v>
      </c>
      <c r="K178" t="s">
        <v>306</v>
      </c>
      <c r="L178">
        <v>1348</v>
      </c>
      <c r="N178">
        <v>1009</v>
      </c>
      <c r="O178" t="s">
        <v>281</v>
      </c>
      <c r="P178" t="s">
        <v>281</v>
      </c>
      <c r="Q178">
        <v>1000</v>
      </c>
      <c r="W178">
        <v>0</v>
      </c>
      <c r="X178">
        <v>-1166408548</v>
      </c>
      <c r="Y178">
        <v>2.2941180000000001</v>
      </c>
      <c r="AA178">
        <v>164918.53</v>
      </c>
      <c r="AB178">
        <v>0</v>
      </c>
      <c r="AC178">
        <v>0</v>
      </c>
      <c r="AD178">
        <v>0</v>
      </c>
      <c r="AE178">
        <v>164918.53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3</v>
      </c>
      <c r="AT178">
        <v>2.2941180000000001</v>
      </c>
      <c r="AU178" t="s">
        <v>3</v>
      </c>
      <c r="AV178">
        <v>0</v>
      </c>
      <c r="AW178">
        <v>1</v>
      </c>
      <c r="AX178">
        <v>-1</v>
      </c>
      <c r="AY178">
        <v>0</v>
      </c>
      <c r="AZ178">
        <v>0</v>
      </c>
      <c r="BA178" t="s">
        <v>3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Y178*Source!I317</f>
        <v>0.74329423200000011</v>
      </c>
      <c r="CY178">
        <f>AA178</f>
        <v>164918.53</v>
      </c>
      <c r="CZ178">
        <f>AE178</f>
        <v>164918.53</v>
      </c>
      <c r="DA178">
        <f>AI178</f>
        <v>1</v>
      </c>
      <c r="DB178">
        <f t="shared" si="35"/>
        <v>378342.57</v>
      </c>
      <c r="DC178">
        <f t="shared" si="36"/>
        <v>0</v>
      </c>
    </row>
    <row r="179" spans="1:107">
      <c r="A179">
        <f>ROW(Source!A317)</f>
        <v>317</v>
      </c>
      <c r="B179">
        <v>42225948</v>
      </c>
      <c r="C179">
        <v>42225370</v>
      </c>
      <c r="D179">
        <v>38800890</v>
      </c>
      <c r="E179">
        <v>1</v>
      </c>
      <c r="F179">
        <v>1</v>
      </c>
      <c r="G179">
        <v>27</v>
      </c>
      <c r="H179">
        <v>3</v>
      </c>
      <c r="I179" t="s">
        <v>300</v>
      </c>
      <c r="J179" t="s">
        <v>303</v>
      </c>
      <c r="K179" t="s">
        <v>301</v>
      </c>
      <c r="L179">
        <v>1327</v>
      </c>
      <c r="N179">
        <v>1005</v>
      </c>
      <c r="O179" t="s">
        <v>302</v>
      </c>
      <c r="P179" t="s">
        <v>302</v>
      </c>
      <c r="Q179">
        <v>1</v>
      </c>
      <c r="W179">
        <v>1</v>
      </c>
      <c r="X179">
        <v>-553798196</v>
      </c>
      <c r="Y179">
        <v>-102</v>
      </c>
      <c r="AA179">
        <v>306.58</v>
      </c>
      <c r="AB179">
        <v>0</v>
      </c>
      <c r="AC179">
        <v>0</v>
      </c>
      <c r="AD179">
        <v>0</v>
      </c>
      <c r="AE179">
        <v>306.58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1</v>
      </c>
      <c r="AL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 t="s">
        <v>3</v>
      </c>
      <c r="AT179">
        <v>-102</v>
      </c>
      <c r="AU179" t="s">
        <v>3</v>
      </c>
      <c r="AV179">
        <v>0</v>
      </c>
      <c r="AW179">
        <v>2</v>
      </c>
      <c r="AX179">
        <v>42225379</v>
      </c>
      <c r="AY179">
        <v>1</v>
      </c>
      <c r="AZ179">
        <v>6144</v>
      </c>
      <c r="BA179">
        <v>163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Y179*Source!I317</f>
        <v>-33.048000000000002</v>
      </c>
      <c r="CY179">
        <f>AA179</f>
        <v>306.58</v>
      </c>
      <c r="CZ179">
        <f>AE179</f>
        <v>306.58</v>
      </c>
      <c r="DA179">
        <f>AI179</f>
        <v>1</v>
      </c>
      <c r="DB179">
        <f t="shared" si="35"/>
        <v>-31271.16</v>
      </c>
      <c r="DC179">
        <f t="shared" si="36"/>
        <v>0</v>
      </c>
    </row>
    <row r="180" spans="1:107">
      <c r="A180">
        <f>ROW(Source!A317)</f>
        <v>317</v>
      </c>
      <c r="B180">
        <v>42225948</v>
      </c>
      <c r="C180">
        <v>42225370</v>
      </c>
      <c r="D180">
        <v>38788376</v>
      </c>
      <c r="E180">
        <v>27</v>
      </c>
      <c r="F180">
        <v>1</v>
      </c>
      <c r="G180">
        <v>27</v>
      </c>
      <c r="H180">
        <v>3</v>
      </c>
      <c r="I180" t="s">
        <v>514</v>
      </c>
      <c r="J180" t="s">
        <v>3</v>
      </c>
      <c r="K180" t="s">
        <v>515</v>
      </c>
      <c r="L180">
        <v>1348</v>
      </c>
      <c r="N180">
        <v>1009</v>
      </c>
      <c r="O180" t="s">
        <v>281</v>
      </c>
      <c r="P180" t="s">
        <v>281</v>
      </c>
      <c r="Q180">
        <v>1000</v>
      </c>
      <c r="W180">
        <v>0</v>
      </c>
      <c r="X180">
        <v>-1190824955</v>
      </c>
      <c r="Y180">
        <v>2.9999999999999997E-4</v>
      </c>
      <c r="AA180">
        <v>179560</v>
      </c>
      <c r="AB180">
        <v>0</v>
      </c>
      <c r="AC180">
        <v>0</v>
      </c>
      <c r="AD180">
        <v>0</v>
      </c>
      <c r="AE180">
        <v>179560</v>
      </c>
      <c r="AF180">
        <v>0</v>
      </c>
      <c r="AG180">
        <v>0</v>
      </c>
      <c r="AH180">
        <v>0</v>
      </c>
      <c r="AI180">
        <v>1</v>
      </c>
      <c r="AJ180">
        <v>1</v>
      </c>
      <c r="AK180">
        <v>1</v>
      </c>
      <c r="AL180">
        <v>1</v>
      </c>
      <c r="AN180">
        <v>0</v>
      </c>
      <c r="AO180">
        <v>1</v>
      </c>
      <c r="AP180">
        <v>0</v>
      </c>
      <c r="AQ180">
        <v>0</v>
      </c>
      <c r="AR180">
        <v>0</v>
      </c>
      <c r="AS180" t="s">
        <v>3</v>
      </c>
      <c r="AT180">
        <v>2.9999999999999997E-4</v>
      </c>
      <c r="AU180" t="s">
        <v>3</v>
      </c>
      <c r="AV180">
        <v>0</v>
      </c>
      <c r="AW180">
        <v>2</v>
      </c>
      <c r="AX180">
        <v>42225380</v>
      </c>
      <c r="AY180">
        <v>1</v>
      </c>
      <c r="AZ180">
        <v>0</v>
      </c>
      <c r="BA180">
        <v>164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Y180*Source!I317</f>
        <v>9.7199999999999991E-5</v>
      </c>
      <c r="CY180">
        <f>AA180</f>
        <v>179560</v>
      </c>
      <c r="CZ180">
        <f>AE180</f>
        <v>179560</v>
      </c>
      <c r="DA180">
        <f>AI180</f>
        <v>1</v>
      </c>
      <c r="DB180">
        <f t="shared" si="35"/>
        <v>53.87</v>
      </c>
      <c r="DC180">
        <f t="shared" si="36"/>
        <v>0</v>
      </c>
    </row>
    <row r="181" spans="1:107">
      <c r="A181">
        <f>ROW(Source!A317)</f>
        <v>317</v>
      </c>
      <c r="B181">
        <v>42225948</v>
      </c>
      <c r="C181">
        <v>42225370</v>
      </c>
      <c r="D181">
        <v>38788374</v>
      </c>
      <c r="E181">
        <v>27</v>
      </c>
      <c r="F181">
        <v>1</v>
      </c>
      <c r="G181">
        <v>27</v>
      </c>
      <c r="H181">
        <v>3</v>
      </c>
      <c r="I181" t="s">
        <v>516</v>
      </c>
      <c r="J181" t="s">
        <v>3</v>
      </c>
      <c r="K181" t="s">
        <v>517</v>
      </c>
      <c r="L181">
        <v>1348</v>
      </c>
      <c r="N181">
        <v>1009</v>
      </c>
      <c r="O181" t="s">
        <v>281</v>
      </c>
      <c r="P181" t="s">
        <v>281</v>
      </c>
      <c r="Q181">
        <v>1000</v>
      </c>
      <c r="W181">
        <v>0</v>
      </c>
      <c r="X181">
        <v>-615900726</v>
      </c>
      <c r="Y181">
        <v>2.9999999999999997E-4</v>
      </c>
      <c r="AA181">
        <v>205080</v>
      </c>
      <c r="AB181">
        <v>0</v>
      </c>
      <c r="AC181">
        <v>0</v>
      </c>
      <c r="AD181">
        <v>0</v>
      </c>
      <c r="AE181">
        <v>205080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1</v>
      </c>
      <c r="AL181">
        <v>1</v>
      </c>
      <c r="AN181">
        <v>0</v>
      </c>
      <c r="AO181">
        <v>1</v>
      </c>
      <c r="AP181">
        <v>0</v>
      </c>
      <c r="AQ181">
        <v>0</v>
      </c>
      <c r="AR181">
        <v>0</v>
      </c>
      <c r="AS181" t="s">
        <v>3</v>
      </c>
      <c r="AT181">
        <v>2.9999999999999997E-4</v>
      </c>
      <c r="AU181" t="s">
        <v>3</v>
      </c>
      <c r="AV181">
        <v>0</v>
      </c>
      <c r="AW181">
        <v>2</v>
      </c>
      <c r="AX181">
        <v>42225381</v>
      </c>
      <c r="AY181">
        <v>1</v>
      </c>
      <c r="AZ181">
        <v>0</v>
      </c>
      <c r="BA181">
        <v>165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CX181">
        <f>Y181*Source!I317</f>
        <v>9.7199999999999991E-5</v>
      </c>
      <c r="CY181">
        <f>AA181</f>
        <v>205080</v>
      </c>
      <c r="CZ181">
        <f>AE181</f>
        <v>205080</v>
      </c>
      <c r="DA181">
        <f>AI181</f>
        <v>1</v>
      </c>
      <c r="DB181">
        <f t="shared" si="35"/>
        <v>61.52</v>
      </c>
      <c r="DC181">
        <f t="shared" si="36"/>
        <v>0</v>
      </c>
    </row>
    <row r="182" spans="1:107">
      <c r="A182">
        <f>ROW(Source!A320)</f>
        <v>320</v>
      </c>
      <c r="B182">
        <v>42225948</v>
      </c>
      <c r="C182">
        <v>42225384</v>
      </c>
      <c r="D182">
        <v>38786840</v>
      </c>
      <c r="E182">
        <v>27</v>
      </c>
      <c r="F182">
        <v>1</v>
      </c>
      <c r="G182">
        <v>27</v>
      </c>
      <c r="H182">
        <v>1</v>
      </c>
      <c r="I182" t="s">
        <v>339</v>
      </c>
      <c r="J182" t="s">
        <v>3</v>
      </c>
      <c r="K182" t="s">
        <v>340</v>
      </c>
      <c r="L182">
        <v>1191</v>
      </c>
      <c r="N182">
        <v>1013</v>
      </c>
      <c r="O182" t="s">
        <v>341</v>
      </c>
      <c r="P182" t="s">
        <v>341</v>
      </c>
      <c r="Q182">
        <v>1</v>
      </c>
      <c r="W182">
        <v>0</v>
      </c>
      <c r="X182">
        <v>476480486</v>
      </c>
      <c r="Y182">
        <v>34.380000000000003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1</v>
      </c>
      <c r="AK182">
        <v>1</v>
      </c>
      <c r="AL182">
        <v>1</v>
      </c>
      <c r="AN182">
        <v>0</v>
      </c>
      <c r="AO182">
        <v>1</v>
      </c>
      <c r="AP182">
        <v>0</v>
      </c>
      <c r="AQ182">
        <v>0</v>
      </c>
      <c r="AR182">
        <v>0</v>
      </c>
      <c r="AS182" t="s">
        <v>3</v>
      </c>
      <c r="AT182">
        <v>34.380000000000003</v>
      </c>
      <c r="AU182" t="s">
        <v>3</v>
      </c>
      <c r="AV182">
        <v>1</v>
      </c>
      <c r="AW182">
        <v>2</v>
      </c>
      <c r="AX182">
        <v>42225391</v>
      </c>
      <c r="AY182">
        <v>1</v>
      </c>
      <c r="AZ182">
        <v>0</v>
      </c>
      <c r="BA182">
        <v>166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CX182">
        <f>Y182*Source!I320</f>
        <v>4.4006400000000001</v>
      </c>
      <c r="CY182">
        <f>AD182</f>
        <v>0</v>
      </c>
      <c r="CZ182">
        <f>AH182</f>
        <v>0</v>
      </c>
      <c r="DA182">
        <f>AL182</f>
        <v>1</v>
      </c>
      <c r="DB182">
        <f t="shared" si="35"/>
        <v>0</v>
      </c>
      <c r="DC182">
        <f t="shared" si="36"/>
        <v>0</v>
      </c>
    </row>
    <row r="183" spans="1:107">
      <c r="A183">
        <f>ROW(Source!A320)</f>
        <v>320</v>
      </c>
      <c r="B183">
        <v>42225948</v>
      </c>
      <c r="C183">
        <v>42225384</v>
      </c>
      <c r="D183">
        <v>38799922</v>
      </c>
      <c r="E183">
        <v>1</v>
      </c>
      <c r="F183">
        <v>1</v>
      </c>
      <c r="G183">
        <v>27</v>
      </c>
      <c r="H183">
        <v>2</v>
      </c>
      <c r="I183" t="s">
        <v>511</v>
      </c>
      <c r="J183" t="s">
        <v>512</v>
      </c>
      <c r="K183" t="s">
        <v>513</v>
      </c>
      <c r="L183">
        <v>1368</v>
      </c>
      <c r="N183">
        <v>1011</v>
      </c>
      <c r="O183" t="s">
        <v>345</v>
      </c>
      <c r="P183" t="s">
        <v>345</v>
      </c>
      <c r="Q183">
        <v>1</v>
      </c>
      <c r="W183">
        <v>0</v>
      </c>
      <c r="X183">
        <v>592514182</v>
      </c>
      <c r="Y183">
        <v>5.26</v>
      </c>
      <c r="AA183">
        <v>0</v>
      </c>
      <c r="AB183">
        <v>7.44</v>
      </c>
      <c r="AC183">
        <v>0.98</v>
      </c>
      <c r="AD183">
        <v>0</v>
      </c>
      <c r="AE183">
        <v>0</v>
      </c>
      <c r="AF183">
        <v>7.44</v>
      </c>
      <c r="AG183">
        <v>0.98</v>
      </c>
      <c r="AH183">
        <v>0</v>
      </c>
      <c r="AI183">
        <v>1</v>
      </c>
      <c r="AJ183">
        <v>1</v>
      </c>
      <c r="AK183">
        <v>1</v>
      </c>
      <c r="AL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 t="s">
        <v>3</v>
      </c>
      <c r="AT183">
        <v>5.26</v>
      </c>
      <c r="AU183" t="s">
        <v>3</v>
      </c>
      <c r="AV183">
        <v>0</v>
      </c>
      <c r="AW183">
        <v>2</v>
      </c>
      <c r="AX183">
        <v>42225392</v>
      </c>
      <c r="AY183">
        <v>1</v>
      </c>
      <c r="AZ183">
        <v>0</v>
      </c>
      <c r="BA183">
        <v>167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CX183">
        <f>Y183*Source!I320</f>
        <v>0.67327999999999999</v>
      </c>
      <c r="CY183">
        <f>AB183</f>
        <v>7.44</v>
      </c>
      <c r="CZ183">
        <f>AF183</f>
        <v>7.44</v>
      </c>
      <c r="DA183">
        <f>AJ183</f>
        <v>1</v>
      </c>
      <c r="DB183">
        <f t="shared" si="35"/>
        <v>39.130000000000003</v>
      </c>
      <c r="DC183">
        <f t="shared" si="36"/>
        <v>5.15</v>
      </c>
    </row>
    <row r="184" spans="1:107">
      <c r="A184">
        <f>ROW(Source!A320)</f>
        <v>320</v>
      </c>
      <c r="B184">
        <v>42225948</v>
      </c>
      <c r="C184">
        <v>42225384</v>
      </c>
      <c r="D184">
        <v>38800823</v>
      </c>
      <c r="E184">
        <v>1</v>
      </c>
      <c r="F184">
        <v>1</v>
      </c>
      <c r="G184">
        <v>27</v>
      </c>
      <c r="H184">
        <v>3</v>
      </c>
      <c r="I184" t="s">
        <v>311</v>
      </c>
      <c r="J184" t="s">
        <v>313</v>
      </c>
      <c r="K184" t="s">
        <v>312</v>
      </c>
      <c r="L184">
        <v>1348</v>
      </c>
      <c r="N184">
        <v>1009</v>
      </c>
      <c r="O184" t="s">
        <v>281</v>
      </c>
      <c r="P184" t="s">
        <v>281</v>
      </c>
      <c r="Q184">
        <v>1000</v>
      </c>
      <c r="W184">
        <v>0</v>
      </c>
      <c r="X184">
        <v>-2041016491</v>
      </c>
      <c r="Y184">
        <v>6.0168179999999998</v>
      </c>
      <c r="AA184">
        <v>166618.54999999999</v>
      </c>
      <c r="AB184">
        <v>0</v>
      </c>
      <c r="AC184">
        <v>0</v>
      </c>
      <c r="AD184">
        <v>0</v>
      </c>
      <c r="AE184">
        <v>166618.54999999999</v>
      </c>
      <c r="AF184">
        <v>0</v>
      </c>
      <c r="AG184">
        <v>0</v>
      </c>
      <c r="AH184">
        <v>0</v>
      </c>
      <c r="AI184">
        <v>1</v>
      </c>
      <c r="AJ184">
        <v>1</v>
      </c>
      <c r="AK184">
        <v>1</v>
      </c>
      <c r="AL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 t="s">
        <v>3</v>
      </c>
      <c r="AT184">
        <v>6.0168179999999998</v>
      </c>
      <c r="AU184" t="s">
        <v>3</v>
      </c>
      <c r="AV184">
        <v>0</v>
      </c>
      <c r="AW184">
        <v>1</v>
      </c>
      <c r="AX184">
        <v>-1</v>
      </c>
      <c r="AY184">
        <v>0</v>
      </c>
      <c r="AZ184">
        <v>0</v>
      </c>
      <c r="BA184" t="s">
        <v>3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CX184">
        <f>Y184*Source!I320</f>
        <v>0.77015270400000002</v>
      </c>
      <c r="CY184">
        <f>AA184</f>
        <v>166618.54999999999</v>
      </c>
      <c r="CZ184">
        <f>AE184</f>
        <v>166618.54999999999</v>
      </c>
      <c r="DA184">
        <f>AI184</f>
        <v>1</v>
      </c>
      <c r="DB184">
        <f t="shared" si="35"/>
        <v>1002513.49</v>
      </c>
      <c r="DC184">
        <f t="shared" si="36"/>
        <v>0</v>
      </c>
    </row>
    <row r="185" spans="1:107">
      <c r="A185">
        <f>ROW(Source!A320)</f>
        <v>320</v>
      </c>
      <c r="B185">
        <v>42225948</v>
      </c>
      <c r="C185">
        <v>42225384</v>
      </c>
      <c r="D185">
        <v>38800890</v>
      </c>
      <c r="E185">
        <v>1</v>
      </c>
      <c r="F185">
        <v>1</v>
      </c>
      <c r="G185">
        <v>27</v>
      </c>
      <c r="H185">
        <v>3</v>
      </c>
      <c r="I185" t="s">
        <v>300</v>
      </c>
      <c r="J185" t="s">
        <v>303</v>
      </c>
      <c r="K185" t="s">
        <v>301</v>
      </c>
      <c r="L185">
        <v>1327</v>
      </c>
      <c r="N185">
        <v>1005</v>
      </c>
      <c r="O185" t="s">
        <v>302</v>
      </c>
      <c r="P185" t="s">
        <v>302</v>
      </c>
      <c r="Q185">
        <v>1</v>
      </c>
      <c r="W185">
        <v>1</v>
      </c>
      <c r="X185">
        <v>-553798196</v>
      </c>
      <c r="Y185">
        <v>-102</v>
      </c>
      <c r="AA185">
        <v>306.58</v>
      </c>
      <c r="AB185">
        <v>0</v>
      </c>
      <c r="AC185">
        <v>0</v>
      </c>
      <c r="AD185">
        <v>0</v>
      </c>
      <c r="AE185">
        <v>306.58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1</v>
      </c>
      <c r="AL185">
        <v>1</v>
      </c>
      <c r="AN185">
        <v>0</v>
      </c>
      <c r="AO185">
        <v>1</v>
      </c>
      <c r="AP185">
        <v>0</v>
      </c>
      <c r="AQ185">
        <v>0</v>
      </c>
      <c r="AR185">
        <v>0</v>
      </c>
      <c r="AS185" t="s">
        <v>3</v>
      </c>
      <c r="AT185">
        <v>-102</v>
      </c>
      <c r="AU185" t="s">
        <v>3</v>
      </c>
      <c r="AV185">
        <v>0</v>
      </c>
      <c r="AW185">
        <v>2</v>
      </c>
      <c r="AX185">
        <v>42225393</v>
      </c>
      <c r="AY185">
        <v>1</v>
      </c>
      <c r="AZ185">
        <v>6144</v>
      </c>
      <c r="BA185">
        <v>168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CX185">
        <f>Y185*Source!I320</f>
        <v>-13.056000000000001</v>
      </c>
      <c r="CY185">
        <f>AA185</f>
        <v>306.58</v>
      </c>
      <c r="CZ185">
        <f>AE185</f>
        <v>306.58</v>
      </c>
      <c r="DA185">
        <f>AI185</f>
        <v>1</v>
      </c>
      <c r="DB185">
        <f t="shared" si="35"/>
        <v>-31271.16</v>
      </c>
      <c r="DC185">
        <f t="shared" si="36"/>
        <v>0</v>
      </c>
    </row>
    <row r="186" spans="1:107">
      <c r="A186">
        <f>ROW(Source!A320)</f>
        <v>320</v>
      </c>
      <c r="B186">
        <v>42225948</v>
      </c>
      <c r="C186">
        <v>42225384</v>
      </c>
      <c r="D186">
        <v>38788376</v>
      </c>
      <c r="E186">
        <v>27</v>
      </c>
      <c r="F186">
        <v>1</v>
      </c>
      <c r="G186">
        <v>27</v>
      </c>
      <c r="H186">
        <v>3</v>
      </c>
      <c r="I186" t="s">
        <v>514</v>
      </c>
      <c r="J186" t="s">
        <v>3</v>
      </c>
      <c r="K186" t="s">
        <v>515</v>
      </c>
      <c r="L186">
        <v>1348</v>
      </c>
      <c r="N186">
        <v>1009</v>
      </c>
      <c r="O186" t="s">
        <v>281</v>
      </c>
      <c r="P186" t="s">
        <v>281</v>
      </c>
      <c r="Q186">
        <v>1000</v>
      </c>
      <c r="W186">
        <v>0</v>
      </c>
      <c r="X186">
        <v>-1190824955</v>
      </c>
      <c r="Y186">
        <v>2.9999999999999997E-4</v>
      </c>
      <c r="AA186">
        <v>179560</v>
      </c>
      <c r="AB186">
        <v>0</v>
      </c>
      <c r="AC186">
        <v>0</v>
      </c>
      <c r="AD186">
        <v>0</v>
      </c>
      <c r="AE186">
        <v>179560</v>
      </c>
      <c r="AF186">
        <v>0</v>
      </c>
      <c r="AG186">
        <v>0</v>
      </c>
      <c r="AH186">
        <v>0</v>
      </c>
      <c r="AI186">
        <v>1</v>
      </c>
      <c r="AJ186">
        <v>1</v>
      </c>
      <c r="AK186">
        <v>1</v>
      </c>
      <c r="AL186">
        <v>1</v>
      </c>
      <c r="AN186">
        <v>0</v>
      </c>
      <c r="AO186">
        <v>1</v>
      </c>
      <c r="AP186">
        <v>0</v>
      </c>
      <c r="AQ186">
        <v>0</v>
      </c>
      <c r="AR186">
        <v>0</v>
      </c>
      <c r="AS186" t="s">
        <v>3</v>
      </c>
      <c r="AT186">
        <v>2.9999999999999997E-4</v>
      </c>
      <c r="AU186" t="s">
        <v>3</v>
      </c>
      <c r="AV186">
        <v>0</v>
      </c>
      <c r="AW186">
        <v>2</v>
      </c>
      <c r="AX186">
        <v>42225394</v>
      </c>
      <c r="AY186">
        <v>1</v>
      </c>
      <c r="AZ186">
        <v>0</v>
      </c>
      <c r="BA186">
        <v>169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CX186">
        <f>Y186*Source!I320</f>
        <v>3.8399999999999998E-5</v>
      </c>
      <c r="CY186">
        <f>AA186</f>
        <v>179560</v>
      </c>
      <c r="CZ186">
        <f>AE186</f>
        <v>179560</v>
      </c>
      <c r="DA186">
        <f>AI186</f>
        <v>1</v>
      </c>
      <c r="DB186">
        <f t="shared" si="35"/>
        <v>53.87</v>
      </c>
      <c r="DC186">
        <f t="shared" si="36"/>
        <v>0</v>
      </c>
    </row>
    <row r="187" spans="1:107">
      <c r="A187">
        <f>ROW(Source!A320)</f>
        <v>320</v>
      </c>
      <c r="B187">
        <v>42225948</v>
      </c>
      <c r="C187">
        <v>42225384</v>
      </c>
      <c r="D187">
        <v>38788374</v>
      </c>
      <c r="E187">
        <v>27</v>
      </c>
      <c r="F187">
        <v>1</v>
      </c>
      <c r="G187">
        <v>27</v>
      </c>
      <c r="H187">
        <v>3</v>
      </c>
      <c r="I187" t="s">
        <v>516</v>
      </c>
      <c r="J187" t="s">
        <v>3</v>
      </c>
      <c r="K187" t="s">
        <v>517</v>
      </c>
      <c r="L187">
        <v>1348</v>
      </c>
      <c r="N187">
        <v>1009</v>
      </c>
      <c r="O187" t="s">
        <v>281</v>
      </c>
      <c r="P187" t="s">
        <v>281</v>
      </c>
      <c r="Q187">
        <v>1000</v>
      </c>
      <c r="W187">
        <v>0</v>
      </c>
      <c r="X187">
        <v>-615900726</v>
      </c>
      <c r="Y187">
        <v>2.9999999999999997E-4</v>
      </c>
      <c r="AA187">
        <v>205080</v>
      </c>
      <c r="AB187">
        <v>0</v>
      </c>
      <c r="AC187">
        <v>0</v>
      </c>
      <c r="AD187">
        <v>0</v>
      </c>
      <c r="AE187">
        <v>205080</v>
      </c>
      <c r="AF187">
        <v>0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1</v>
      </c>
      <c r="AN187">
        <v>0</v>
      </c>
      <c r="AO187">
        <v>1</v>
      </c>
      <c r="AP187">
        <v>0</v>
      </c>
      <c r="AQ187">
        <v>0</v>
      </c>
      <c r="AR187">
        <v>0</v>
      </c>
      <c r="AS187" t="s">
        <v>3</v>
      </c>
      <c r="AT187">
        <v>2.9999999999999997E-4</v>
      </c>
      <c r="AU187" t="s">
        <v>3</v>
      </c>
      <c r="AV187">
        <v>0</v>
      </c>
      <c r="AW187">
        <v>2</v>
      </c>
      <c r="AX187">
        <v>42225395</v>
      </c>
      <c r="AY187">
        <v>1</v>
      </c>
      <c r="AZ187">
        <v>0</v>
      </c>
      <c r="BA187">
        <v>170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CX187">
        <f>Y187*Source!I320</f>
        <v>3.8399999999999998E-5</v>
      </c>
      <c r="CY187">
        <f>AA187</f>
        <v>205080</v>
      </c>
      <c r="CZ187">
        <f>AE187</f>
        <v>205080</v>
      </c>
      <c r="DA187">
        <f>AI187</f>
        <v>1</v>
      </c>
      <c r="DB187">
        <f t="shared" si="35"/>
        <v>61.52</v>
      </c>
      <c r="DC187">
        <f t="shared" si="36"/>
        <v>0</v>
      </c>
    </row>
    <row r="188" spans="1:107">
      <c r="A188">
        <f>ROW(Source!A323)</f>
        <v>323</v>
      </c>
      <c r="B188">
        <v>42225948</v>
      </c>
      <c r="C188">
        <v>42225398</v>
      </c>
      <c r="D188">
        <v>38786840</v>
      </c>
      <c r="E188">
        <v>27</v>
      </c>
      <c r="F188">
        <v>1</v>
      </c>
      <c r="G188">
        <v>27</v>
      </c>
      <c r="H188">
        <v>1</v>
      </c>
      <c r="I188" t="s">
        <v>339</v>
      </c>
      <c r="J188" t="s">
        <v>3</v>
      </c>
      <c r="K188" t="s">
        <v>340</v>
      </c>
      <c r="L188">
        <v>1191</v>
      </c>
      <c r="N188">
        <v>1013</v>
      </c>
      <c r="O188" t="s">
        <v>341</v>
      </c>
      <c r="P188" t="s">
        <v>341</v>
      </c>
      <c r="Q188">
        <v>1</v>
      </c>
      <c r="W188">
        <v>0</v>
      </c>
      <c r="X188">
        <v>476480486</v>
      </c>
      <c r="Y188">
        <v>0.6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1</v>
      </c>
      <c r="AK188">
        <v>1</v>
      </c>
      <c r="AL188">
        <v>1</v>
      </c>
      <c r="AN188">
        <v>0</v>
      </c>
      <c r="AO188">
        <v>1</v>
      </c>
      <c r="AP188">
        <v>0</v>
      </c>
      <c r="AQ188">
        <v>0</v>
      </c>
      <c r="AR188">
        <v>0</v>
      </c>
      <c r="AS188" t="s">
        <v>3</v>
      </c>
      <c r="AT188">
        <v>0.6</v>
      </c>
      <c r="AU188" t="s">
        <v>3</v>
      </c>
      <c r="AV188">
        <v>1</v>
      </c>
      <c r="AW188">
        <v>2</v>
      </c>
      <c r="AX188">
        <v>42225400</v>
      </c>
      <c r="AY188">
        <v>1</v>
      </c>
      <c r="AZ188">
        <v>0</v>
      </c>
      <c r="BA188">
        <v>171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CX188">
        <f>Y188*Source!I323</f>
        <v>141.84</v>
      </c>
      <c r="CY188">
        <f>AD188</f>
        <v>0</v>
      </c>
      <c r="CZ188">
        <f>AH188</f>
        <v>0</v>
      </c>
      <c r="DA188">
        <f>AL188</f>
        <v>1</v>
      </c>
      <c r="DB188">
        <f t="shared" si="35"/>
        <v>0</v>
      </c>
      <c r="DC188">
        <f t="shared" si="36"/>
        <v>0</v>
      </c>
    </row>
    <row r="189" spans="1:107">
      <c r="A189">
        <f>ROW(Source!A324)</f>
        <v>324</v>
      </c>
      <c r="B189">
        <v>42225948</v>
      </c>
      <c r="C189">
        <v>42225401</v>
      </c>
      <c r="D189">
        <v>38786840</v>
      </c>
      <c r="E189">
        <v>27</v>
      </c>
      <c r="F189">
        <v>1</v>
      </c>
      <c r="G189">
        <v>27</v>
      </c>
      <c r="H189">
        <v>1</v>
      </c>
      <c r="I189" t="s">
        <v>339</v>
      </c>
      <c r="J189" t="s">
        <v>3</v>
      </c>
      <c r="K189" t="s">
        <v>340</v>
      </c>
      <c r="L189">
        <v>1191</v>
      </c>
      <c r="N189">
        <v>1013</v>
      </c>
      <c r="O189" t="s">
        <v>341</v>
      </c>
      <c r="P189" t="s">
        <v>341</v>
      </c>
      <c r="Q189">
        <v>1</v>
      </c>
      <c r="W189">
        <v>0</v>
      </c>
      <c r="X189">
        <v>476480486</v>
      </c>
      <c r="Y189">
        <v>10.44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1</v>
      </c>
      <c r="AL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 t="s">
        <v>3</v>
      </c>
      <c r="AT189">
        <v>10.44</v>
      </c>
      <c r="AU189" t="s">
        <v>3</v>
      </c>
      <c r="AV189">
        <v>1</v>
      </c>
      <c r="AW189">
        <v>2</v>
      </c>
      <c r="AX189">
        <v>42225404</v>
      </c>
      <c r="AY189">
        <v>1</v>
      </c>
      <c r="AZ189">
        <v>0</v>
      </c>
      <c r="BA189">
        <v>172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CX189">
        <f>Y189*Source!I324</f>
        <v>24.680159999999997</v>
      </c>
      <c r="CY189">
        <f>AD189</f>
        <v>0</v>
      </c>
      <c r="CZ189">
        <f>AH189</f>
        <v>0</v>
      </c>
      <c r="DA189">
        <f>AL189</f>
        <v>1</v>
      </c>
      <c r="DB189">
        <f t="shared" si="35"/>
        <v>0</v>
      </c>
      <c r="DC189">
        <f t="shared" si="36"/>
        <v>0</v>
      </c>
    </row>
    <row r="190" spans="1:107">
      <c r="A190">
        <f>ROW(Source!A324)</f>
        <v>324</v>
      </c>
      <c r="B190">
        <v>42225948</v>
      </c>
      <c r="C190">
        <v>42225401</v>
      </c>
      <c r="D190">
        <v>38788199</v>
      </c>
      <c r="E190">
        <v>27</v>
      </c>
      <c r="F190">
        <v>1</v>
      </c>
      <c r="G190">
        <v>27</v>
      </c>
      <c r="H190">
        <v>3</v>
      </c>
      <c r="I190" t="s">
        <v>518</v>
      </c>
      <c r="J190" t="s">
        <v>3</v>
      </c>
      <c r="K190" t="s">
        <v>519</v>
      </c>
      <c r="L190">
        <v>1346</v>
      </c>
      <c r="N190">
        <v>1009</v>
      </c>
      <c r="O190" t="s">
        <v>353</v>
      </c>
      <c r="P190" t="s">
        <v>353</v>
      </c>
      <c r="Q190">
        <v>1</v>
      </c>
      <c r="W190">
        <v>0</v>
      </c>
      <c r="X190">
        <v>-1659956746</v>
      </c>
      <c r="Y190">
        <v>32</v>
      </c>
      <c r="AA190">
        <v>63.2</v>
      </c>
      <c r="AB190">
        <v>0</v>
      </c>
      <c r="AC190">
        <v>0</v>
      </c>
      <c r="AD190">
        <v>0</v>
      </c>
      <c r="AE190">
        <v>63.195540000000001</v>
      </c>
      <c r="AF190">
        <v>0</v>
      </c>
      <c r="AG190">
        <v>0</v>
      </c>
      <c r="AH190">
        <v>0</v>
      </c>
      <c r="AI190">
        <v>1</v>
      </c>
      <c r="AJ190">
        <v>1</v>
      </c>
      <c r="AK190">
        <v>1</v>
      </c>
      <c r="AL190">
        <v>1</v>
      </c>
      <c r="AN190">
        <v>0</v>
      </c>
      <c r="AO190">
        <v>1</v>
      </c>
      <c r="AP190">
        <v>0</v>
      </c>
      <c r="AQ190">
        <v>0</v>
      </c>
      <c r="AR190">
        <v>0</v>
      </c>
      <c r="AS190" t="s">
        <v>3</v>
      </c>
      <c r="AT190">
        <v>32</v>
      </c>
      <c r="AU190" t="s">
        <v>3</v>
      </c>
      <c r="AV190">
        <v>0</v>
      </c>
      <c r="AW190">
        <v>2</v>
      </c>
      <c r="AX190">
        <v>42225405</v>
      </c>
      <c r="AY190">
        <v>1</v>
      </c>
      <c r="AZ190">
        <v>0</v>
      </c>
      <c r="BA190">
        <v>173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CX190">
        <f>Y190*Source!I324</f>
        <v>75.647999999999996</v>
      </c>
      <c r="CY190">
        <f>AA190</f>
        <v>63.2</v>
      </c>
      <c r="CZ190">
        <f>AE190</f>
        <v>63.195540000000001</v>
      </c>
      <c r="DA190">
        <f>AI190</f>
        <v>1</v>
      </c>
      <c r="DB190">
        <f t="shared" si="35"/>
        <v>2022.26</v>
      </c>
      <c r="DC190">
        <f t="shared" si="36"/>
        <v>0</v>
      </c>
    </row>
    <row r="191" spans="1:107">
      <c r="A191">
        <f>ROW(Source!A325)</f>
        <v>325</v>
      </c>
      <c r="B191">
        <v>42225948</v>
      </c>
      <c r="C191">
        <v>42225406</v>
      </c>
      <c r="D191">
        <v>38786840</v>
      </c>
      <c r="E191">
        <v>27</v>
      </c>
      <c r="F191">
        <v>1</v>
      </c>
      <c r="G191">
        <v>27</v>
      </c>
      <c r="H191">
        <v>1</v>
      </c>
      <c r="I191" t="s">
        <v>339</v>
      </c>
      <c r="J191" t="s">
        <v>3</v>
      </c>
      <c r="K191" t="s">
        <v>340</v>
      </c>
      <c r="L191">
        <v>1191</v>
      </c>
      <c r="N191">
        <v>1013</v>
      </c>
      <c r="O191" t="s">
        <v>341</v>
      </c>
      <c r="P191" t="s">
        <v>341</v>
      </c>
      <c r="Q191">
        <v>1</v>
      </c>
      <c r="W191">
        <v>0</v>
      </c>
      <c r="X191">
        <v>476480486</v>
      </c>
      <c r="Y191">
        <v>17.07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1</v>
      </c>
      <c r="AK191">
        <v>1</v>
      </c>
      <c r="AL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S191" t="s">
        <v>3</v>
      </c>
      <c r="AT191">
        <v>17.07</v>
      </c>
      <c r="AU191" t="s">
        <v>3</v>
      </c>
      <c r="AV191">
        <v>1</v>
      </c>
      <c r="AW191">
        <v>2</v>
      </c>
      <c r="AX191">
        <v>42225413</v>
      </c>
      <c r="AY191">
        <v>1</v>
      </c>
      <c r="AZ191">
        <v>0</v>
      </c>
      <c r="BA191">
        <v>174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CX191">
        <f>Y191*Source!I325</f>
        <v>403.53480000000002</v>
      </c>
      <c r="CY191">
        <f>AD191</f>
        <v>0</v>
      </c>
      <c r="CZ191">
        <f>AH191</f>
        <v>0</v>
      </c>
      <c r="DA191">
        <f>AL191</f>
        <v>1</v>
      </c>
      <c r="DB191">
        <f t="shared" si="35"/>
        <v>0</v>
      </c>
      <c r="DC191">
        <f t="shared" si="36"/>
        <v>0</v>
      </c>
    </row>
    <row r="192" spans="1:107">
      <c r="A192">
        <f>ROW(Source!A325)</f>
        <v>325</v>
      </c>
      <c r="B192">
        <v>42225948</v>
      </c>
      <c r="C192">
        <v>42225406</v>
      </c>
      <c r="D192">
        <v>38801724</v>
      </c>
      <c r="E192">
        <v>1</v>
      </c>
      <c r="F192">
        <v>1</v>
      </c>
      <c r="G192">
        <v>27</v>
      </c>
      <c r="H192">
        <v>3</v>
      </c>
      <c r="I192" t="s">
        <v>481</v>
      </c>
      <c r="J192" t="s">
        <v>482</v>
      </c>
      <c r="K192" t="s">
        <v>483</v>
      </c>
      <c r="L192">
        <v>1346</v>
      </c>
      <c r="N192">
        <v>1009</v>
      </c>
      <c r="O192" t="s">
        <v>353</v>
      </c>
      <c r="P192" t="s">
        <v>353</v>
      </c>
      <c r="Q192">
        <v>1</v>
      </c>
      <c r="W192">
        <v>0</v>
      </c>
      <c r="X192">
        <v>44890498</v>
      </c>
      <c r="Y192">
        <v>0.05</v>
      </c>
      <c r="AA192">
        <v>28.41</v>
      </c>
      <c r="AB192">
        <v>0</v>
      </c>
      <c r="AC192">
        <v>0</v>
      </c>
      <c r="AD192">
        <v>0</v>
      </c>
      <c r="AE192">
        <v>28.41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1</v>
      </c>
      <c r="AN192">
        <v>0</v>
      </c>
      <c r="AO192">
        <v>1</v>
      </c>
      <c r="AP192">
        <v>0</v>
      </c>
      <c r="AQ192">
        <v>0</v>
      </c>
      <c r="AR192">
        <v>0</v>
      </c>
      <c r="AS192" t="s">
        <v>3</v>
      </c>
      <c r="AT192">
        <v>0.05</v>
      </c>
      <c r="AU192" t="s">
        <v>3</v>
      </c>
      <c r="AV192">
        <v>0</v>
      </c>
      <c r="AW192">
        <v>2</v>
      </c>
      <c r="AX192">
        <v>42225414</v>
      </c>
      <c r="AY192">
        <v>1</v>
      </c>
      <c r="AZ192">
        <v>0</v>
      </c>
      <c r="BA192">
        <v>175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CX192">
        <f>Y192*Source!I325</f>
        <v>1.1820000000000002</v>
      </c>
      <c r="CY192">
        <f>AA192</f>
        <v>28.41</v>
      </c>
      <c r="CZ192">
        <f>AE192</f>
        <v>28.41</v>
      </c>
      <c r="DA192">
        <f>AI192</f>
        <v>1</v>
      </c>
      <c r="DB192">
        <f t="shared" si="35"/>
        <v>1.42</v>
      </c>
      <c r="DC192">
        <f t="shared" si="36"/>
        <v>0</v>
      </c>
    </row>
    <row r="193" spans="1:107">
      <c r="A193">
        <f>ROW(Source!A325)</f>
        <v>325</v>
      </c>
      <c r="B193">
        <v>42225948</v>
      </c>
      <c r="C193">
        <v>42225406</v>
      </c>
      <c r="D193">
        <v>38802262</v>
      </c>
      <c r="E193">
        <v>1</v>
      </c>
      <c r="F193">
        <v>1</v>
      </c>
      <c r="G193">
        <v>27</v>
      </c>
      <c r="H193">
        <v>3</v>
      </c>
      <c r="I193" t="s">
        <v>520</v>
      </c>
      <c r="J193" t="s">
        <v>521</v>
      </c>
      <c r="K193" t="s">
        <v>522</v>
      </c>
      <c r="L193">
        <v>1327</v>
      </c>
      <c r="N193">
        <v>1005</v>
      </c>
      <c r="O193" t="s">
        <v>302</v>
      </c>
      <c r="P193" t="s">
        <v>302</v>
      </c>
      <c r="Q193">
        <v>1</v>
      </c>
      <c r="W193">
        <v>0</v>
      </c>
      <c r="X193">
        <v>514091095</v>
      </c>
      <c r="Y193">
        <v>0.15</v>
      </c>
      <c r="AA193">
        <v>287.56</v>
      </c>
      <c r="AB193">
        <v>0</v>
      </c>
      <c r="AC193">
        <v>0</v>
      </c>
      <c r="AD193">
        <v>0</v>
      </c>
      <c r="AE193">
        <v>287.56</v>
      </c>
      <c r="AF193">
        <v>0</v>
      </c>
      <c r="AG193">
        <v>0</v>
      </c>
      <c r="AH193">
        <v>0</v>
      </c>
      <c r="AI193">
        <v>1</v>
      </c>
      <c r="AJ193">
        <v>1</v>
      </c>
      <c r="AK193">
        <v>1</v>
      </c>
      <c r="AL193">
        <v>1</v>
      </c>
      <c r="AN193">
        <v>0</v>
      </c>
      <c r="AO193">
        <v>1</v>
      </c>
      <c r="AP193">
        <v>0</v>
      </c>
      <c r="AQ193">
        <v>0</v>
      </c>
      <c r="AR193">
        <v>0</v>
      </c>
      <c r="AS193" t="s">
        <v>3</v>
      </c>
      <c r="AT193">
        <v>0.15</v>
      </c>
      <c r="AU193" t="s">
        <v>3</v>
      </c>
      <c r="AV193">
        <v>0</v>
      </c>
      <c r="AW193">
        <v>2</v>
      </c>
      <c r="AX193">
        <v>42225415</v>
      </c>
      <c r="AY193">
        <v>1</v>
      </c>
      <c r="AZ193">
        <v>0</v>
      </c>
      <c r="BA193">
        <v>176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CX193">
        <f>Y193*Source!I325</f>
        <v>3.5459999999999998</v>
      </c>
      <c r="CY193">
        <f>AA193</f>
        <v>287.56</v>
      </c>
      <c r="CZ193">
        <f>AE193</f>
        <v>287.56</v>
      </c>
      <c r="DA193">
        <f>AI193</f>
        <v>1</v>
      </c>
      <c r="DB193">
        <f t="shared" si="35"/>
        <v>43.13</v>
      </c>
      <c r="DC193">
        <f t="shared" si="36"/>
        <v>0</v>
      </c>
    </row>
    <row r="194" spans="1:107">
      <c r="A194">
        <f>ROW(Source!A325)</f>
        <v>325</v>
      </c>
      <c r="B194">
        <v>42225948</v>
      </c>
      <c r="C194">
        <v>42225406</v>
      </c>
      <c r="D194">
        <v>38802634</v>
      </c>
      <c r="E194">
        <v>1</v>
      </c>
      <c r="F194">
        <v>1</v>
      </c>
      <c r="G194">
        <v>27</v>
      </c>
      <c r="H194">
        <v>3</v>
      </c>
      <c r="I194" t="s">
        <v>523</v>
      </c>
      <c r="J194" t="s">
        <v>524</v>
      </c>
      <c r="K194" t="s">
        <v>525</v>
      </c>
      <c r="L194">
        <v>1346</v>
      </c>
      <c r="N194">
        <v>1009</v>
      </c>
      <c r="O194" t="s">
        <v>353</v>
      </c>
      <c r="P194" t="s">
        <v>353</v>
      </c>
      <c r="Q194">
        <v>1</v>
      </c>
      <c r="W194">
        <v>0</v>
      </c>
      <c r="X194">
        <v>-736979721</v>
      </c>
      <c r="Y194">
        <v>1.64</v>
      </c>
      <c r="AA194">
        <v>1041.76</v>
      </c>
      <c r="AB194">
        <v>0</v>
      </c>
      <c r="AC194">
        <v>0</v>
      </c>
      <c r="AD194">
        <v>0</v>
      </c>
      <c r="AE194">
        <v>1041.76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1</v>
      </c>
      <c r="AN194">
        <v>0</v>
      </c>
      <c r="AO194">
        <v>1</v>
      </c>
      <c r="AP194">
        <v>0</v>
      </c>
      <c r="AQ194">
        <v>0</v>
      </c>
      <c r="AR194">
        <v>0</v>
      </c>
      <c r="AS194" t="s">
        <v>3</v>
      </c>
      <c r="AT194">
        <v>1.64</v>
      </c>
      <c r="AU194" t="s">
        <v>3</v>
      </c>
      <c r="AV194">
        <v>0</v>
      </c>
      <c r="AW194">
        <v>2</v>
      </c>
      <c r="AX194">
        <v>42225416</v>
      </c>
      <c r="AY194">
        <v>1</v>
      </c>
      <c r="AZ194">
        <v>0</v>
      </c>
      <c r="BA194">
        <v>177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CX194">
        <f>Y194*Source!I325</f>
        <v>38.769599999999997</v>
      </c>
      <c r="CY194">
        <f>AA194</f>
        <v>1041.76</v>
      </c>
      <c r="CZ194">
        <f>AE194</f>
        <v>1041.76</v>
      </c>
      <c r="DA194">
        <f>AI194</f>
        <v>1</v>
      </c>
      <c r="DB194">
        <f t="shared" si="35"/>
        <v>1708.49</v>
      </c>
      <c r="DC194">
        <f t="shared" si="36"/>
        <v>0</v>
      </c>
    </row>
    <row r="195" spans="1:107">
      <c r="A195">
        <f>ROW(Source!A325)</f>
        <v>325</v>
      </c>
      <c r="B195">
        <v>42225948</v>
      </c>
      <c r="C195">
        <v>42225406</v>
      </c>
      <c r="D195">
        <v>38800421</v>
      </c>
      <c r="E195">
        <v>1</v>
      </c>
      <c r="F195">
        <v>1</v>
      </c>
      <c r="G195">
        <v>27</v>
      </c>
      <c r="H195">
        <v>3</v>
      </c>
      <c r="I195" t="s">
        <v>526</v>
      </c>
      <c r="J195" t="s">
        <v>527</v>
      </c>
      <c r="K195" t="s">
        <v>528</v>
      </c>
      <c r="L195">
        <v>1348</v>
      </c>
      <c r="N195">
        <v>1009</v>
      </c>
      <c r="O195" t="s">
        <v>281</v>
      </c>
      <c r="P195" t="s">
        <v>281</v>
      </c>
      <c r="Q195">
        <v>1000</v>
      </c>
      <c r="W195">
        <v>0</v>
      </c>
      <c r="X195">
        <v>808887518</v>
      </c>
      <c r="Y195">
        <v>4.2999999999999999E-4</v>
      </c>
      <c r="AA195">
        <v>105650.49</v>
      </c>
      <c r="AB195">
        <v>0</v>
      </c>
      <c r="AC195">
        <v>0</v>
      </c>
      <c r="AD195">
        <v>0</v>
      </c>
      <c r="AE195">
        <v>105650.49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S195" t="s">
        <v>3</v>
      </c>
      <c r="AT195">
        <v>4.2999999999999999E-4</v>
      </c>
      <c r="AU195" t="s">
        <v>3</v>
      </c>
      <c r="AV195">
        <v>0</v>
      </c>
      <c r="AW195">
        <v>2</v>
      </c>
      <c r="AX195">
        <v>42225417</v>
      </c>
      <c r="AY195">
        <v>1</v>
      </c>
      <c r="AZ195">
        <v>0</v>
      </c>
      <c r="BA195">
        <v>178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CX195">
        <f>Y195*Source!I325</f>
        <v>1.0165199999999999E-2</v>
      </c>
      <c r="CY195">
        <f>AA195</f>
        <v>105650.49</v>
      </c>
      <c r="CZ195">
        <f>AE195</f>
        <v>105650.49</v>
      </c>
      <c r="DA195">
        <f>AI195</f>
        <v>1</v>
      </c>
      <c r="DB195">
        <f t="shared" si="35"/>
        <v>45.43</v>
      </c>
      <c r="DC195">
        <f t="shared" si="36"/>
        <v>0</v>
      </c>
    </row>
    <row r="196" spans="1:107">
      <c r="A196">
        <f>ROW(Source!A325)</f>
        <v>325</v>
      </c>
      <c r="B196">
        <v>42225948</v>
      </c>
      <c r="C196">
        <v>42225406</v>
      </c>
      <c r="D196">
        <v>38800520</v>
      </c>
      <c r="E196">
        <v>1</v>
      </c>
      <c r="F196">
        <v>1</v>
      </c>
      <c r="G196">
        <v>27</v>
      </c>
      <c r="H196">
        <v>3</v>
      </c>
      <c r="I196" t="s">
        <v>529</v>
      </c>
      <c r="J196" t="s">
        <v>530</v>
      </c>
      <c r="K196" t="s">
        <v>531</v>
      </c>
      <c r="L196">
        <v>1346</v>
      </c>
      <c r="N196">
        <v>1009</v>
      </c>
      <c r="O196" t="s">
        <v>353</v>
      </c>
      <c r="P196" t="s">
        <v>353</v>
      </c>
      <c r="Q196">
        <v>1</v>
      </c>
      <c r="W196">
        <v>0</v>
      </c>
      <c r="X196">
        <v>1567890706</v>
      </c>
      <c r="Y196">
        <v>2.15</v>
      </c>
      <c r="AA196">
        <v>541.16</v>
      </c>
      <c r="AB196">
        <v>0</v>
      </c>
      <c r="AC196">
        <v>0</v>
      </c>
      <c r="AD196">
        <v>0</v>
      </c>
      <c r="AE196">
        <v>541.16</v>
      </c>
      <c r="AF196">
        <v>0</v>
      </c>
      <c r="AG196">
        <v>0</v>
      </c>
      <c r="AH196">
        <v>0</v>
      </c>
      <c r="AI196">
        <v>1</v>
      </c>
      <c r="AJ196">
        <v>1</v>
      </c>
      <c r="AK196">
        <v>1</v>
      </c>
      <c r="AL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S196" t="s">
        <v>3</v>
      </c>
      <c r="AT196">
        <v>2.15</v>
      </c>
      <c r="AU196" t="s">
        <v>3</v>
      </c>
      <c r="AV196">
        <v>0</v>
      </c>
      <c r="AW196">
        <v>2</v>
      </c>
      <c r="AX196">
        <v>42225418</v>
      </c>
      <c r="AY196">
        <v>1</v>
      </c>
      <c r="AZ196">
        <v>0</v>
      </c>
      <c r="BA196">
        <v>179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CX196">
        <f>Y196*Source!I325</f>
        <v>50.826000000000001</v>
      </c>
      <c r="CY196">
        <f>AA196</f>
        <v>541.16</v>
      </c>
      <c r="CZ196">
        <f>AE196</f>
        <v>541.16</v>
      </c>
      <c r="DA196">
        <f>AI196</f>
        <v>1</v>
      </c>
      <c r="DB196">
        <f t="shared" si="35"/>
        <v>1163.49</v>
      </c>
      <c r="DC196">
        <f t="shared" si="36"/>
        <v>0</v>
      </c>
    </row>
    <row r="197" spans="1:107">
      <c r="A197">
        <f>ROW(Source!A326)</f>
        <v>326</v>
      </c>
      <c r="B197">
        <v>42225948</v>
      </c>
      <c r="C197">
        <v>42225419</v>
      </c>
      <c r="D197">
        <v>38786840</v>
      </c>
      <c r="E197">
        <v>27</v>
      </c>
      <c r="F197">
        <v>1</v>
      </c>
      <c r="G197">
        <v>27</v>
      </c>
      <c r="H197">
        <v>1</v>
      </c>
      <c r="I197" t="s">
        <v>339</v>
      </c>
      <c r="J197" t="s">
        <v>3</v>
      </c>
      <c r="K197" t="s">
        <v>340</v>
      </c>
      <c r="L197">
        <v>1191</v>
      </c>
      <c r="N197">
        <v>1013</v>
      </c>
      <c r="O197" t="s">
        <v>341</v>
      </c>
      <c r="P197" t="s">
        <v>341</v>
      </c>
      <c r="Q197">
        <v>1</v>
      </c>
      <c r="W197">
        <v>0</v>
      </c>
      <c r="X197">
        <v>476480486</v>
      </c>
      <c r="Y197">
        <v>118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1</v>
      </c>
      <c r="AK197">
        <v>1</v>
      </c>
      <c r="AL197">
        <v>1</v>
      </c>
      <c r="AN197">
        <v>0</v>
      </c>
      <c r="AO197">
        <v>1</v>
      </c>
      <c r="AP197">
        <v>1</v>
      </c>
      <c r="AQ197">
        <v>0</v>
      </c>
      <c r="AR197">
        <v>0</v>
      </c>
      <c r="AS197" t="s">
        <v>3</v>
      </c>
      <c r="AT197">
        <v>59</v>
      </c>
      <c r="AU197" t="s">
        <v>43</v>
      </c>
      <c r="AV197">
        <v>1</v>
      </c>
      <c r="AW197">
        <v>2</v>
      </c>
      <c r="AX197">
        <v>42225423</v>
      </c>
      <c r="AY197">
        <v>1</v>
      </c>
      <c r="AZ197">
        <v>0</v>
      </c>
      <c r="BA197">
        <v>180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CX197">
        <f>Y197*Source!I326</f>
        <v>278.952</v>
      </c>
      <c r="CY197">
        <f>AD197</f>
        <v>0</v>
      </c>
      <c r="CZ197">
        <f>AH197</f>
        <v>0</v>
      </c>
      <c r="DA197">
        <f>AL197</f>
        <v>1</v>
      </c>
      <c r="DB197">
        <f>ROUND((ROUND(AT197*CZ197,2)*2),6)</f>
        <v>0</v>
      </c>
      <c r="DC197">
        <f>ROUND((ROUND(AT197*AG197,2)*2),6)</f>
        <v>0</v>
      </c>
    </row>
    <row r="198" spans="1:107">
      <c r="A198">
        <f>ROW(Source!A326)</f>
        <v>326</v>
      </c>
      <c r="B198">
        <v>42225948</v>
      </c>
      <c r="C198">
        <v>42225419</v>
      </c>
      <c r="D198">
        <v>38788516</v>
      </c>
      <c r="E198">
        <v>27</v>
      </c>
      <c r="F198">
        <v>1</v>
      </c>
      <c r="G198">
        <v>27</v>
      </c>
      <c r="H198">
        <v>3</v>
      </c>
      <c r="I198" t="s">
        <v>532</v>
      </c>
      <c r="J198" t="s">
        <v>3</v>
      </c>
      <c r="K198" t="s">
        <v>533</v>
      </c>
      <c r="L198">
        <v>1348</v>
      </c>
      <c r="N198">
        <v>1009</v>
      </c>
      <c r="O198" t="s">
        <v>281</v>
      </c>
      <c r="P198" t="s">
        <v>281</v>
      </c>
      <c r="Q198">
        <v>1000</v>
      </c>
      <c r="W198">
        <v>0</v>
      </c>
      <c r="X198">
        <v>-1115539767</v>
      </c>
      <c r="Y198">
        <v>9.9799999999999993E-3</v>
      </c>
      <c r="AA198">
        <v>382060</v>
      </c>
      <c r="AB198">
        <v>0</v>
      </c>
      <c r="AC198">
        <v>0</v>
      </c>
      <c r="AD198">
        <v>0</v>
      </c>
      <c r="AE198">
        <v>382060</v>
      </c>
      <c r="AF198">
        <v>0</v>
      </c>
      <c r="AG198">
        <v>0</v>
      </c>
      <c r="AH198">
        <v>0</v>
      </c>
      <c r="AI198">
        <v>1</v>
      </c>
      <c r="AJ198">
        <v>1</v>
      </c>
      <c r="AK198">
        <v>1</v>
      </c>
      <c r="AL198">
        <v>1</v>
      </c>
      <c r="AN198">
        <v>0</v>
      </c>
      <c r="AO198">
        <v>1</v>
      </c>
      <c r="AP198">
        <v>1</v>
      </c>
      <c r="AQ198">
        <v>0</v>
      </c>
      <c r="AR198">
        <v>0</v>
      </c>
      <c r="AS198" t="s">
        <v>3</v>
      </c>
      <c r="AT198">
        <v>4.9899999999999996E-3</v>
      </c>
      <c r="AU198" t="s">
        <v>43</v>
      </c>
      <c r="AV198">
        <v>0</v>
      </c>
      <c r="AW198">
        <v>2</v>
      </c>
      <c r="AX198">
        <v>42225424</v>
      </c>
      <c r="AY198">
        <v>1</v>
      </c>
      <c r="AZ198">
        <v>0</v>
      </c>
      <c r="BA198">
        <v>181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CX198">
        <f>Y198*Source!I326</f>
        <v>2.3592719999999998E-2</v>
      </c>
      <c r="CY198">
        <f>AA198</f>
        <v>382060</v>
      </c>
      <c r="CZ198">
        <f>AE198</f>
        <v>382060</v>
      </c>
      <c r="DA198">
        <f>AI198</f>
        <v>1</v>
      </c>
      <c r="DB198">
        <f>ROUND((ROUND(AT198*CZ198,2)*2),6)</f>
        <v>3812.96</v>
      </c>
      <c r="DC198">
        <f>ROUND((ROUND(AT198*AG198,2)*2),6)</f>
        <v>0</v>
      </c>
    </row>
    <row r="199" spans="1:107">
      <c r="A199">
        <f>ROW(Source!A326)</f>
        <v>326</v>
      </c>
      <c r="B199">
        <v>42225948</v>
      </c>
      <c r="C199">
        <v>42225419</v>
      </c>
      <c r="D199">
        <v>38800378</v>
      </c>
      <c r="E199">
        <v>1</v>
      </c>
      <c r="F199">
        <v>1</v>
      </c>
      <c r="G199">
        <v>27</v>
      </c>
      <c r="H199">
        <v>3</v>
      </c>
      <c r="I199" t="s">
        <v>534</v>
      </c>
      <c r="J199" t="s">
        <v>535</v>
      </c>
      <c r="K199" t="s">
        <v>536</v>
      </c>
      <c r="L199">
        <v>1348</v>
      </c>
      <c r="N199">
        <v>1009</v>
      </c>
      <c r="O199" t="s">
        <v>281</v>
      </c>
      <c r="P199" t="s">
        <v>281</v>
      </c>
      <c r="Q199">
        <v>1000</v>
      </c>
      <c r="W199">
        <v>0</v>
      </c>
      <c r="X199">
        <v>865887057</v>
      </c>
      <c r="Y199">
        <v>5.7000000000000002E-2</v>
      </c>
      <c r="AA199">
        <v>55330.52</v>
      </c>
      <c r="AB199">
        <v>0</v>
      </c>
      <c r="AC199">
        <v>0</v>
      </c>
      <c r="AD199">
        <v>0</v>
      </c>
      <c r="AE199">
        <v>55330.52</v>
      </c>
      <c r="AF199">
        <v>0</v>
      </c>
      <c r="AG199">
        <v>0</v>
      </c>
      <c r="AH199">
        <v>0</v>
      </c>
      <c r="AI199">
        <v>1</v>
      </c>
      <c r="AJ199">
        <v>1</v>
      </c>
      <c r="AK199">
        <v>1</v>
      </c>
      <c r="AL199">
        <v>1</v>
      </c>
      <c r="AN199">
        <v>0</v>
      </c>
      <c r="AO199">
        <v>1</v>
      </c>
      <c r="AP199">
        <v>1</v>
      </c>
      <c r="AQ199">
        <v>0</v>
      </c>
      <c r="AR199">
        <v>0</v>
      </c>
      <c r="AS199" t="s">
        <v>3</v>
      </c>
      <c r="AT199">
        <v>2.8500000000000001E-2</v>
      </c>
      <c r="AU199" t="s">
        <v>43</v>
      </c>
      <c r="AV199">
        <v>0</v>
      </c>
      <c r="AW199">
        <v>2</v>
      </c>
      <c r="AX199">
        <v>42225425</v>
      </c>
      <c r="AY199">
        <v>1</v>
      </c>
      <c r="AZ199">
        <v>0</v>
      </c>
      <c r="BA199">
        <v>182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CX199">
        <f>Y199*Source!I326</f>
        <v>0.13474800000000001</v>
      </c>
      <c r="CY199">
        <f>AA199</f>
        <v>55330.52</v>
      </c>
      <c r="CZ199">
        <f>AE199</f>
        <v>55330.52</v>
      </c>
      <c r="DA199">
        <f>AI199</f>
        <v>1</v>
      </c>
      <c r="DB199">
        <f>ROUND((ROUND(AT199*CZ199,2)*2),6)</f>
        <v>3153.84</v>
      </c>
      <c r="DC199">
        <f>ROUND((ROUND(AT199*AG199,2)*2),6)</f>
        <v>0</v>
      </c>
    </row>
    <row r="200" spans="1:107">
      <c r="A200">
        <f>ROW(Source!A327)</f>
        <v>327</v>
      </c>
      <c r="B200">
        <v>42225948</v>
      </c>
      <c r="C200">
        <v>42225426</v>
      </c>
      <c r="D200">
        <v>38786840</v>
      </c>
      <c r="E200">
        <v>27</v>
      </c>
      <c r="F200">
        <v>1</v>
      </c>
      <c r="G200">
        <v>27</v>
      </c>
      <c r="H200">
        <v>1</v>
      </c>
      <c r="I200" t="s">
        <v>339</v>
      </c>
      <c r="J200" t="s">
        <v>3</v>
      </c>
      <c r="K200" t="s">
        <v>340</v>
      </c>
      <c r="L200">
        <v>1191</v>
      </c>
      <c r="N200">
        <v>1013</v>
      </c>
      <c r="O200" t="s">
        <v>341</v>
      </c>
      <c r="P200" t="s">
        <v>341</v>
      </c>
      <c r="Q200">
        <v>1</v>
      </c>
      <c r="W200">
        <v>0</v>
      </c>
      <c r="X200">
        <v>476480486</v>
      </c>
      <c r="Y200">
        <v>3.94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1</v>
      </c>
      <c r="AL200">
        <v>1</v>
      </c>
      <c r="AN200">
        <v>0</v>
      </c>
      <c r="AO200">
        <v>1</v>
      </c>
      <c r="AP200">
        <v>0</v>
      </c>
      <c r="AQ200">
        <v>0</v>
      </c>
      <c r="AR200">
        <v>0</v>
      </c>
      <c r="AS200" t="s">
        <v>3</v>
      </c>
      <c r="AT200">
        <v>3.94</v>
      </c>
      <c r="AU200" t="s">
        <v>3</v>
      </c>
      <c r="AV200">
        <v>1</v>
      </c>
      <c r="AW200">
        <v>2</v>
      </c>
      <c r="AX200">
        <v>42225433</v>
      </c>
      <c r="AY200">
        <v>1</v>
      </c>
      <c r="AZ200">
        <v>0</v>
      </c>
      <c r="BA200">
        <v>183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CX200">
        <f>Y200*Source!I327</f>
        <v>94.126599999999996</v>
      </c>
      <c r="CY200">
        <f>AD200</f>
        <v>0</v>
      </c>
      <c r="CZ200">
        <f>AH200</f>
        <v>0</v>
      </c>
      <c r="DA200">
        <f>AL200</f>
        <v>1</v>
      </c>
      <c r="DB200">
        <f t="shared" ref="DB200:DB205" si="37">ROUND(ROUND(AT200*CZ200,2),6)</f>
        <v>0</v>
      </c>
      <c r="DC200">
        <f t="shared" ref="DC200:DC205" si="38">ROUND(ROUND(AT200*AG200,2),6)</f>
        <v>0</v>
      </c>
    </row>
    <row r="201" spans="1:107">
      <c r="A201">
        <f>ROW(Source!A327)</f>
        <v>327</v>
      </c>
      <c r="B201">
        <v>42225948</v>
      </c>
      <c r="C201">
        <v>42225426</v>
      </c>
      <c r="D201">
        <v>38799817</v>
      </c>
      <c r="E201">
        <v>1</v>
      </c>
      <c r="F201">
        <v>1</v>
      </c>
      <c r="G201">
        <v>27</v>
      </c>
      <c r="H201">
        <v>2</v>
      </c>
      <c r="I201" t="s">
        <v>389</v>
      </c>
      <c r="J201" t="s">
        <v>390</v>
      </c>
      <c r="K201" t="s">
        <v>391</v>
      </c>
      <c r="L201">
        <v>1368</v>
      </c>
      <c r="N201">
        <v>1011</v>
      </c>
      <c r="O201" t="s">
        <v>345</v>
      </c>
      <c r="P201" t="s">
        <v>345</v>
      </c>
      <c r="Q201">
        <v>1</v>
      </c>
      <c r="W201">
        <v>0</v>
      </c>
      <c r="X201">
        <v>1185668136</v>
      </c>
      <c r="Y201">
        <v>0.55000000000000004</v>
      </c>
      <c r="AA201">
        <v>0</v>
      </c>
      <c r="AB201">
        <v>641.88</v>
      </c>
      <c r="AC201">
        <v>413.66</v>
      </c>
      <c r="AD201">
        <v>0</v>
      </c>
      <c r="AE201">
        <v>0</v>
      </c>
      <c r="AF201">
        <v>641.88</v>
      </c>
      <c r="AG201">
        <v>413.66</v>
      </c>
      <c r="AH201">
        <v>0</v>
      </c>
      <c r="AI201">
        <v>1</v>
      </c>
      <c r="AJ201">
        <v>1</v>
      </c>
      <c r="AK201">
        <v>1</v>
      </c>
      <c r="AL201">
        <v>1</v>
      </c>
      <c r="AN201">
        <v>0</v>
      </c>
      <c r="AO201">
        <v>1</v>
      </c>
      <c r="AP201">
        <v>0</v>
      </c>
      <c r="AQ201">
        <v>0</v>
      </c>
      <c r="AR201">
        <v>0</v>
      </c>
      <c r="AS201" t="s">
        <v>3</v>
      </c>
      <c r="AT201">
        <v>0.55000000000000004</v>
      </c>
      <c r="AU201" t="s">
        <v>3</v>
      </c>
      <c r="AV201">
        <v>0</v>
      </c>
      <c r="AW201">
        <v>2</v>
      </c>
      <c r="AX201">
        <v>42225434</v>
      </c>
      <c r="AY201">
        <v>1</v>
      </c>
      <c r="AZ201">
        <v>0</v>
      </c>
      <c r="BA201">
        <v>184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CX201">
        <f>Y201*Source!I327</f>
        <v>13.139500000000002</v>
      </c>
      <c r="CY201">
        <f>AB201</f>
        <v>641.88</v>
      </c>
      <c r="CZ201">
        <f>AF201</f>
        <v>641.88</v>
      </c>
      <c r="DA201">
        <f>AJ201</f>
        <v>1</v>
      </c>
      <c r="DB201">
        <f t="shared" si="37"/>
        <v>353.03</v>
      </c>
      <c r="DC201">
        <f t="shared" si="38"/>
        <v>227.51</v>
      </c>
    </row>
    <row r="202" spans="1:107">
      <c r="A202">
        <f>ROW(Source!A327)</f>
        <v>327</v>
      </c>
      <c r="B202">
        <v>42225948</v>
      </c>
      <c r="C202">
        <v>42225426</v>
      </c>
      <c r="D202">
        <v>38799130</v>
      </c>
      <c r="E202">
        <v>1</v>
      </c>
      <c r="F202">
        <v>1</v>
      </c>
      <c r="G202">
        <v>27</v>
      </c>
      <c r="H202">
        <v>2</v>
      </c>
      <c r="I202" t="s">
        <v>537</v>
      </c>
      <c r="J202" t="s">
        <v>538</v>
      </c>
      <c r="K202" t="s">
        <v>539</v>
      </c>
      <c r="L202">
        <v>1368</v>
      </c>
      <c r="N202">
        <v>1011</v>
      </c>
      <c r="O202" t="s">
        <v>345</v>
      </c>
      <c r="P202" t="s">
        <v>345</v>
      </c>
      <c r="Q202">
        <v>1</v>
      </c>
      <c r="W202">
        <v>0</v>
      </c>
      <c r="X202">
        <v>-270925079</v>
      </c>
      <c r="Y202">
        <v>0.66</v>
      </c>
      <c r="AA202">
        <v>0</v>
      </c>
      <c r="AB202">
        <v>957.06</v>
      </c>
      <c r="AC202">
        <v>484.77</v>
      </c>
      <c r="AD202">
        <v>0</v>
      </c>
      <c r="AE202">
        <v>0</v>
      </c>
      <c r="AF202">
        <v>957.06</v>
      </c>
      <c r="AG202">
        <v>484.77</v>
      </c>
      <c r="AH202">
        <v>0</v>
      </c>
      <c r="AI202">
        <v>1</v>
      </c>
      <c r="AJ202">
        <v>1</v>
      </c>
      <c r="AK202">
        <v>1</v>
      </c>
      <c r="AL202">
        <v>1</v>
      </c>
      <c r="AN202">
        <v>0</v>
      </c>
      <c r="AO202">
        <v>1</v>
      </c>
      <c r="AP202">
        <v>0</v>
      </c>
      <c r="AQ202">
        <v>0</v>
      </c>
      <c r="AR202">
        <v>0</v>
      </c>
      <c r="AS202" t="s">
        <v>3</v>
      </c>
      <c r="AT202">
        <v>0.66</v>
      </c>
      <c r="AU202" t="s">
        <v>3</v>
      </c>
      <c r="AV202">
        <v>0</v>
      </c>
      <c r="AW202">
        <v>2</v>
      </c>
      <c r="AX202">
        <v>42225435</v>
      </c>
      <c r="AY202">
        <v>1</v>
      </c>
      <c r="AZ202">
        <v>0</v>
      </c>
      <c r="BA202">
        <v>185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CX202">
        <f>Y202*Source!I327</f>
        <v>15.7674</v>
      </c>
      <c r="CY202">
        <f>AB202</f>
        <v>957.06</v>
      </c>
      <c r="CZ202">
        <f>AF202</f>
        <v>957.06</v>
      </c>
      <c r="DA202">
        <f>AJ202</f>
        <v>1</v>
      </c>
      <c r="DB202">
        <f t="shared" si="37"/>
        <v>631.66</v>
      </c>
      <c r="DC202">
        <f t="shared" si="38"/>
        <v>319.95</v>
      </c>
    </row>
    <row r="203" spans="1:107">
      <c r="A203">
        <f>ROW(Source!A327)</f>
        <v>327</v>
      </c>
      <c r="B203">
        <v>42225948</v>
      </c>
      <c r="C203">
        <v>42225426</v>
      </c>
      <c r="D203">
        <v>38799251</v>
      </c>
      <c r="E203">
        <v>1</v>
      </c>
      <c r="F203">
        <v>1</v>
      </c>
      <c r="G203">
        <v>27</v>
      </c>
      <c r="H203">
        <v>2</v>
      </c>
      <c r="I203" t="s">
        <v>540</v>
      </c>
      <c r="J203" t="s">
        <v>541</v>
      </c>
      <c r="K203" t="s">
        <v>542</v>
      </c>
      <c r="L203">
        <v>1368</v>
      </c>
      <c r="N203">
        <v>1011</v>
      </c>
      <c r="O203" t="s">
        <v>345</v>
      </c>
      <c r="P203" t="s">
        <v>345</v>
      </c>
      <c r="Q203">
        <v>1</v>
      </c>
      <c r="W203">
        <v>0</v>
      </c>
      <c r="X203">
        <v>-872289164</v>
      </c>
      <c r="Y203">
        <v>0.66</v>
      </c>
      <c r="AA203">
        <v>0</v>
      </c>
      <c r="AB203">
        <v>460.35</v>
      </c>
      <c r="AC203">
        <v>112.77</v>
      </c>
      <c r="AD203">
        <v>0</v>
      </c>
      <c r="AE203">
        <v>0</v>
      </c>
      <c r="AF203">
        <v>460.35</v>
      </c>
      <c r="AG203">
        <v>112.77</v>
      </c>
      <c r="AH203">
        <v>0</v>
      </c>
      <c r="AI203">
        <v>1</v>
      </c>
      <c r="AJ203">
        <v>1</v>
      </c>
      <c r="AK203">
        <v>1</v>
      </c>
      <c r="AL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 t="s">
        <v>3</v>
      </c>
      <c r="AT203">
        <v>0.66</v>
      </c>
      <c r="AU203" t="s">
        <v>3</v>
      </c>
      <c r="AV203">
        <v>0</v>
      </c>
      <c r="AW203">
        <v>2</v>
      </c>
      <c r="AX203">
        <v>42225436</v>
      </c>
      <c r="AY203">
        <v>1</v>
      </c>
      <c r="AZ203">
        <v>0</v>
      </c>
      <c r="BA203">
        <v>186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CX203">
        <f>Y203*Source!I327</f>
        <v>15.7674</v>
      </c>
      <c r="CY203">
        <f>AB203</f>
        <v>460.35</v>
      </c>
      <c r="CZ203">
        <f>AF203</f>
        <v>460.35</v>
      </c>
      <c r="DA203">
        <f>AJ203</f>
        <v>1</v>
      </c>
      <c r="DB203">
        <f t="shared" si="37"/>
        <v>303.83</v>
      </c>
      <c r="DC203">
        <f t="shared" si="38"/>
        <v>74.430000000000007</v>
      </c>
    </row>
    <row r="204" spans="1:107">
      <c r="A204">
        <f>ROW(Source!A327)</f>
        <v>327</v>
      </c>
      <c r="B204">
        <v>42225948</v>
      </c>
      <c r="C204">
        <v>42225426</v>
      </c>
      <c r="D204">
        <v>38800826</v>
      </c>
      <c r="E204">
        <v>1</v>
      </c>
      <c r="F204">
        <v>1</v>
      </c>
      <c r="G204">
        <v>27</v>
      </c>
      <c r="H204">
        <v>3</v>
      </c>
      <c r="I204" t="s">
        <v>395</v>
      </c>
      <c r="J204" t="s">
        <v>396</v>
      </c>
      <c r="K204" t="s">
        <v>397</v>
      </c>
      <c r="L204">
        <v>1348</v>
      </c>
      <c r="N204">
        <v>1009</v>
      </c>
      <c r="O204" t="s">
        <v>281</v>
      </c>
      <c r="P204" t="s">
        <v>281</v>
      </c>
      <c r="Q204">
        <v>1000</v>
      </c>
      <c r="W204">
        <v>0</v>
      </c>
      <c r="X204">
        <v>1130308456</v>
      </c>
      <c r="Y204">
        <v>3.5E-4</v>
      </c>
      <c r="AA204">
        <v>53313.54</v>
      </c>
      <c r="AB204">
        <v>0</v>
      </c>
      <c r="AC204">
        <v>0</v>
      </c>
      <c r="AD204">
        <v>0</v>
      </c>
      <c r="AE204">
        <v>53313.54</v>
      </c>
      <c r="AF204">
        <v>0</v>
      </c>
      <c r="AG204">
        <v>0</v>
      </c>
      <c r="AH204">
        <v>0</v>
      </c>
      <c r="AI204">
        <v>1</v>
      </c>
      <c r="AJ204">
        <v>1</v>
      </c>
      <c r="AK204">
        <v>1</v>
      </c>
      <c r="AL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S204" t="s">
        <v>3</v>
      </c>
      <c r="AT204">
        <v>3.5E-4</v>
      </c>
      <c r="AU204" t="s">
        <v>3</v>
      </c>
      <c r="AV204">
        <v>0</v>
      </c>
      <c r="AW204">
        <v>2</v>
      </c>
      <c r="AX204">
        <v>42225437</v>
      </c>
      <c r="AY204">
        <v>1</v>
      </c>
      <c r="AZ204">
        <v>0</v>
      </c>
      <c r="BA204">
        <v>187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CX204">
        <f>Y204*Source!I327</f>
        <v>8.3615000000000009E-3</v>
      </c>
      <c r="CY204">
        <f>AA204</f>
        <v>53313.54</v>
      </c>
      <c r="CZ204">
        <f>AE204</f>
        <v>53313.54</v>
      </c>
      <c r="DA204">
        <f>AI204</f>
        <v>1</v>
      </c>
      <c r="DB204">
        <f t="shared" si="37"/>
        <v>18.66</v>
      </c>
      <c r="DC204">
        <f t="shared" si="38"/>
        <v>0</v>
      </c>
    </row>
    <row r="205" spans="1:107">
      <c r="A205">
        <f>ROW(Source!A327)</f>
        <v>327</v>
      </c>
      <c r="B205">
        <v>42225948</v>
      </c>
      <c r="C205">
        <v>42225426</v>
      </c>
      <c r="D205">
        <v>38800507</v>
      </c>
      <c r="E205">
        <v>1</v>
      </c>
      <c r="F205">
        <v>1</v>
      </c>
      <c r="G205">
        <v>27</v>
      </c>
      <c r="H205">
        <v>3</v>
      </c>
      <c r="I205" t="s">
        <v>543</v>
      </c>
      <c r="J205" t="s">
        <v>544</v>
      </c>
      <c r="K205" t="s">
        <v>545</v>
      </c>
      <c r="L205">
        <v>1348</v>
      </c>
      <c r="N205">
        <v>1009</v>
      </c>
      <c r="O205" t="s">
        <v>281</v>
      </c>
      <c r="P205" t="s">
        <v>281</v>
      </c>
      <c r="Q205">
        <v>1000</v>
      </c>
      <c r="W205">
        <v>0</v>
      </c>
      <c r="X205">
        <v>-235210764</v>
      </c>
      <c r="Y205">
        <v>5.5000000000000003E-4</v>
      </c>
      <c r="AA205">
        <v>80596.63</v>
      </c>
      <c r="AB205">
        <v>0</v>
      </c>
      <c r="AC205">
        <v>0</v>
      </c>
      <c r="AD205">
        <v>0</v>
      </c>
      <c r="AE205">
        <v>80596.63</v>
      </c>
      <c r="AF205">
        <v>0</v>
      </c>
      <c r="AG205">
        <v>0</v>
      </c>
      <c r="AH205">
        <v>0</v>
      </c>
      <c r="AI205">
        <v>1</v>
      </c>
      <c r="AJ205">
        <v>1</v>
      </c>
      <c r="AK205">
        <v>1</v>
      </c>
      <c r="AL205">
        <v>1</v>
      </c>
      <c r="AN205">
        <v>0</v>
      </c>
      <c r="AO205">
        <v>1</v>
      </c>
      <c r="AP205">
        <v>0</v>
      </c>
      <c r="AQ205">
        <v>0</v>
      </c>
      <c r="AR205">
        <v>0</v>
      </c>
      <c r="AS205" t="s">
        <v>3</v>
      </c>
      <c r="AT205">
        <v>5.5000000000000003E-4</v>
      </c>
      <c r="AU205" t="s">
        <v>3</v>
      </c>
      <c r="AV205">
        <v>0</v>
      </c>
      <c r="AW205">
        <v>2</v>
      </c>
      <c r="AX205">
        <v>42225438</v>
      </c>
      <c r="AY205">
        <v>1</v>
      </c>
      <c r="AZ205">
        <v>0</v>
      </c>
      <c r="BA205">
        <v>188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CX205">
        <f>Y205*Source!I327</f>
        <v>1.3139500000000002E-2</v>
      </c>
      <c r="CY205">
        <f>AA205</f>
        <v>80596.63</v>
      </c>
      <c r="CZ205">
        <f>AE205</f>
        <v>80596.63</v>
      </c>
      <c r="DA205">
        <f>AI205</f>
        <v>1</v>
      </c>
      <c r="DB205">
        <f t="shared" si="37"/>
        <v>44.33</v>
      </c>
      <c r="DC205">
        <f t="shared" si="38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Смета СН-2012 по гл. 1-5</vt:lpstr>
      <vt:lpstr>Акт КС-2 СН-2012 по гл. 1-</vt:lpstr>
      <vt:lpstr>Дефектная ведомость</vt:lpstr>
      <vt:lpstr>Ведомость объемов работ</vt:lpstr>
      <vt:lpstr>RV_DATA</vt:lpstr>
      <vt:lpstr>Расчет стоимости ресурсов</vt:lpstr>
      <vt:lpstr>Source</vt:lpstr>
      <vt:lpstr>SourceObSm</vt:lpstr>
      <vt:lpstr>SmtRes</vt:lpstr>
      <vt:lpstr>EtalonRes</vt:lpstr>
      <vt:lpstr>'Акт КС-2 СН-2012 по гл. 1-'!Заголовки_для_печати</vt:lpstr>
      <vt:lpstr>'Ведомость объемов работ'!Заголовки_для_печати</vt:lpstr>
      <vt:lpstr>'Дефектная ведомость'!Заголовки_для_печати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'Акт КС-2 СН-2012 по гл. 1-'!Область_печати</vt:lpstr>
      <vt:lpstr>'Ведомость объемов работ'!Область_печати</vt:lpstr>
      <vt:lpstr>'Дефектная ведомость'!Область_печати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2021-08-10T07:36:05Z</cp:lastPrinted>
  <dcterms:created xsi:type="dcterms:W3CDTF">2021-08-10T07:28:56Z</dcterms:created>
  <dcterms:modified xsi:type="dcterms:W3CDTF">2021-08-10T07:39:29Z</dcterms:modified>
</cp:coreProperties>
</file>