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Zeus\Share\ORGZ\ОБЩАЯ\2021\АУКЦИОНЫ\Капремонт территории ПНИ 16 (14935236) - 599,99553\ПНИ16,Трофимова 26, забор\"/>
    </mc:Choice>
  </mc:AlternateContent>
  <bookViews>
    <workbookView xWindow="0" yWindow="0" windowWidth="28800" windowHeight="11736"/>
  </bookViews>
  <sheets>
    <sheet name="Смета СН-2012 по гл. 1-5" sheetId="5" r:id="rId1"/>
    <sheet name="Source" sheetId="1" r:id="rId2"/>
    <sheet name="SourceObSm" sheetId="2" r:id="rId3"/>
    <sheet name="SmtRes" sheetId="3" r:id="rId4"/>
    <sheet name="EtalonRes" sheetId="4" r:id="rId5"/>
  </sheets>
  <definedNames>
    <definedName name="_xlnm._FilterDatabase" localSheetId="0" hidden="1">'Смета СН-2012 по гл. 1-5'!$B$1:$B$129</definedName>
    <definedName name="_xlnm.Print_Titles" localSheetId="0">'Смета СН-2012 по гл. 1-5'!$29:$29</definedName>
    <definedName name="_xlnm.Print_Area" localSheetId="0">'Смета СН-2012 по гл. 1-5'!$A$1:$K$129</definedName>
  </definedNames>
  <calcPr calcId="162913"/>
</workbook>
</file>

<file path=xl/calcChain.xml><?xml version="1.0" encoding="utf-8"?>
<calcChain xmlns="http://schemas.openxmlformats.org/spreadsheetml/2006/main">
  <c r="A14" i="5" l="1"/>
  <c r="H128" i="5" l="1"/>
  <c r="H126" i="5"/>
  <c r="C128" i="5"/>
  <c r="C126" i="5"/>
  <c r="C123" i="5"/>
  <c r="C122" i="5"/>
  <c r="H114" i="5"/>
  <c r="G114" i="5"/>
  <c r="E114" i="5"/>
  <c r="E113" i="5"/>
  <c r="E112" i="5"/>
  <c r="E111" i="5"/>
  <c r="I110" i="5"/>
  <c r="H110" i="5"/>
  <c r="F110" i="5"/>
  <c r="D110" i="5"/>
  <c r="C110" i="5"/>
  <c r="B110" i="5"/>
  <c r="A110" i="5"/>
  <c r="I109" i="5"/>
  <c r="H109" i="5"/>
  <c r="F109" i="5"/>
  <c r="D109" i="5"/>
  <c r="C109" i="5"/>
  <c r="B109" i="5"/>
  <c r="A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E104" i="5"/>
  <c r="D104" i="5"/>
  <c r="C104" i="5"/>
  <c r="B104" i="5"/>
  <c r="A104" i="5"/>
  <c r="H102" i="5"/>
  <c r="G102" i="5"/>
  <c r="E102" i="5"/>
  <c r="E101" i="5"/>
  <c r="E100" i="5"/>
  <c r="E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D93" i="5"/>
  <c r="C93" i="5"/>
  <c r="B93" i="5"/>
  <c r="A93" i="5"/>
  <c r="H91" i="5"/>
  <c r="G91" i="5"/>
  <c r="E91" i="5"/>
  <c r="E90" i="5"/>
  <c r="E89" i="5"/>
  <c r="E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D82" i="5"/>
  <c r="C82" i="5"/>
  <c r="B82" i="5"/>
  <c r="A82" i="5"/>
  <c r="H80" i="5"/>
  <c r="G80" i="5"/>
  <c r="E80" i="5"/>
  <c r="E79" i="5"/>
  <c r="E78" i="5"/>
  <c r="E77" i="5"/>
  <c r="I76" i="5"/>
  <c r="H76" i="5"/>
  <c r="F76" i="5"/>
  <c r="D76" i="5"/>
  <c r="C76" i="5"/>
  <c r="B76" i="5"/>
  <c r="A76" i="5"/>
  <c r="I75" i="5"/>
  <c r="H75" i="5"/>
  <c r="F75" i="5"/>
  <c r="D75" i="5"/>
  <c r="C75" i="5"/>
  <c r="B75" i="5"/>
  <c r="A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E70" i="5"/>
  <c r="D70" i="5"/>
  <c r="C70" i="5"/>
  <c r="B70" i="5"/>
  <c r="A70" i="5"/>
  <c r="H68" i="5"/>
  <c r="G68" i="5"/>
  <c r="E68" i="5"/>
  <c r="E67" i="5"/>
  <c r="E66" i="5"/>
  <c r="E65" i="5"/>
  <c r="I64" i="5"/>
  <c r="H64" i="5"/>
  <c r="F64" i="5"/>
  <c r="D64" i="5"/>
  <c r="C64" i="5"/>
  <c r="B64" i="5"/>
  <c r="A64" i="5"/>
  <c r="I63" i="5"/>
  <c r="H63" i="5"/>
  <c r="F63" i="5"/>
  <c r="D63" i="5"/>
  <c r="C63" i="5"/>
  <c r="B63" i="5"/>
  <c r="A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E58" i="5"/>
  <c r="D58" i="5"/>
  <c r="C58" i="5"/>
  <c r="B58" i="5"/>
  <c r="A58" i="5"/>
  <c r="H56" i="5"/>
  <c r="G56" i="5"/>
  <c r="E56" i="5"/>
  <c r="E55" i="5"/>
  <c r="E54" i="5"/>
  <c r="E53" i="5"/>
  <c r="I52" i="5"/>
  <c r="H52" i="5"/>
  <c r="F52" i="5"/>
  <c r="D52" i="5"/>
  <c r="C52" i="5"/>
  <c r="B52" i="5"/>
  <c r="A52" i="5"/>
  <c r="I51" i="5"/>
  <c r="H51" i="5"/>
  <c r="F51" i="5"/>
  <c r="D51" i="5"/>
  <c r="C51" i="5"/>
  <c r="B51" i="5"/>
  <c r="A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E46" i="5"/>
  <c r="D46" i="5"/>
  <c r="C46" i="5"/>
  <c r="B46" i="5"/>
  <c r="A46" i="5"/>
  <c r="H44" i="5"/>
  <c r="G44" i="5"/>
  <c r="E44" i="5"/>
  <c r="E43" i="5"/>
  <c r="E42" i="5"/>
  <c r="E41" i="5"/>
  <c r="I40" i="5"/>
  <c r="H40" i="5"/>
  <c r="F40" i="5"/>
  <c r="D40" i="5"/>
  <c r="C40" i="5"/>
  <c r="B40" i="5"/>
  <c r="A40" i="5"/>
  <c r="I39" i="5"/>
  <c r="H39" i="5"/>
  <c r="F39" i="5"/>
  <c r="D39" i="5"/>
  <c r="C39" i="5"/>
  <c r="B39" i="5"/>
  <c r="A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E34" i="5"/>
  <c r="D34" i="5"/>
  <c r="C34" i="5"/>
  <c r="B34" i="5"/>
  <c r="A34" i="5"/>
  <c r="A33" i="5"/>
  <c r="A31" i="5"/>
  <c r="A17" i="5"/>
  <c r="A10" i="5"/>
  <c r="B6" i="5"/>
  <c r="A1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1" i="3"/>
  <c r="CX1" i="3"/>
  <c r="CY1" i="3"/>
  <c r="CZ1" i="3"/>
  <c r="DA1" i="3"/>
  <c r="DB1" i="3"/>
  <c r="DC1" i="3"/>
  <c r="A2" i="3"/>
  <c r="CX2" i="3"/>
  <c r="CY2" i="3"/>
  <c r="CZ2" i="3"/>
  <c r="DB2" i="3" s="1"/>
  <c r="DA2" i="3"/>
  <c r="DC2" i="3"/>
  <c r="A3" i="3"/>
  <c r="CX3" i="3"/>
  <c r="CY3" i="3"/>
  <c r="CZ3" i="3"/>
  <c r="DB3" i="3" s="1"/>
  <c r="DA3" i="3"/>
  <c r="DC3" i="3"/>
  <c r="A4" i="3"/>
  <c r="CX4" i="3"/>
  <c r="CY4" i="3"/>
  <c r="CZ4" i="3"/>
  <c r="DB4" i="3" s="1"/>
  <c r="DA4" i="3"/>
  <c r="DC4" i="3"/>
  <c r="A5" i="3"/>
  <c r="CX5" i="3"/>
  <c r="CY5" i="3"/>
  <c r="CZ5" i="3"/>
  <c r="DB5" i="3" s="1"/>
  <c r="DA5" i="3"/>
  <c r="DC5" i="3"/>
  <c r="A6" i="3"/>
  <c r="CX6" i="3"/>
  <c r="CY6" i="3"/>
  <c r="CZ6" i="3"/>
  <c r="DA6" i="3"/>
  <c r="DB6" i="3"/>
  <c r="DC6" i="3"/>
  <c r="A7" i="3"/>
  <c r="CX7" i="3"/>
  <c r="CY7" i="3"/>
  <c r="CZ7" i="3"/>
  <c r="DB7" i="3" s="1"/>
  <c r="DA7" i="3"/>
  <c r="DC7" i="3"/>
  <c r="A8" i="3"/>
  <c r="CX8" i="3"/>
  <c r="CY8" i="3"/>
  <c r="CZ8" i="3"/>
  <c r="DB8" i="3" s="1"/>
  <c r="DA8" i="3"/>
  <c r="DC8" i="3"/>
  <c r="A9" i="3"/>
  <c r="CX9" i="3"/>
  <c r="CY9" i="3"/>
  <c r="CZ9" i="3"/>
  <c r="DA9" i="3"/>
  <c r="DB9" i="3"/>
  <c r="DC9" i="3"/>
  <c r="A10" i="3"/>
  <c r="CX10" i="3"/>
  <c r="CY10" i="3"/>
  <c r="CZ10" i="3"/>
  <c r="DB10" i="3" s="1"/>
  <c r="DA10" i="3"/>
  <c r="DC10" i="3"/>
  <c r="A11" i="3"/>
  <c r="CX11" i="3"/>
  <c r="CY11" i="3"/>
  <c r="CZ11" i="3"/>
  <c r="DB11" i="3" s="1"/>
  <c r="DA11" i="3"/>
  <c r="DC11" i="3"/>
  <c r="A12" i="3"/>
  <c r="CX12" i="3"/>
  <c r="CY12" i="3"/>
  <c r="CZ12" i="3"/>
  <c r="DB12" i="3" s="1"/>
  <c r="DA12" i="3"/>
  <c r="DC12" i="3"/>
  <c r="A13" i="3"/>
  <c r="CX13" i="3"/>
  <c r="CY13" i="3"/>
  <c r="CZ13" i="3"/>
  <c r="DB13" i="3" s="1"/>
  <c r="DA13" i="3"/>
  <c r="DC13" i="3"/>
  <c r="A14" i="3"/>
  <c r="CX14" i="3"/>
  <c r="CY14" i="3"/>
  <c r="CZ14" i="3"/>
  <c r="DB14" i="3" s="1"/>
  <c r="DA14" i="3"/>
  <c r="DC14" i="3"/>
  <c r="A15" i="3"/>
  <c r="CX15" i="3"/>
  <c r="CY15" i="3"/>
  <c r="CZ15" i="3"/>
  <c r="DB15" i="3" s="1"/>
  <c r="DA15" i="3"/>
  <c r="DC15" i="3"/>
  <c r="A16" i="3"/>
  <c r="CX16" i="3"/>
  <c r="CY16" i="3"/>
  <c r="CZ16" i="3"/>
  <c r="DB16" i="3" s="1"/>
  <c r="DA16" i="3"/>
  <c r="DC16" i="3"/>
  <c r="A17" i="3"/>
  <c r="CX17" i="3"/>
  <c r="CY17" i="3"/>
  <c r="CZ17" i="3"/>
  <c r="DA17" i="3"/>
  <c r="DB17" i="3"/>
  <c r="DC17" i="3"/>
  <c r="A18" i="3"/>
  <c r="CX18" i="3"/>
  <c r="CY18" i="3"/>
  <c r="CZ18" i="3"/>
  <c r="DA18" i="3"/>
  <c r="DB18" i="3"/>
  <c r="DC18" i="3"/>
  <c r="A19" i="3"/>
  <c r="CX19" i="3"/>
  <c r="CY19" i="3"/>
  <c r="CZ19" i="3"/>
  <c r="DB19" i="3" s="1"/>
  <c r="DA19" i="3"/>
  <c r="DC19" i="3"/>
  <c r="A20" i="3"/>
  <c r="CX20" i="3"/>
  <c r="CY20" i="3"/>
  <c r="CZ20" i="3"/>
  <c r="DB20" i="3" s="1"/>
  <c r="DA20" i="3"/>
  <c r="DC20" i="3"/>
  <c r="A21" i="3"/>
  <c r="CX21" i="3"/>
  <c r="CY21" i="3"/>
  <c r="CZ21" i="3"/>
  <c r="DB21" i="3" s="1"/>
  <c r="DA21" i="3"/>
  <c r="DC21" i="3"/>
  <c r="A22" i="3"/>
  <c r="CX22" i="3"/>
  <c r="CY22" i="3"/>
  <c r="CZ22" i="3"/>
  <c r="DA22" i="3"/>
  <c r="DB22" i="3"/>
  <c r="DC22" i="3"/>
  <c r="A23" i="3"/>
  <c r="CX23" i="3"/>
  <c r="CY23" i="3"/>
  <c r="CZ23" i="3"/>
  <c r="DB23" i="3" s="1"/>
  <c r="DA23" i="3"/>
  <c r="DC23" i="3"/>
  <c r="A24" i="3"/>
  <c r="CX24" i="3"/>
  <c r="CY24" i="3"/>
  <c r="CZ24" i="3"/>
  <c r="DB24" i="3" s="1"/>
  <c r="DA24" i="3"/>
  <c r="DC24" i="3"/>
  <c r="A25" i="3"/>
  <c r="CX25" i="3"/>
  <c r="CY25" i="3"/>
  <c r="CZ25" i="3"/>
  <c r="DA25" i="3"/>
  <c r="DB25" i="3"/>
  <c r="DC25" i="3"/>
  <c r="A26" i="3"/>
  <c r="CX26" i="3"/>
  <c r="CY26" i="3"/>
  <c r="CZ26" i="3"/>
  <c r="DB26" i="3" s="1"/>
  <c r="DA26" i="3"/>
  <c r="DC26" i="3"/>
  <c r="A27" i="3"/>
  <c r="CX27" i="3"/>
  <c r="CY27" i="3"/>
  <c r="CZ27" i="3"/>
  <c r="DB27" i="3" s="1"/>
  <c r="DA27" i="3"/>
  <c r="DC27" i="3"/>
  <c r="A28" i="3"/>
  <c r="CX28" i="3"/>
  <c r="CY28" i="3"/>
  <c r="CZ28" i="3"/>
  <c r="DB28" i="3" s="1"/>
  <c r="DA28" i="3"/>
  <c r="DC28" i="3"/>
  <c r="A29" i="3"/>
  <c r="CX29" i="3"/>
  <c r="CY29" i="3"/>
  <c r="CZ29" i="3"/>
  <c r="DB29" i="3" s="1"/>
  <c r="DA29" i="3"/>
  <c r="DC29" i="3"/>
  <c r="A30" i="3"/>
  <c r="CX30" i="3"/>
  <c r="CY30" i="3"/>
  <c r="CZ30" i="3"/>
  <c r="DB30" i="3" s="1"/>
  <c r="DA30" i="3"/>
  <c r="DC30" i="3"/>
  <c r="A31" i="3"/>
  <c r="CX31" i="3"/>
  <c r="CY31" i="3"/>
  <c r="CZ31" i="3"/>
  <c r="DB31" i="3" s="1"/>
  <c r="DA31" i="3"/>
  <c r="DC31" i="3"/>
  <c r="A32" i="3"/>
  <c r="CX32" i="3"/>
  <c r="CY32" i="3"/>
  <c r="CZ32" i="3"/>
  <c r="DB32" i="3" s="1"/>
  <c r="DA32" i="3"/>
  <c r="DC32" i="3"/>
  <c r="A33" i="3"/>
  <c r="CX33" i="3"/>
  <c r="CY33" i="3"/>
  <c r="CZ33" i="3"/>
  <c r="DA33" i="3"/>
  <c r="DB33" i="3"/>
  <c r="DC33" i="3"/>
  <c r="A34" i="3"/>
  <c r="CX34" i="3"/>
  <c r="CY34" i="3"/>
  <c r="CZ34" i="3"/>
  <c r="DA34" i="3"/>
  <c r="DB34" i="3"/>
  <c r="DC34" i="3"/>
  <c r="A35" i="3"/>
  <c r="CX35" i="3"/>
  <c r="CY35" i="3"/>
  <c r="CZ35" i="3"/>
  <c r="DB35" i="3" s="1"/>
  <c r="DA35" i="3"/>
  <c r="DC35" i="3"/>
  <c r="A36" i="3"/>
  <c r="CX36" i="3"/>
  <c r="CY36" i="3"/>
  <c r="CZ36" i="3"/>
  <c r="DB36" i="3" s="1"/>
  <c r="DA36" i="3"/>
  <c r="DC36" i="3"/>
  <c r="A37" i="3"/>
  <c r="CX37" i="3"/>
  <c r="CY37" i="3"/>
  <c r="CZ37" i="3"/>
  <c r="DB37" i="3" s="1"/>
  <c r="DA37" i="3"/>
  <c r="DC37" i="3"/>
  <c r="A38" i="3"/>
  <c r="CY38" i="3"/>
  <c r="CZ38" i="3"/>
  <c r="DA38" i="3"/>
  <c r="DB38" i="3"/>
  <c r="DC38" i="3"/>
  <c r="A39" i="3"/>
  <c r="CY39" i="3"/>
  <c r="CZ39" i="3"/>
  <c r="DB39" i="3" s="1"/>
  <c r="DA39" i="3"/>
  <c r="DC39" i="3"/>
  <c r="A40" i="3"/>
  <c r="CY40" i="3"/>
  <c r="CZ40" i="3"/>
  <c r="DB40" i="3" s="1"/>
  <c r="DA40" i="3"/>
  <c r="DC40" i="3"/>
  <c r="A41" i="3"/>
  <c r="CY41" i="3"/>
  <c r="CZ41" i="3"/>
  <c r="DA41" i="3"/>
  <c r="DB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A46" i="3"/>
  <c r="DB46" i="3"/>
  <c r="DC46" i="3"/>
  <c r="A47" i="3"/>
  <c r="CY47" i="3"/>
  <c r="CZ47" i="3"/>
  <c r="DB47" i="3" s="1"/>
  <c r="DA47" i="3"/>
  <c r="DC47" i="3"/>
  <c r="A48" i="3"/>
  <c r="CX48" i="3"/>
  <c r="CY48" i="3"/>
  <c r="CZ48" i="3"/>
  <c r="DB48" i="3" s="1"/>
  <c r="DA48" i="3"/>
  <c r="DC48" i="3"/>
  <c r="A49" i="3"/>
  <c r="CX49" i="3"/>
  <c r="CY49" i="3"/>
  <c r="CZ49" i="3"/>
  <c r="DB49" i="3" s="1"/>
  <c r="DA49" i="3"/>
  <c r="DC49" i="3"/>
  <c r="A50" i="3"/>
  <c r="CX50" i="3"/>
  <c r="CY50" i="3"/>
  <c r="CZ50" i="3"/>
  <c r="DB50" i="3" s="1"/>
  <c r="DA50" i="3"/>
  <c r="DC50" i="3"/>
  <c r="A51" i="3"/>
  <c r="CX51" i="3"/>
  <c r="CY51" i="3"/>
  <c r="CZ51" i="3"/>
  <c r="DB51" i="3" s="1"/>
  <c r="DA51" i="3"/>
  <c r="DC51" i="3"/>
  <c r="A52" i="3"/>
  <c r="CX52" i="3"/>
  <c r="CY52" i="3"/>
  <c r="CZ52" i="3"/>
  <c r="DB52" i="3" s="1"/>
  <c r="DA52" i="3"/>
  <c r="DC52" i="3"/>
  <c r="A53" i="3"/>
  <c r="CX53" i="3"/>
  <c r="CY53" i="3"/>
  <c r="CZ53" i="3"/>
  <c r="DA53" i="3"/>
  <c r="DB53" i="3"/>
  <c r="DC53" i="3"/>
  <c r="A54" i="3"/>
  <c r="CX54" i="3"/>
  <c r="CY54" i="3"/>
  <c r="CZ54" i="3"/>
  <c r="DA54" i="3"/>
  <c r="DB54" i="3"/>
  <c r="DC54" i="3"/>
  <c r="A55" i="3"/>
  <c r="CX55" i="3"/>
  <c r="CY55" i="3"/>
  <c r="CZ55" i="3"/>
  <c r="DB55" i="3" s="1"/>
  <c r="DA55" i="3"/>
  <c r="DC55" i="3"/>
  <c r="A56" i="3"/>
  <c r="CX56" i="3"/>
  <c r="CY56" i="3"/>
  <c r="CZ56" i="3"/>
  <c r="DB56" i="3" s="1"/>
  <c r="DA56" i="3"/>
  <c r="DC56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AC28" i="1"/>
  <c r="AE28" i="1"/>
  <c r="CS28" i="1" s="1"/>
  <c r="R28" i="1" s="1"/>
  <c r="J37" i="5" s="1"/>
  <c r="AF28" i="1"/>
  <c r="S34" i="5" s="1"/>
  <c r="AG28" i="1"/>
  <c r="AH28" i="1"/>
  <c r="CV28" i="1" s="1"/>
  <c r="U28" i="1" s="1"/>
  <c r="K44" i="5" s="1"/>
  <c r="AI28" i="1"/>
  <c r="CW28" i="1" s="1"/>
  <c r="V28" i="1" s="1"/>
  <c r="AJ28" i="1"/>
  <c r="CX28" i="1" s="1"/>
  <c r="W28" i="1" s="1"/>
  <c r="CQ28" i="1"/>
  <c r="P28" i="1" s="1"/>
  <c r="J38" i="5" s="1"/>
  <c r="CU28" i="1"/>
  <c r="T28" i="1" s="1"/>
  <c r="FR28" i="1"/>
  <c r="GL28" i="1"/>
  <c r="GN28" i="1"/>
  <c r="GO28" i="1"/>
  <c r="GV28" i="1"/>
  <c r="HC28" i="1"/>
  <c r="GX28" i="1" s="1"/>
  <c r="I29" i="1"/>
  <c r="E39" i="5" s="1"/>
  <c r="AC29" i="1"/>
  <c r="AD29" i="1"/>
  <c r="AE29" i="1"/>
  <c r="U39" i="5" s="1"/>
  <c r="AF29" i="1"/>
  <c r="S39" i="5" s="1"/>
  <c r="AG29" i="1"/>
  <c r="AH29" i="1"/>
  <c r="CV29" i="1" s="1"/>
  <c r="U29" i="1" s="1"/>
  <c r="AI29" i="1"/>
  <c r="CW29" i="1" s="1"/>
  <c r="V29" i="1" s="1"/>
  <c r="AJ29" i="1"/>
  <c r="CX29" i="1" s="1"/>
  <c r="W29" i="1" s="1"/>
  <c r="CQ29" i="1"/>
  <c r="P29" i="1" s="1"/>
  <c r="CR29" i="1"/>
  <c r="Q29" i="1" s="1"/>
  <c r="CS29" i="1"/>
  <c r="R29" i="1" s="1"/>
  <c r="GK29" i="1" s="1"/>
  <c r="CU29" i="1"/>
  <c r="T29" i="1" s="1"/>
  <c r="FR29" i="1"/>
  <c r="GL29" i="1"/>
  <c r="GN29" i="1"/>
  <c r="GO29" i="1"/>
  <c r="GV29" i="1"/>
  <c r="HC29" i="1" s="1"/>
  <c r="GX29" i="1" s="1"/>
  <c r="I30" i="1"/>
  <c r="E40" i="5" s="1"/>
  <c r="AC30" i="1"/>
  <c r="AE30" i="1"/>
  <c r="AD30" i="1" s="1"/>
  <c r="AB30" i="1" s="1"/>
  <c r="AF30" i="1"/>
  <c r="CT30" i="1" s="1"/>
  <c r="S30" i="1" s="1"/>
  <c r="AG30" i="1"/>
  <c r="AH30" i="1"/>
  <c r="CV30" i="1" s="1"/>
  <c r="U30" i="1" s="1"/>
  <c r="AI30" i="1"/>
  <c r="CW30" i="1" s="1"/>
  <c r="V30" i="1" s="1"/>
  <c r="AJ30" i="1"/>
  <c r="CX30" i="1" s="1"/>
  <c r="W30" i="1" s="1"/>
  <c r="CQ30" i="1"/>
  <c r="CS30" i="1"/>
  <c r="R30" i="1" s="1"/>
  <c r="GK30" i="1" s="1"/>
  <c r="CU30" i="1"/>
  <c r="T30" i="1" s="1"/>
  <c r="FR30" i="1"/>
  <c r="GL30" i="1"/>
  <c r="GN30" i="1"/>
  <c r="GO30" i="1"/>
  <c r="GV30" i="1"/>
  <c r="HC30" i="1"/>
  <c r="GX30" i="1" s="1"/>
  <c r="C31" i="1"/>
  <c r="D31" i="1"/>
  <c r="AC31" i="1"/>
  <c r="CQ31" i="1" s="1"/>
  <c r="P31" i="1" s="1"/>
  <c r="J50" i="5" s="1"/>
  <c r="AE31" i="1"/>
  <c r="AD31" i="1" s="1"/>
  <c r="AF31" i="1"/>
  <c r="S46" i="5" s="1"/>
  <c r="AG31" i="1"/>
  <c r="CU31" i="1" s="1"/>
  <c r="T31" i="1" s="1"/>
  <c r="AH31" i="1"/>
  <c r="CV31" i="1" s="1"/>
  <c r="U31" i="1" s="1"/>
  <c r="K56" i="5" s="1"/>
  <c r="AI31" i="1"/>
  <c r="CW31" i="1" s="1"/>
  <c r="V31" i="1" s="1"/>
  <c r="AJ31" i="1"/>
  <c r="CR31" i="1"/>
  <c r="Q31" i="1" s="1"/>
  <c r="J48" i="5" s="1"/>
  <c r="CT31" i="1"/>
  <c r="S31" i="1" s="1"/>
  <c r="J47" i="5" s="1"/>
  <c r="CX31" i="1"/>
  <c r="W31" i="1" s="1"/>
  <c r="FR31" i="1"/>
  <c r="GL31" i="1"/>
  <c r="GN31" i="1"/>
  <c r="GO31" i="1"/>
  <c r="GV31" i="1"/>
  <c r="HC31" i="1" s="1"/>
  <c r="GX31" i="1" s="1"/>
  <c r="I32" i="1"/>
  <c r="E51" i="5" s="1"/>
  <c r="AC32" i="1"/>
  <c r="AE32" i="1"/>
  <c r="CS32" i="1" s="1"/>
  <c r="V51" i="5" s="1"/>
  <c r="AF32" i="1"/>
  <c r="S51" i="5" s="1"/>
  <c r="AG32" i="1"/>
  <c r="CU32" i="1" s="1"/>
  <c r="AH32" i="1"/>
  <c r="CV32" i="1" s="1"/>
  <c r="U32" i="1" s="1"/>
  <c r="AI32" i="1"/>
  <c r="CW32" i="1" s="1"/>
  <c r="AJ32" i="1"/>
  <c r="CX32" i="1" s="1"/>
  <c r="W32" i="1" s="1"/>
  <c r="CR32" i="1"/>
  <c r="Q32" i="1" s="1"/>
  <c r="FR32" i="1"/>
  <c r="GL32" i="1"/>
  <c r="GN32" i="1"/>
  <c r="GO32" i="1"/>
  <c r="GV32" i="1"/>
  <c r="HC32" i="1" s="1"/>
  <c r="GX32" i="1" s="1"/>
  <c r="I33" i="1"/>
  <c r="E52" i="5" s="1"/>
  <c r="AC33" i="1"/>
  <c r="CQ33" i="1" s="1"/>
  <c r="P33" i="1" s="1"/>
  <c r="AE33" i="1"/>
  <c r="AD33" i="1" s="1"/>
  <c r="AF33" i="1"/>
  <c r="S52" i="5" s="1"/>
  <c r="AG33" i="1"/>
  <c r="CU33" i="1" s="1"/>
  <c r="T33" i="1" s="1"/>
  <c r="AH33" i="1"/>
  <c r="CV33" i="1" s="1"/>
  <c r="U33" i="1" s="1"/>
  <c r="AI33" i="1"/>
  <c r="CW33" i="1" s="1"/>
  <c r="V33" i="1" s="1"/>
  <c r="AJ33" i="1"/>
  <c r="CX33" i="1"/>
  <c r="W33" i="1" s="1"/>
  <c r="FR33" i="1"/>
  <c r="GL33" i="1"/>
  <c r="GO33" i="1"/>
  <c r="GP33" i="1"/>
  <c r="GV33" i="1"/>
  <c r="HC33" i="1" s="1"/>
  <c r="GX33" i="1" s="1"/>
  <c r="C34" i="1"/>
  <c r="D34" i="1"/>
  <c r="AC34" i="1"/>
  <c r="AE34" i="1"/>
  <c r="U58" i="5" s="1"/>
  <c r="AF34" i="1"/>
  <c r="CT34" i="1" s="1"/>
  <c r="S34" i="1" s="1"/>
  <c r="J59" i="5" s="1"/>
  <c r="AG34" i="1"/>
  <c r="AH34" i="1"/>
  <c r="CV34" i="1" s="1"/>
  <c r="U34" i="1" s="1"/>
  <c r="K68" i="5" s="1"/>
  <c r="AI34" i="1"/>
  <c r="CW34" i="1" s="1"/>
  <c r="V34" i="1" s="1"/>
  <c r="AJ34" i="1"/>
  <c r="CX34" i="1" s="1"/>
  <c r="W34" i="1" s="1"/>
  <c r="CQ34" i="1"/>
  <c r="P34" i="1" s="1"/>
  <c r="CS34" i="1"/>
  <c r="R34" i="1" s="1"/>
  <c r="GK34" i="1" s="1"/>
  <c r="CU34" i="1"/>
  <c r="T34" i="1" s="1"/>
  <c r="FR34" i="1"/>
  <c r="GL34" i="1"/>
  <c r="GN34" i="1"/>
  <c r="GO34" i="1"/>
  <c r="GV34" i="1"/>
  <c r="HC34" i="1" s="1"/>
  <c r="GX34" i="1" s="1"/>
  <c r="I35" i="1"/>
  <c r="E63" i="5" s="1"/>
  <c r="AC35" i="1"/>
  <c r="AE35" i="1"/>
  <c r="AD35" i="1" s="1"/>
  <c r="AB35" i="1" s="1"/>
  <c r="AF35" i="1"/>
  <c r="CT35" i="1" s="1"/>
  <c r="AG35" i="1"/>
  <c r="CU35" i="1" s="1"/>
  <c r="T35" i="1" s="1"/>
  <c r="AH35" i="1"/>
  <c r="CV35" i="1" s="1"/>
  <c r="AI35" i="1"/>
  <c r="AJ35" i="1"/>
  <c r="CX35" i="1" s="1"/>
  <c r="W35" i="1" s="1"/>
  <c r="CQ35" i="1"/>
  <c r="CS35" i="1"/>
  <c r="CW35" i="1"/>
  <c r="FR35" i="1"/>
  <c r="GL35" i="1"/>
  <c r="GN35" i="1"/>
  <c r="GO35" i="1"/>
  <c r="GV35" i="1"/>
  <c r="HC35" i="1"/>
  <c r="GX35" i="1" s="1"/>
  <c r="I36" i="1"/>
  <c r="E64" i="5" s="1"/>
  <c r="AC36" i="1"/>
  <c r="AE36" i="1"/>
  <c r="U64" i="5" s="1"/>
  <c r="AF36" i="1"/>
  <c r="CT36" i="1" s="1"/>
  <c r="S36" i="1" s="1"/>
  <c r="AG36" i="1"/>
  <c r="AH36" i="1"/>
  <c r="CV36" i="1" s="1"/>
  <c r="AI36" i="1"/>
  <c r="CW36" i="1" s="1"/>
  <c r="V36" i="1" s="1"/>
  <c r="AJ36" i="1"/>
  <c r="CX36" i="1" s="1"/>
  <c r="W36" i="1" s="1"/>
  <c r="CQ36" i="1"/>
  <c r="P36" i="1" s="1"/>
  <c r="CS36" i="1"/>
  <c r="R36" i="1" s="1"/>
  <c r="GK36" i="1" s="1"/>
  <c r="CU36" i="1"/>
  <c r="T36" i="1" s="1"/>
  <c r="FR36" i="1"/>
  <c r="GL36" i="1"/>
  <c r="GO36" i="1"/>
  <c r="GP36" i="1"/>
  <c r="GV36" i="1"/>
  <c r="HC36" i="1" s="1"/>
  <c r="C37" i="1"/>
  <c r="D37" i="1"/>
  <c r="AC37" i="1"/>
  <c r="AE37" i="1"/>
  <c r="CS37" i="1" s="1"/>
  <c r="R37" i="1" s="1"/>
  <c r="GK37" i="1" s="1"/>
  <c r="AF37" i="1"/>
  <c r="S70" i="5" s="1"/>
  <c r="AG37" i="1"/>
  <c r="CU37" i="1" s="1"/>
  <c r="T37" i="1" s="1"/>
  <c r="AH37" i="1"/>
  <c r="CV37" i="1" s="1"/>
  <c r="U37" i="1" s="1"/>
  <c r="K80" i="5" s="1"/>
  <c r="AI37" i="1"/>
  <c r="CW37" i="1" s="1"/>
  <c r="V37" i="1" s="1"/>
  <c r="AJ37" i="1"/>
  <c r="CX37" i="1" s="1"/>
  <c r="W37" i="1" s="1"/>
  <c r="CR37" i="1"/>
  <c r="Q37" i="1" s="1"/>
  <c r="J72" i="5" s="1"/>
  <c r="FR37" i="1"/>
  <c r="GL37" i="1"/>
  <c r="GN37" i="1"/>
  <c r="GO37" i="1"/>
  <c r="GV37" i="1"/>
  <c r="HC37" i="1" s="1"/>
  <c r="GX37" i="1" s="1"/>
  <c r="I38" i="1"/>
  <c r="E75" i="5" s="1"/>
  <c r="AC38" i="1"/>
  <c r="CQ38" i="1" s="1"/>
  <c r="P38" i="1" s="1"/>
  <c r="AE38" i="1"/>
  <c r="AD38" i="1" s="1"/>
  <c r="AF38" i="1"/>
  <c r="S75" i="5" s="1"/>
  <c r="AG38" i="1"/>
  <c r="CU38" i="1" s="1"/>
  <c r="T38" i="1" s="1"/>
  <c r="AH38" i="1"/>
  <c r="AI38" i="1"/>
  <c r="CW38" i="1" s="1"/>
  <c r="V38" i="1" s="1"/>
  <c r="AJ38" i="1"/>
  <c r="CX38" i="1" s="1"/>
  <c r="W38" i="1" s="1"/>
  <c r="CV38" i="1"/>
  <c r="U38" i="1" s="1"/>
  <c r="FR38" i="1"/>
  <c r="GL38" i="1"/>
  <c r="GN38" i="1"/>
  <c r="GO38" i="1"/>
  <c r="GV38" i="1"/>
  <c r="HC38" i="1"/>
  <c r="GX38" i="1" s="1"/>
  <c r="I39" i="1"/>
  <c r="E76" i="5" s="1"/>
  <c r="AC39" i="1"/>
  <c r="AE39" i="1"/>
  <c r="CS39" i="1" s="1"/>
  <c r="R39" i="1" s="1"/>
  <c r="GK39" i="1" s="1"/>
  <c r="AF39" i="1"/>
  <c r="S76" i="5" s="1"/>
  <c r="AG39" i="1"/>
  <c r="CU39" i="1" s="1"/>
  <c r="T39" i="1" s="1"/>
  <c r="AH39" i="1"/>
  <c r="AI39" i="1"/>
  <c r="CW39" i="1" s="1"/>
  <c r="AJ39" i="1"/>
  <c r="CX39" i="1" s="1"/>
  <c r="W39" i="1" s="1"/>
  <c r="CT39" i="1"/>
  <c r="S39" i="1" s="1"/>
  <c r="CV39" i="1"/>
  <c r="U39" i="1" s="1"/>
  <c r="FR39" i="1"/>
  <c r="GL39" i="1"/>
  <c r="GN39" i="1"/>
  <c r="GO39" i="1"/>
  <c r="GV39" i="1"/>
  <c r="HC39" i="1" s="1"/>
  <c r="GX39" i="1" s="1"/>
  <c r="C40" i="1"/>
  <c r="D40" i="1"/>
  <c r="I40" i="1"/>
  <c r="CX38" i="3" s="1"/>
  <c r="AC40" i="1"/>
  <c r="AE40" i="1"/>
  <c r="CS40" i="1" s="1"/>
  <c r="R40" i="1" s="1"/>
  <c r="GK40" i="1" s="1"/>
  <c r="AF40" i="1"/>
  <c r="S82" i="5" s="1"/>
  <c r="AG40" i="1"/>
  <c r="CU40" i="1" s="1"/>
  <c r="T40" i="1" s="1"/>
  <c r="AH40" i="1"/>
  <c r="AI40" i="1"/>
  <c r="CW40" i="1" s="1"/>
  <c r="V40" i="1" s="1"/>
  <c r="AJ40" i="1"/>
  <c r="CX40" i="1" s="1"/>
  <c r="W40" i="1" s="1"/>
  <c r="CT40" i="1"/>
  <c r="S40" i="1" s="1"/>
  <c r="J84" i="5" s="1"/>
  <c r="CV40" i="1"/>
  <c r="U40" i="1" s="1"/>
  <c r="K91" i="5" s="1"/>
  <c r="FR40" i="1"/>
  <c r="GL40" i="1"/>
  <c r="GN40" i="1"/>
  <c r="GO40" i="1"/>
  <c r="GV40" i="1"/>
  <c r="HC40" i="1" s="1"/>
  <c r="GX40" i="1" s="1"/>
  <c r="C41" i="1"/>
  <c r="D41" i="1"/>
  <c r="I41" i="1"/>
  <c r="CX46" i="3" s="1"/>
  <c r="AC41" i="1"/>
  <c r="AE41" i="1"/>
  <c r="CS41" i="1" s="1"/>
  <c r="R41" i="1" s="1"/>
  <c r="GK41" i="1" s="1"/>
  <c r="AF41" i="1"/>
  <c r="CT41" i="1" s="1"/>
  <c r="S41" i="1" s="1"/>
  <c r="J95" i="5" s="1"/>
  <c r="AG41" i="1"/>
  <c r="CU41" i="1" s="1"/>
  <c r="T41" i="1" s="1"/>
  <c r="AH41" i="1"/>
  <c r="AI41" i="1"/>
  <c r="CW41" i="1" s="1"/>
  <c r="V41" i="1" s="1"/>
  <c r="AJ41" i="1"/>
  <c r="CV41" i="1"/>
  <c r="U41" i="1" s="1"/>
  <c r="K102" i="5" s="1"/>
  <c r="CX41" i="1"/>
  <c r="W41" i="1" s="1"/>
  <c r="FR41" i="1"/>
  <c r="GL41" i="1"/>
  <c r="GN41" i="1"/>
  <c r="GO41" i="1"/>
  <c r="GV41" i="1"/>
  <c r="HC41" i="1" s="1"/>
  <c r="GX41" i="1" s="1"/>
  <c r="C42" i="1"/>
  <c r="D42" i="1"/>
  <c r="AC42" i="1"/>
  <c r="AD42" i="1"/>
  <c r="AE42" i="1"/>
  <c r="U104" i="5" s="1"/>
  <c r="AF42" i="1"/>
  <c r="CT42" i="1" s="1"/>
  <c r="S42" i="1" s="1"/>
  <c r="J105" i="5" s="1"/>
  <c r="AG42" i="1"/>
  <c r="AH42" i="1"/>
  <c r="CV42" i="1" s="1"/>
  <c r="U42" i="1" s="1"/>
  <c r="K114" i="5" s="1"/>
  <c r="AI42" i="1"/>
  <c r="AJ42" i="1"/>
  <c r="CX42" i="1" s="1"/>
  <c r="W42" i="1" s="1"/>
  <c r="CQ42" i="1"/>
  <c r="P42" i="1" s="1"/>
  <c r="J108" i="5" s="1"/>
  <c r="CR42" i="1"/>
  <c r="Q42" i="1" s="1"/>
  <c r="J106" i="5" s="1"/>
  <c r="CS42" i="1"/>
  <c r="R42" i="1" s="1"/>
  <c r="GK42" i="1" s="1"/>
  <c r="CU42" i="1"/>
  <c r="T42" i="1" s="1"/>
  <c r="CW42" i="1"/>
  <c r="V42" i="1" s="1"/>
  <c r="FR42" i="1"/>
  <c r="GL42" i="1"/>
  <c r="GN42" i="1"/>
  <c r="GO42" i="1"/>
  <c r="GV42" i="1"/>
  <c r="HC42" i="1"/>
  <c r="GX42" i="1" s="1"/>
  <c r="I43" i="1"/>
  <c r="E109" i="5" s="1"/>
  <c r="AC43" i="1"/>
  <c r="AE43" i="1"/>
  <c r="AD43" i="1" s="1"/>
  <c r="AB43" i="1" s="1"/>
  <c r="AF43" i="1"/>
  <c r="CT43" i="1" s="1"/>
  <c r="S43" i="1" s="1"/>
  <c r="AG43" i="1"/>
  <c r="CU43" i="1" s="1"/>
  <c r="T43" i="1" s="1"/>
  <c r="AH43" i="1"/>
  <c r="CV43" i="1" s="1"/>
  <c r="AI43" i="1"/>
  <c r="CW43" i="1" s="1"/>
  <c r="V43" i="1" s="1"/>
  <c r="AJ43" i="1"/>
  <c r="CX43" i="1" s="1"/>
  <c r="W43" i="1" s="1"/>
  <c r="CQ43" i="1"/>
  <c r="CS43" i="1"/>
  <c r="FR43" i="1"/>
  <c r="GL43" i="1"/>
  <c r="GN43" i="1"/>
  <c r="GO43" i="1"/>
  <c r="GV43" i="1"/>
  <c r="HC43" i="1" s="1"/>
  <c r="I44" i="1"/>
  <c r="E110" i="5" s="1"/>
  <c r="AC44" i="1"/>
  <c r="AD44" i="1"/>
  <c r="AE44" i="1"/>
  <c r="U110" i="5" s="1"/>
  <c r="AF44" i="1"/>
  <c r="CT44" i="1" s="1"/>
  <c r="S44" i="1" s="1"/>
  <c r="AG44" i="1"/>
  <c r="AH44" i="1"/>
  <c r="CV44" i="1" s="1"/>
  <c r="U44" i="1" s="1"/>
  <c r="AI44" i="1"/>
  <c r="AJ44" i="1"/>
  <c r="CX44" i="1" s="1"/>
  <c r="W44" i="1" s="1"/>
  <c r="CQ44" i="1"/>
  <c r="P44" i="1" s="1"/>
  <c r="CR44" i="1"/>
  <c r="Q44" i="1" s="1"/>
  <c r="CS44" i="1"/>
  <c r="CU44" i="1"/>
  <c r="T44" i="1" s="1"/>
  <c r="CW44" i="1"/>
  <c r="V44" i="1" s="1"/>
  <c r="FR44" i="1"/>
  <c r="GL44" i="1"/>
  <c r="GN44" i="1"/>
  <c r="GO44" i="1"/>
  <c r="GV44" i="1"/>
  <c r="HC44" i="1"/>
  <c r="GX44" i="1" s="1"/>
  <c r="AC45" i="1"/>
  <c r="AE45" i="1"/>
  <c r="CS45" i="1" s="1"/>
  <c r="R45" i="1" s="1"/>
  <c r="GK45" i="1" s="1"/>
  <c r="AF45" i="1"/>
  <c r="AG45" i="1"/>
  <c r="CU45" i="1" s="1"/>
  <c r="T45" i="1" s="1"/>
  <c r="AH45" i="1"/>
  <c r="CV45" i="1" s="1"/>
  <c r="U45" i="1" s="1"/>
  <c r="AI45" i="1"/>
  <c r="CW45" i="1" s="1"/>
  <c r="V45" i="1" s="1"/>
  <c r="AJ45" i="1"/>
  <c r="CR45" i="1"/>
  <c r="Q45" i="1" s="1"/>
  <c r="CT45" i="1"/>
  <c r="S45" i="1" s="1"/>
  <c r="CX45" i="1"/>
  <c r="W45" i="1" s="1"/>
  <c r="FR45" i="1"/>
  <c r="GL45" i="1"/>
  <c r="GO45" i="1"/>
  <c r="GP45" i="1"/>
  <c r="GV45" i="1"/>
  <c r="HC45" i="1" s="1"/>
  <c r="GX45" i="1" s="1"/>
  <c r="B47" i="1"/>
  <c r="B26" i="1" s="1"/>
  <c r="C47" i="1"/>
  <c r="C26" i="1" s="1"/>
  <c r="D47" i="1"/>
  <c r="D26" i="1" s="1"/>
  <c r="F47" i="1"/>
  <c r="F26" i="1" s="1"/>
  <c r="G47" i="1"/>
  <c r="G26" i="1" s="1"/>
  <c r="BX47" i="1"/>
  <c r="AO47" i="1" s="1"/>
  <c r="BY47" i="1"/>
  <c r="BY26" i="1" s="1"/>
  <c r="BZ47" i="1"/>
  <c r="BZ26" i="1" s="1"/>
  <c r="CC47" i="1"/>
  <c r="CC26" i="1" s="1"/>
  <c r="CK47" i="1"/>
  <c r="CK26" i="1" s="1"/>
  <c r="CL47" i="1"/>
  <c r="CL26" i="1" s="1"/>
  <c r="CM47" i="1"/>
  <c r="BD47" i="1" s="1"/>
  <c r="B77" i="1"/>
  <c r="B22" i="1" s="1"/>
  <c r="C77" i="1"/>
  <c r="C22" i="1" s="1"/>
  <c r="D77" i="1"/>
  <c r="D22" i="1" s="1"/>
  <c r="F77" i="1"/>
  <c r="F22" i="1" s="1"/>
  <c r="G77" i="1"/>
  <c r="G22" i="1" s="1"/>
  <c r="B109" i="1"/>
  <c r="B18" i="1" s="1"/>
  <c r="C109" i="1"/>
  <c r="C18" i="1" s="1"/>
  <c r="D109" i="1"/>
  <c r="D18" i="1" s="1"/>
  <c r="F109" i="1"/>
  <c r="F18" i="1" s="1"/>
  <c r="G109" i="1"/>
  <c r="G18" i="1" s="1"/>
  <c r="Q40" i="5" l="1"/>
  <c r="U46" i="5"/>
  <c r="Q64" i="5"/>
  <c r="U70" i="5"/>
  <c r="C83" i="5"/>
  <c r="E93" i="5"/>
  <c r="Q109" i="5"/>
  <c r="S110" i="5"/>
  <c r="A117" i="5"/>
  <c r="R44" i="1"/>
  <c r="GK44" i="1" s="1"/>
  <c r="U43" i="1"/>
  <c r="CR40" i="1"/>
  <c r="Q40" i="1" s="1"/>
  <c r="J85" i="5" s="1"/>
  <c r="GX36" i="1"/>
  <c r="CJ47" i="1" s="1"/>
  <c r="CR36" i="1"/>
  <c r="Q36" i="1" s="1"/>
  <c r="CP36" i="1" s="1"/>
  <c r="O36" i="1" s="1"/>
  <c r="AD36" i="1"/>
  <c r="AB36" i="1" s="1"/>
  <c r="CR34" i="1"/>
  <c r="Q34" i="1" s="1"/>
  <c r="J60" i="5" s="1"/>
  <c r="AD34" i="1"/>
  <c r="AB34" i="1" s="1"/>
  <c r="V32" i="1"/>
  <c r="Q39" i="5"/>
  <c r="S40" i="5"/>
  <c r="Q63" i="5"/>
  <c r="S64" i="5"/>
  <c r="V76" i="5"/>
  <c r="E82" i="5"/>
  <c r="Q93" i="5"/>
  <c r="Q104" i="5"/>
  <c r="S109" i="5"/>
  <c r="A120" i="5"/>
  <c r="U35" i="1"/>
  <c r="AH47" i="1" s="1"/>
  <c r="Q34" i="5"/>
  <c r="U40" i="5"/>
  <c r="Q58" i="5"/>
  <c r="S63" i="5"/>
  <c r="J73" i="5"/>
  <c r="Q82" i="5"/>
  <c r="S93" i="5"/>
  <c r="S104" i="5"/>
  <c r="U109" i="5"/>
  <c r="V35" i="1"/>
  <c r="T32" i="1"/>
  <c r="CT28" i="1"/>
  <c r="S28" i="1" s="1"/>
  <c r="J35" i="5" s="1"/>
  <c r="S58" i="5"/>
  <c r="J62" i="5"/>
  <c r="U63" i="5"/>
  <c r="V70" i="5"/>
  <c r="U93" i="5"/>
  <c r="R43" i="1"/>
  <c r="GK43" i="1" s="1"/>
  <c r="CR39" i="1"/>
  <c r="Q39" i="1" s="1"/>
  <c r="S35" i="1"/>
  <c r="CT33" i="1"/>
  <c r="S33" i="1" s="1"/>
  <c r="CP33" i="1" s="1"/>
  <c r="O33" i="1" s="1"/>
  <c r="J52" i="5" s="1"/>
  <c r="CR30" i="1"/>
  <c r="Q30" i="1" s="1"/>
  <c r="CR28" i="1"/>
  <c r="Q28" i="1" s="1"/>
  <c r="J36" i="5" s="1"/>
  <c r="AD28" i="1"/>
  <c r="U34" i="5"/>
  <c r="Q52" i="5"/>
  <c r="Q76" i="5"/>
  <c r="U82" i="5"/>
  <c r="V110" i="5"/>
  <c r="GX43" i="1"/>
  <c r="CR43" i="1"/>
  <c r="Q43" i="1" s="1"/>
  <c r="CT38" i="1"/>
  <c r="S38" i="1" s="1"/>
  <c r="CZ38" i="1" s="1"/>
  <c r="Y38" i="1" s="1"/>
  <c r="T75" i="5" s="1"/>
  <c r="U36" i="1"/>
  <c r="R35" i="1"/>
  <c r="GK35" i="1" s="1"/>
  <c r="CR33" i="1"/>
  <c r="Q33" i="1" s="1"/>
  <c r="R32" i="1"/>
  <c r="GK32" i="1" s="1"/>
  <c r="P30" i="1"/>
  <c r="AB29" i="1"/>
  <c r="AB28" i="1"/>
  <c r="V40" i="5"/>
  <c r="Q51" i="5"/>
  <c r="V64" i="5"/>
  <c r="Q75" i="5"/>
  <c r="J107" i="5"/>
  <c r="V109" i="5"/>
  <c r="CG47" i="1"/>
  <c r="CG26" i="1" s="1"/>
  <c r="P43" i="1"/>
  <c r="CP43" i="1" s="1"/>
  <c r="O43" i="1" s="1"/>
  <c r="J109" i="5" s="1"/>
  <c r="CR41" i="1"/>
  <c r="Q41" i="1" s="1"/>
  <c r="J96" i="5" s="1"/>
  <c r="V39" i="1"/>
  <c r="AI47" i="1" s="1"/>
  <c r="CR38" i="1"/>
  <c r="Q38" i="1" s="1"/>
  <c r="CT37" i="1"/>
  <c r="S37" i="1" s="1"/>
  <c r="J71" i="5" s="1"/>
  <c r="CR35" i="1"/>
  <c r="Q35" i="1" s="1"/>
  <c r="CT32" i="1"/>
  <c r="S32" i="1" s="1"/>
  <c r="V39" i="5"/>
  <c r="Q46" i="5"/>
  <c r="U52" i="5"/>
  <c r="J61" i="5"/>
  <c r="V63" i="5"/>
  <c r="Q70" i="5"/>
  <c r="U76" i="5"/>
  <c r="V93" i="5"/>
  <c r="J101" i="5" s="1"/>
  <c r="J97" i="5"/>
  <c r="V104" i="5"/>
  <c r="J113" i="5" s="1"/>
  <c r="P35" i="1"/>
  <c r="CP35" i="1" s="1"/>
  <c r="O35" i="1" s="1"/>
  <c r="J63" i="5" s="1"/>
  <c r="V34" i="5"/>
  <c r="U51" i="5"/>
  <c r="V58" i="5"/>
  <c r="J67" i="5" s="1"/>
  <c r="U75" i="5"/>
  <c r="V82" i="5"/>
  <c r="J90" i="5" s="1"/>
  <c r="J86" i="5"/>
  <c r="C94" i="5"/>
  <c r="Q110" i="5"/>
  <c r="AO26" i="1"/>
  <c r="AO77" i="1"/>
  <c r="F51" i="1"/>
  <c r="CY44" i="1"/>
  <c r="X44" i="1" s="1"/>
  <c r="R110" i="5" s="1"/>
  <c r="CZ44" i="1"/>
  <c r="Y44" i="1" s="1"/>
  <c r="T110" i="5" s="1"/>
  <c r="CY42" i="1"/>
  <c r="X42" i="1" s="1"/>
  <c r="R104" i="5" s="1"/>
  <c r="CZ42" i="1"/>
  <c r="Y42" i="1" s="1"/>
  <c r="T104" i="5" s="1"/>
  <c r="CZ40" i="1"/>
  <c r="Y40" i="1" s="1"/>
  <c r="T82" i="5" s="1"/>
  <c r="J89" i="5" s="1"/>
  <c r="CY40" i="1"/>
  <c r="X40" i="1" s="1"/>
  <c r="R82" i="5" s="1"/>
  <c r="J88" i="5" s="1"/>
  <c r="CY35" i="1"/>
  <c r="X35" i="1" s="1"/>
  <c r="R63" i="5" s="1"/>
  <c r="CZ35" i="1"/>
  <c r="Y35" i="1" s="1"/>
  <c r="T63" i="5" s="1"/>
  <c r="CZ33" i="1"/>
  <c r="Y33" i="1" s="1"/>
  <c r="T52" i="5" s="1"/>
  <c r="CY33" i="1"/>
  <c r="X33" i="1" s="1"/>
  <c r="R52" i="5" s="1"/>
  <c r="F72" i="1"/>
  <c r="BD26" i="1"/>
  <c r="BD77" i="1"/>
  <c r="CZ45" i="1"/>
  <c r="Y45" i="1" s="1"/>
  <c r="CY45" i="1"/>
  <c r="X45" i="1" s="1"/>
  <c r="CZ43" i="1"/>
  <c r="Y43" i="1" s="1"/>
  <c r="T109" i="5" s="1"/>
  <c r="CY43" i="1"/>
  <c r="X43" i="1" s="1"/>
  <c r="R109" i="5" s="1"/>
  <c r="CZ39" i="1"/>
  <c r="Y39" i="1" s="1"/>
  <c r="T76" i="5" s="1"/>
  <c r="CY39" i="1"/>
  <c r="X39" i="1" s="1"/>
  <c r="R76" i="5" s="1"/>
  <c r="CZ36" i="1"/>
  <c r="Y36" i="1" s="1"/>
  <c r="CY36" i="1"/>
  <c r="X36" i="1" s="1"/>
  <c r="R64" i="5" s="1"/>
  <c r="CZ34" i="1"/>
  <c r="Y34" i="1" s="1"/>
  <c r="T58" i="5" s="1"/>
  <c r="CY34" i="1"/>
  <c r="X34" i="1" s="1"/>
  <c r="R58" i="5" s="1"/>
  <c r="CZ31" i="1"/>
  <c r="Y31" i="1" s="1"/>
  <c r="T46" i="5" s="1"/>
  <c r="CY31" i="1"/>
  <c r="X31" i="1" s="1"/>
  <c r="R46" i="5" s="1"/>
  <c r="CY28" i="1"/>
  <c r="X28" i="1" s="1"/>
  <c r="R34" i="5" s="1"/>
  <c r="CZ28" i="1"/>
  <c r="Y28" i="1" s="1"/>
  <c r="T34" i="5" s="1"/>
  <c r="GK28" i="1"/>
  <c r="CP44" i="1"/>
  <c r="O44" i="1" s="1"/>
  <c r="J110" i="5" s="1"/>
  <c r="CP42" i="1"/>
  <c r="O42" i="1" s="1"/>
  <c r="CP31" i="1"/>
  <c r="O31" i="1" s="1"/>
  <c r="CZ37" i="1"/>
  <c r="Y37" i="1" s="1"/>
  <c r="T70" i="5" s="1"/>
  <c r="CY37" i="1"/>
  <c r="X37" i="1" s="1"/>
  <c r="R70" i="5" s="1"/>
  <c r="CZ32" i="1"/>
  <c r="Y32" i="1" s="1"/>
  <c r="T51" i="5" s="1"/>
  <c r="CY32" i="1"/>
  <c r="X32" i="1" s="1"/>
  <c r="R51" i="5" s="1"/>
  <c r="CY30" i="1"/>
  <c r="X30" i="1" s="1"/>
  <c r="R40" i="5" s="1"/>
  <c r="CZ30" i="1"/>
  <c r="Y30" i="1" s="1"/>
  <c r="T40" i="5" s="1"/>
  <c r="AG47" i="1"/>
  <c r="GM43" i="1"/>
  <c r="CZ41" i="1"/>
  <c r="Y41" i="1" s="1"/>
  <c r="T93" i="5" s="1"/>
  <c r="J100" i="5" s="1"/>
  <c r="CY41" i="1"/>
  <c r="X41" i="1" s="1"/>
  <c r="R93" i="5" s="1"/>
  <c r="J99" i="5" s="1"/>
  <c r="CY38" i="1"/>
  <c r="X38" i="1" s="1"/>
  <c r="R75" i="5" s="1"/>
  <c r="CP28" i="1"/>
  <c r="O28" i="1" s="1"/>
  <c r="CP38" i="1"/>
  <c r="O38" i="1" s="1"/>
  <c r="J75" i="5" s="1"/>
  <c r="CP30" i="1"/>
  <c r="O30" i="1" s="1"/>
  <c r="J40" i="5" s="1"/>
  <c r="AJ47" i="1"/>
  <c r="BB47" i="1"/>
  <c r="AT47" i="1"/>
  <c r="AP47" i="1"/>
  <c r="CQ45" i="1"/>
  <c r="P45" i="1" s="1"/>
  <c r="CP45" i="1" s="1"/>
  <c r="O45" i="1" s="1"/>
  <c r="AD45" i="1"/>
  <c r="AB45" i="1" s="1"/>
  <c r="CQ41" i="1"/>
  <c r="P41" i="1" s="1"/>
  <c r="AD41" i="1"/>
  <c r="AB41" i="1" s="1"/>
  <c r="CQ40" i="1"/>
  <c r="P40" i="1" s="1"/>
  <c r="AD40" i="1"/>
  <c r="AB40" i="1" s="1"/>
  <c r="CQ39" i="1"/>
  <c r="P39" i="1" s="1"/>
  <c r="CP39" i="1" s="1"/>
  <c r="O39" i="1" s="1"/>
  <c r="J76" i="5" s="1"/>
  <c r="AD39" i="1"/>
  <c r="AB39" i="1" s="1"/>
  <c r="CS38" i="1"/>
  <c r="AB38" i="1"/>
  <c r="CQ37" i="1"/>
  <c r="P37" i="1" s="1"/>
  <c r="AD37" i="1"/>
  <c r="AB37" i="1" s="1"/>
  <c r="CS33" i="1"/>
  <c r="AB33" i="1"/>
  <c r="CQ32" i="1"/>
  <c r="P32" i="1" s="1"/>
  <c r="CP32" i="1" s="1"/>
  <c r="O32" i="1" s="1"/>
  <c r="J51" i="5" s="1"/>
  <c r="AD32" i="1"/>
  <c r="AB32" i="1" s="1"/>
  <c r="CS31" i="1"/>
  <c r="AB31" i="1"/>
  <c r="CT29" i="1"/>
  <c r="S29" i="1" s="1"/>
  <c r="CM26" i="1"/>
  <c r="CX45" i="3"/>
  <c r="CX41" i="3"/>
  <c r="BC47" i="1"/>
  <c r="AQ47" i="1"/>
  <c r="AB44" i="1"/>
  <c r="AB42" i="1"/>
  <c r="BX26" i="1"/>
  <c r="CX44" i="3"/>
  <c r="CX40" i="3"/>
  <c r="CI47" i="1"/>
  <c r="CX47" i="3"/>
  <c r="CX43" i="3"/>
  <c r="CX39" i="3"/>
  <c r="CX42" i="3"/>
  <c r="J53" i="5" l="1"/>
  <c r="J77" i="5"/>
  <c r="J54" i="5"/>
  <c r="J43" i="5"/>
  <c r="J111" i="5"/>
  <c r="J78" i="5"/>
  <c r="J64" i="5"/>
  <c r="GM36" i="1"/>
  <c r="CP41" i="1"/>
  <c r="O41" i="1" s="1"/>
  <c r="J98" i="5"/>
  <c r="I103" i="5" s="1"/>
  <c r="CP34" i="1"/>
  <c r="O34" i="1" s="1"/>
  <c r="CP37" i="1"/>
  <c r="O37" i="1" s="1"/>
  <c r="J74" i="5"/>
  <c r="AX47" i="1"/>
  <c r="AD47" i="1"/>
  <c r="J112" i="5"/>
  <c r="R38" i="1"/>
  <c r="GK38" i="1" s="1"/>
  <c r="V75" i="5"/>
  <c r="J79" i="5" s="1"/>
  <c r="GN36" i="1"/>
  <c r="T64" i="5"/>
  <c r="J66" i="5" s="1"/>
  <c r="R33" i="1"/>
  <c r="GK33" i="1" s="1"/>
  <c r="V52" i="5"/>
  <c r="CP40" i="1"/>
  <c r="O40" i="1" s="1"/>
  <c r="GP40" i="1" s="1"/>
  <c r="J87" i="5"/>
  <c r="I92" i="5" s="1"/>
  <c r="K92" i="5" s="1"/>
  <c r="R31" i="1"/>
  <c r="V46" i="5"/>
  <c r="GP43" i="1"/>
  <c r="J65" i="5"/>
  <c r="GM39" i="1"/>
  <c r="GP39" i="1"/>
  <c r="AP26" i="1"/>
  <c r="AP77" i="1"/>
  <c r="F56" i="1"/>
  <c r="GM40" i="1"/>
  <c r="BB26" i="1"/>
  <c r="BB77" i="1"/>
  <c r="F60" i="1"/>
  <c r="AZ47" i="1"/>
  <c r="CI26" i="1"/>
  <c r="AX26" i="1"/>
  <c r="AX77" i="1"/>
  <c r="F54" i="1"/>
  <c r="GM38" i="1"/>
  <c r="GP38" i="1"/>
  <c r="BA47" i="1"/>
  <c r="CJ26" i="1"/>
  <c r="GP42" i="1"/>
  <c r="GM42" i="1"/>
  <c r="BD22" i="1"/>
  <c r="BD109" i="1"/>
  <c r="F102" i="1"/>
  <c r="AD26" i="1"/>
  <c r="Q47" i="1"/>
  <c r="AE47" i="1"/>
  <c r="F63" i="1"/>
  <c r="BC26" i="1"/>
  <c r="BC77" i="1"/>
  <c r="CZ29" i="1"/>
  <c r="Y29" i="1" s="1"/>
  <c r="T39" i="5" s="1"/>
  <c r="J42" i="5" s="1"/>
  <c r="CY29" i="1"/>
  <c r="X29" i="1" s="1"/>
  <c r="R39" i="5" s="1"/>
  <c r="J41" i="5" s="1"/>
  <c r="GM41" i="1"/>
  <c r="GP41" i="1"/>
  <c r="AT26" i="1"/>
  <c r="F65" i="1"/>
  <c r="AT77" i="1"/>
  <c r="GP30" i="1"/>
  <c r="GM30" i="1"/>
  <c r="GP28" i="1"/>
  <c r="GM28" i="1"/>
  <c r="AI26" i="1"/>
  <c r="V47" i="1"/>
  <c r="AH26" i="1"/>
  <c r="U47" i="1"/>
  <c r="AO22" i="1"/>
  <c r="AO109" i="1"/>
  <c r="F81" i="1"/>
  <c r="AK47" i="1"/>
  <c r="GM32" i="1"/>
  <c r="GP32" i="1"/>
  <c r="AJ26" i="1"/>
  <c r="W47" i="1"/>
  <c r="AG26" i="1"/>
  <c r="T47" i="1"/>
  <c r="GP35" i="1"/>
  <c r="GM35" i="1"/>
  <c r="GM33" i="1"/>
  <c r="GN33" i="1"/>
  <c r="CB47" i="1" s="1"/>
  <c r="AC47" i="1"/>
  <c r="AL47" i="1"/>
  <c r="GM37" i="1"/>
  <c r="GP37" i="1"/>
  <c r="F57" i="1"/>
  <c r="AQ26" i="1"/>
  <c r="AQ77" i="1"/>
  <c r="GN45" i="1"/>
  <c r="GM45" i="1"/>
  <c r="GP44" i="1"/>
  <c r="GM44" i="1"/>
  <c r="AF47" i="1"/>
  <c r="CP29" i="1"/>
  <c r="O29" i="1" s="1"/>
  <c r="J39" i="5" s="1"/>
  <c r="I69" i="5" l="1"/>
  <c r="P69" i="5" s="1"/>
  <c r="I45" i="5"/>
  <c r="P45" i="5" s="1"/>
  <c r="I115" i="5"/>
  <c r="P115" i="5" s="1"/>
  <c r="K103" i="5"/>
  <c r="P103" i="5"/>
  <c r="J55" i="5"/>
  <c r="I57" i="5" s="1"/>
  <c r="P92" i="5"/>
  <c r="GK31" i="1"/>
  <c r="J49" i="5"/>
  <c r="I81" i="5"/>
  <c r="GM34" i="1"/>
  <c r="GP34" i="1"/>
  <c r="AL26" i="1"/>
  <c r="Y47" i="1"/>
  <c r="W77" i="1"/>
  <c r="F71" i="1"/>
  <c r="W26" i="1"/>
  <c r="AK26" i="1"/>
  <c r="X47" i="1"/>
  <c r="F69" i="1"/>
  <c r="U26" i="1"/>
  <c r="U77" i="1"/>
  <c r="F87" i="1"/>
  <c r="AQ22" i="1"/>
  <c r="AQ109" i="1"/>
  <c r="AE26" i="1"/>
  <c r="R47" i="1"/>
  <c r="BD18" i="1"/>
  <c r="F134" i="1"/>
  <c r="AZ26" i="1"/>
  <c r="AZ77" i="1"/>
  <c r="F58" i="1"/>
  <c r="F90" i="1"/>
  <c r="BB22" i="1"/>
  <c r="BB109" i="1"/>
  <c r="AS47" i="1"/>
  <c r="CB26" i="1"/>
  <c r="AF26" i="1"/>
  <c r="S47" i="1"/>
  <c r="F68" i="1"/>
  <c r="T26" i="1"/>
  <c r="T77" i="1"/>
  <c r="F113" i="1"/>
  <c r="AO18" i="1"/>
  <c r="V26" i="1"/>
  <c r="V77" i="1"/>
  <c r="F70" i="1"/>
  <c r="GM29" i="1"/>
  <c r="GP29" i="1"/>
  <c r="CF47" i="1"/>
  <c r="AC26" i="1"/>
  <c r="P47" i="1"/>
  <c r="CE47" i="1"/>
  <c r="CH47" i="1"/>
  <c r="F95" i="1"/>
  <c r="F16" i="2" s="1"/>
  <c r="F18" i="2" s="1"/>
  <c r="AT22" i="1"/>
  <c r="AT109" i="1"/>
  <c r="BC22" i="1"/>
  <c r="BC109" i="1"/>
  <c r="F93" i="1"/>
  <c r="Q26" i="1"/>
  <c r="F59" i="1"/>
  <c r="Q77" i="1"/>
  <c r="BA26" i="1"/>
  <c r="BA77" i="1"/>
  <c r="F67" i="1"/>
  <c r="F84" i="1"/>
  <c r="AX22" i="1"/>
  <c r="AX109" i="1"/>
  <c r="F86" i="1"/>
  <c r="G16" i="2" s="1"/>
  <c r="G18" i="2" s="1"/>
  <c r="AP22" i="1"/>
  <c r="AP109" i="1"/>
  <c r="AB47" i="1"/>
  <c r="K69" i="5" l="1"/>
  <c r="K115" i="5"/>
  <c r="K45" i="5"/>
  <c r="P81" i="5"/>
  <c r="K81" i="5"/>
  <c r="GM31" i="1"/>
  <c r="CA47" i="1" s="1"/>
  <c r="CA26" i="1" s="1"/>
  <c r="GP31" i="1"/>
  <c r="CD47" i="1" s="1"/>
  <c r="K57" i="5"/>
  <c r="P57" i="5"/>
  <c r="AB26" i="1"/>
  <c r="O47" i="1"/>
  <c r="AX18" i="1"/>
  <c r="F116" i="1"/>
  <c r="BA22" i="1"/>
  <c r="BA109" i="1"/>
  <c r="F97" i="1"/>
  <c r="CH26" i="1"/>
  <c r="AY47" i="1"/>
  <c r="AW47" i="1"/>
  <c r="CF26" i="1"/>
  <c r="T22" i="1"/>
  <c r="F98" i="1"/>
  <c r="T109" i="1"/>
  <c r="F88" i="1"/>
  <c r="AZ22" i="1"/>
  <c r="AZ109" i="1"/>
  <c r="R26" i="1"/>
  <c r="F61" i="1"/>
  <c r="R77" i="1"/>
  <c r="F73" i="1"/>
  <c r="X26" i="1"/>
  <c r="X77" i="1"/>
  <c r="W22" i="1"/>
  <c r="F101" i="1"/>
  <c r="W109" i="1"/>
  <c r="S77" i="1"/>
  <c r="S26" i="1"/>
  <c r="F62" i="1"/>
  <c r="AS26" i="1"/>
  <c r="F64" i="1"/>
  <c r="AS77" i="1"/>
  <c r="Q22" i="1"/>
  <c r="Q109" i="1"/>
  <c r="F89" i="1"/>
  <c r="BC18" i="1"/>
  <c r="F125" i="1"/>
  <c r="P26" i="1"/>
  <c r="F50" i="1"/>
  <c r="P77" i="1"/>
  <c r="F119" i="1"/>
  <c r="AQ18" i="1"/>
  <c r="Y26" i="1"/>
  <c r="Y77" i="1"/>
  <c r="F74" i="1"/>
  <c r="U22" i="1"/>
  <c r="F99" i="1"/>
  <c r="U109" i="1"/>
  <c r="F118" i="1"/>
  <c r="I22" i="5" s="1"/>
  <c r="AP18" i="1"/>
  <c r="F127" i="1"/>
  <c r="I21" i="5" s="1"/>
  <c r="AT18" i="1"/>
  <c r="AV47" i="1"/>
  <c r="CE26" i="1"/>
  <c r="AR47" i="1"/>
  <c r="F100" i="1"/>
  <c r="V109" i="1"/>
  <c r="V22" i="1"/>
  <c r="F122" i="1"/>
  <c r="BB18" i="1"/>
  <c r="AU47" i="1" l="1"/>
  <c r="CD26" i="1"/>
  <c r="I120" i="5"/>
  <c r="I117" i="5"/>
  <c r="F121" i="1"/>
  <c r="Q18" i="1"/>
  <c r="T18" i="1"/>
  <c r="F130" i="1"/>
  <c r="F53" i="1"/>
  <c r="AW26" i="1"/>
  <c r="AW77" i="1"/>
  <c r="F129" i="1"/>
  <c r="BA18" i="1"/>
  <c r="F49" i="1"/>
  <c r="O77" i="1"/>
  <c r="O26" i="1"/>
  <c r="AR26" i="1"/>
  <c r="F75" i="1"/>
  <c r="AR77" i="1"/>
  <c r="F92" i="1"/>
  <c r="J16" i="2" s="1"/>
  <c r="J18" i="2" s="1"/>
  <c r="S22" i="1"/>
  <c r="S109" i="1"/>
  <c r="X22" i="1"/>
  <c r="F103" i="1"/>
  <c r="X109" i="1"/>
  <c r="F131" i="1"/>
  <c r="U18" i="1"/>
  <c r="Y22" i="1"/>
  <c r="F104" i="1"/>
  <c r="Y109" i="1"/>
  <c r="F80" i="1"/>
  <c r="P22" i="1"/>
  <c r="P109" i="1"/>
  <c r="AS22" i="1"/>
  <c r="AS109" i="1"/>
  <c r="F94" i="1"/>
  <c r="E16" i="2" s="1"/>
  <c r="R109" i="1"/>
  <c r="F91" i="1"/>
  <c r="R22" i="1"/>
  <c r="AU26" i="1"/>
  <c r="F66" i="1"/>
  <c r="AU77" i="1"/>
  <c r="V18" i="1"/>
  <c r="F132" i="1"/>
  <c r="W18" i="1"/>
  <c r="F133" i="1"/>
  <c r="F52" i="1"/>
  <c r="AV26" i="1"/>
  <c r="AV77" i="1"/>
  <c r="AZ18" i="1"/>
  <c r="F120" i="1"/>
  <c r="F55" i="1"/>
  <c r="AY26" i="1"/>
  <c r="AY77" i="1"/>
  <c r="AY22" i="1" l="1"/>
  <c r="AY109" i="1"/>
  <c r="F85" i="1"/>
  <c r="S18" i="1"/>
  <c r="F124" i="1"/>
  <c r="AR22" i="1"/>
  <c r="AR109" i="1"/>
  <c r="F105" i="1"/>
  <c r="AW22" i="1"/>
  <c r="AW109" i="1"/>
  <c r="F83" i="1"/>
  <c r="AV22" i="1"/>
  <c r="AV109" i="1"/>
  <c r="F82" i="1"/>
  <c r="F123" i="1"/>
  <c r="R18" i="1"/>
  <c r="P18" i="1"/>
  <c r="F112" i="1"/>
  <c r="X18" i="1"/>
  <c r="F135" i="1"/>
  <c r="F96" i="1"/>
  <c r="H16" i="2" s="1"/>
  <c r="H18" i="2" s="1"/>
  <c r="AU22" i="1"/>
  <c r="AU109" i="1"/>
  <c r="Y18" i="1"/>
  <c r="F136" i="1"/>
  <c r="F126" i="1"/>
  <c r="I20" i="5" s="1"/>
  <c r="AS18" i="1"/>
  <c r="F79" i="1"/>
  <c r="O22" i="1"/>
  <c r="O109" i="1"/>
  <c r="E18" i="2"/>
  <c r="I16" i="2"/>
  <c r="I18" i="2" s="1"/>
  <c r="I24" i="5" l="1"/>
  <c r="F111" i="1"/>
  <c r="O18" i="1"/>
  <c r="F115" i="1"/>
  <c r="AW18" i="1"/>
  <c r="AY18" i="1"/>
  <c r="F117" i="1"/>
  <c r="AR18" i="1"/>
  <c r="F137" i="1"/>
  <c r="F106" i="1"/>
  <c r="AV18" i="1"/>
  <c r="F114" i="1"/>
  <c r="AU18" i="1"/>
  <c r="F128" i="1"/>
  <c r="I23" i="5" s="1"/>
  <c r="F107" i="1" l="1"/>
  <c r="I123" i="5" s="1"/>
  <c r="I122" i="5"/>
  <c r="F138" i="1"/>
  <c r="F139" i="1" s="1"/>
  <c r="I19" i="5" s="1"/>
</calcChain>
</file>

<file path=xl/sharedStrings.xml><?xml version="1.0" encoding="utf-8"?>
<sst xmlns="http://schemas.openxmlformats.org/spreadsheetml/2006/main" count="2026" uniqueCount="268">
  <si>
    <t>Smeta.RU  (495) 974-1589</t>
  </si>
  <si>
    <t>_PS_</t>
  </si>
  <si>
    <t>Smeta.RU</t>
  </si>
  <si>
    <t>ГКУ "Дирекция ОДОТСЗН г. Москвы"  Доп. раб. место  FStS-0037572</t>
  </si>
  <si>
    <t/>
  </si>
  <si>
    <t>ул. Трофимова д.26_-1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</si>
  <si>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</si>
  <si>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</si>
  <si>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</si>
  <si>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</si>
  <si>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</si>
  <si>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</si>
  <si>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</si>
  <si>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</si>
  <si>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Монтажные работы</t>
  </si>
  <si>
    <t>1</t>
  </si>
  <si>
    <t>5.3-3203-3-1/1</t>
  </si>
  <si>
    <t>Изготовление и установка металлических стоек ограждения, масса стойки до 50 кг</t>
  </si>
  <si>
    <t>шт.</t>
  </si>
  <si>
    <t>СН-2012-2021.5. База. Сб.3-3203-3-1/1</t>
  </si>
  <si>
    <t>СН-2012</t>
  </si>
  <si>
    <t>Подрядные работы, гл. 1-5,7</t>
  </si>
  <si>
    <t>работа</t>
  </si>
  <si>
    <t>1,1</t>
  </si>
  <si>
    <t>21.12-6-5</t>
  </si>
  <si>
    <t>Трубы стальные бесшовные холоднодеформированные из стали марок 10, 20, 30, 45, ГОСТ 8734-75, 8733-74, наружный диаметр 150 мм, толщина стенки 4мм</t>
  </si>
  <si>
    <t>м</t>
  </si>
  <si>
    <t>СН-2012-2021.21. База. Р.12, о.6, поз.5</t>
  </si>
  <si>
    <t>1,2</t>
  </si>
  <si>
    <t>21.12-6-4</t>
  </si>
  <si>
    <t>Трубы стальные бесшовные холоднодеформированные из стали марок 10, 20, 30, 45, ГОСТ 8734-75, 8733-74, наружный диаметр 108 мм, толщина стенки 4мм</t>
  </si>
  <si>
    <t>СН-2012-2021.21. Доп.1. Р.12, о.6, поз.4</t>
  </si>
  <si>
    <t>2</t>
  </si>
  <si>
    <t>1.50-3203-37-3/1</t>
  </si>
  <si>
    <t>Монтаж мелких конструкций из стали различного профиля массой до 100 кг(опорная площадка 22шт)</t>
  </si>
  <si>
    <t>т</t>
  </si>
  <si>
    <t>СН-2012-2021.1. Доп.1. Сб.50-3203-37-3/1</t>
  </si>
  <si>
    <t>2,1</t>
  </si>
  <si>
    <t>21.6-1-52</t>
  </si>
  <si>
    <t>Отдельные конструктивные элементы с преобладанием горячекатаных профилей, средняя масса сборочной единицы от 0,51 до 1,0 т</t>
  </si>
  <si>
    <t>СН-2012-2021.21. Доп.1. Р.6, о.1, поз.52</t>
  </si>
  <si>
    <t>2,2</t>
  </si>
  <si>
    <t>21.1-10-183</t>
  </si>
  <si>
    <t>Сталь толстолистовая, толщина более 4 мм, общего назначения, марка Ст0</t>
  </si>
  <si>
    <t>СН-2012-2021.21. Доп.1. Р.1, о.10, поз.183</t>
  </si>
  <si>
    <t>Материалы</t>
  </si>
  <si>
    <t>Материалы, изделия и конструкции</t>
  </si>
  <si>
    <t>3</t>
  </si>
  <si>
    <t>Монтаж мелких конструкций из стали различного профиля массой до 100 кг(заглушки на стойки,  и косынки  между стойкой и опорной площадкой)</t>
  </si>
  <si>
    <t>3,1</t>
  </si>
  <si>
    <t>3,2</t>
  </si>
  <si>
    <t>Сталь толстолистовая, толщина более 4 мм, общего назначения, марка Ст0(косынки 0,017732 т -22 шт. и заглушки на стойки 0,008866т -22 шт.)</t>
  </si>
  <si>
    <t>4</t>
  </si>
  <si>
    <t>5.3-3203-2-1/1</t>
  </si>
  <si>
    <t>Изготовление и установка секций металлического ограждения, калиток, ворот из профилированной трубы, масса секции до 150 кг</t>
  </si>
  <si>
    <t>м2</t>
  </si>
  <si>
    <t>СН-2012-2021.5. Доп.1. Сб.3-3203-2-1/1</t>
  </si>
  <si>
    <t>4,1</t>
  </si>
  <si>
    <t>21.1-10-28</t>
  </si>
  <si>
    <t>Профили стальные электросварные квадратного сечения трубчатые, размер стороны 40 мм, толщина стенки 2 мм</t>
  </si>
  <si>
    <t>СН-2012-2021.21. Доп.1. Р.1, о.10, поз.28</t>
  </si>
  <si>
    <t>4,2</t>
  </si>
  <si>
    <t>21.1-10-34</t>
  </si>
  <si>
    <t>Профили стальные электросварные квадратного сечения трубчатые, размер стороны 20 мм, толщина стенки 2 мм</t>
  </si>
  <si>
    <t>СН-2012-2021.21. Доп.1. Р.1, о.10, поз.34</t>
  </si>
  <si>
    <t>5</t>
  </si>
  <si>
    <t>1.13-3205-2-2/1</t>
  </si>
  <si>
    <t>Антикоррозионная огрунтовка металлических поверхностей грунтовкой ГФ-021 за один раз</t>
  </si>
  <si>
    <t>100 м2</t>
  </si>
  <si>
    <t>СН-2012-2021.1. База. Сб.13-3205-2-2/1</t>
  </si>
  <si>
    <t>6</t>
  </si>
  <si>
    <t>1.13-3205-4-8/1</t>
  </si>
  <si>
    <t>Антикоррозионная окраска огрунтованных металлических поверхностей эмалями ПФ-115</t>
  </si>
  <si>
    <t>СН-2012-2021.1. База. Сб.13-3205-4-8/1</t>
  </si>
  <si>
    <t>7</t>
  </si>
  <si>
    <t>Изготовление и установка секций металлического ограждения, калиток, ворот из профилированной трубы, масса секции до 150 кг(калитка)</t>
  </si>
  <si>
    <t>7,1</t>
  </si>
  <si>
    <t>7,2</t>
  </si>
  <si>
    <t>8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</si>
  <si>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</si>
  <si>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</si>
  <si>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</si>
  <si>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</si>
  <si>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</si>
  <si>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</si>
  <si>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</si>
  <si>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</si>
  <si>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</si>
  <si>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</si>
  <si>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</si>
  <si>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</si>
  <si>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</si>
  <si>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</si>
  <si>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</si>
  <si>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</si>
  <si>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</si>
  <si>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</si>
  <si>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</si>
  <si>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</si>
  <si>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</si>
  <si>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</si>
  <si>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</si>
  <si>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</si>
  <si>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</si>
  <si>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</si>
  <si>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</si>
  <si>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</si>
  <si>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</si>
  <si>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</si>
  <si>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</si>
  <si>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</si>
  <si>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</si>
  <si>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</si>
  <si>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</si>
  <si>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</si>
  <si>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</si>
  <si>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</si>
  <si>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</si>
  <si>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</si>
  <si>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</si>
  <si>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</si>
  <si>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</si>
  <si>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</si>
  <si>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</si>
  <si>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</si>
  <si>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</si>
  <si>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</si>
  <si>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</si>
  <si>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</si>
  <si>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</si>
  <si>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</si>
  <si>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</si>
  <si>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</si>
  <si>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ит1</t>
  </si>
  <si>
    <t>НДС</t>
  </si>
  <si>
    <t>ит2</t>
  </si>
  <si>
    <t>Всего с НДС</t>
  </si>
  <si>
    <t>НДС 20%</t>
  </si>
  <si>
    <t>Уровень цен на 01.10.2020 г</t>
  </si>
  <si>
    <t>_OBSM_</t>
  </si>
  <si>
    <t>9999990008</t>
  </si>
  <si>
    <t>Трудозатраты рабочих</t>
  </si>
  <si>
    <t>чел.-ч.</t>
  </si>
  <si>
    <t>22.1-13-16</t>
  </si>
  <si>
    <t>СН-2012-2021.22. База. п.1-13-16 (136301)</t>
  </si>
  <si>
    <t>Аппараты для газовой сварки и резки</t>
  </si>
  <si>
    <t>маш.-ч</t>
  </si>
  <si>
    <t>22.1-30-19</t>
  </si>
  <si>
    <t>СН-2012-2021.22. База. п.1-30-19 (305001)</t>
  </si>
  <si>
    <t>Машины шлифовальные электрические</t>
  </si>
  <si>
    <t>22.1-6-21</t>
  </si>
  <si>
    <t>СН-2012-2021.22. База. п.1-6-21 (066701)</t>
  </si>
  <si>
    <t>Бетоносмесители передвижные, емкость до 5 м3</t>
  </si>
  <si>
    <t>22.1-6-52</t>
  </si>
  <si>
    <t>СН-2012-2021.22. База. п.1-6-52 (069402)</t>
  </si>
  <si>
    <t>Вибраторы глубинные</t>
  </si>
  <si>
    <t>22.1-9-1</t>
  </si>
  <si>
    <t>СН-2012-2021.22. База. п.1-9-1 (090101)</t>
  </si>
  <si>
    <t>Машины бурильно-крановые на базе трактора, глубина бурения до 5 м</t>
  </si>
  <si>
    <t>21.1-10-171</t>
  </si>
  <si>
    <t>СН-2012-2021.21. База. Р.1, о.10, поз.171</t>
  </si>
  <si>
    <t>Сталь полосовая, марка Ст1кп-Ст4кп, Ст1пс-Ст6пс, Ст1Гпс-Ст5Гпс, кипящая и полуспокойная,</t>
  </si>
  <si>
    <t>21.1-10-188</t>
  </si>
  <si>
    <t>СН-2012-2021.21. База. Р.1, о.10, поз.188</t>
  </si>
  <si>
    <t>Сталь тонколистовая, толщина до 4 мм, общего назначения, марка БСт1кп-БСт4кп, Ст1пс-Ст5пс, Ст3Гпс-Ст5Гпс</t>
  </si>
  <si>
    <t>21.1-12-11</t>
  </si>
  <si>
    <t>СН-2012-2021.21. База. Р.1, о.12, поз.11</t>
  </si>
  <si>
    <t>Песок для строительных работ, рядовой</t>
  </si>
  <si>
    <t>м3</t>
  </si>
  <si>
    <t>21.1-12-30</t>
  </si>
  <si>
    <t>СН-2012-2021.21. База. Р.1, о.12, поз.30</t>
  </si>
  <si>
    <t>Щебень из естественного камня для строительных работ, марка 600-400, фракция 10-20 мм</t>
  </si>
  <si>
    <t>21.1-2-13</t>
  </si>
  <si>
    <t>СН-2012-2021.21. База. Р.1, о.2, поз.13</t>
  </si>
  <si>
    <t>Цемент общестроительный, портландцемент общего назначения, марка 400</t>
  </si>
  <si>
    <t>21.1-25-13</t>
  </si>
  <si>
    <t>СН-2012-2021.21. База. Р.1, о.25, поз.13</t>
  </si>
  <si>
    <t>Вода</t>
  </si>
  <si>
    <t>21.1-4-10</t>
  </si>
  <si>
    <t>СН-2012-2021.21. База. Р.1, о.4, поз.10</t>
  </si>
  <si>
    <t>Кислород технический газообразный</t>
  </si>
  <si>
    <t>21.1-4-31</t>
  </si>
  <si>
    <t>СН-2012-2021.21. База. Р.1, о.4, поз.31</t>
  </si>
  <si>
    <t>Пропан-бутан газообразный</t>
  </si>
  <si>
    <t>22.1-4-31</t>
  </si>
  <si>
    <t>СН-2012-2021.22. Доп.1. п.1-4-31 (042903)</t>
  </si>
  <si>
    <t>Лебедки электрические, грузоподъемность до 1,5 т</t>
  </si>
  <si>
    <t>21.1-11-21</t>
  </si>
  <si>
    <t>СН-2012-2021.21. Доп.1. Р.1, о.11, поз.21</t>
  </si>
  <si>
    <t>Болты строительные черные с гайками и шайбами (10х100мм)</t>
  </si>
  <si>
    <t>21.1-23-9</t>
  </si>
  <si>
    <t>СН-2012-2021.21. Доп.1. Р.1, о.23, поз.9</t>
  </si>
  <si>
    <t>Электроды, тип Э-42, 46, 50, диаметр 4 - 6 мм</t>
  </si>
  <si>
    <t>22.1-13-15</t>
  </si>
  <si>
    <t>СН-2012-2021.22. Доп.1. п.1-13-15 (136201)</t>
  </si>
  <si>
    <t>Аппараты сварочные</t>
  </si>
  <si>
    <t>СН-2012-2021.22. Доп.1. п.1-30-19 (305001)</t>
  </si>
  <si>
    <t>22.1-30-43</t>
  </si>
  <si>
    <t>СН-2012-2021.22. Доп.1. п.1-30-43 (307501)</t>
  </si>
  <si>
    <t>Станки трубоотрезные</t>
  </si>
  <si>
    <t>СН-2012-2021.21. Доп.1. Р.1, о.10, поз.171</t>
  </si>
  <si>
    <t>21.7-3-6</t>
  </si>
  <si>
    <t>СН-2012-2021.21. Доп.1. Р.7, о.3, поз.6</t>
  </si>
  <si>
    <t>Диск отрезной абразивный для резки по металлу, диаметр 125 мм</t>
  </si>
  <si>
    <t>22.1-10-12</t>
  </si>
  <si>
    <t>СН-2012-2021.22. База. п.1-10-12 (105001)</t>
  </si>
  <si>
    <t>Электрокомпрессоры прицепные, производительность до 3,5 м3/мин</t>
  </si>
  <si>
    <t>22.1-4-12</t>
  </si>
  <si>
    <t>СН-2012-2021.22. База. п.1-4-12 (040205)</t>
  </si>
  <si>
    <t>Погрузчики на автомобильном ходу, грузоподъемность до 5 т</t>
  </si>
  <si>
    <t>22.1-4-30</t>
  </si>
  <si>
    <t>СН-2012-2021.22. База. п.1-4-30 (042901)</t>
  </si>
  <si>
    <t>Лебедки электрические, грузоподъемность до 0,5 т</t>
  </si>
  <si>
    <t>21.1-16-57</t>
  </si>
  <si>
    <t>Ксилол нефтяной, марка А</t>
  </si>
  <si>
    <t>кг</t>
  </si>
  <si>
    <t>21.1-6-12</t>
  </si>
  <si>
    <t>СН-2012-2021.21. База. Р.1, о.6, поз.12</t>
  </si>
  <si>
    <t>Грунтовка глифталевая, ГФ-021</t>
  </si>
  <si>
    <t>21.1-6-114</t>
  </si>
  <si>
    <t>СН-2012-2021.21. База. Р.1, о.6, поз.114</t>
  </si>
  <si>
    <t>Растворитель "Уайт-спирит"</t>
  </si>
  <si>
    <t>21.1-6-139</t>
  </si>
  <si>
    <t>СН-2012-2021.21. База. Р.1, о.6, поз.139</t>
  </si>
  <si>
    <t>Эмаль, марка ПФ-115 (цветная), пентафталевая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</si>
  <si>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</si>
  <si>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</si>
  <si>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</si>
  <si>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</si>
  <si>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</si>
  <si>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</si>
  <si>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</si>
  <si>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</si>
  <si>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</si>
  <si>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</si>
  <si>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</si>
  <si>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</si>
  <si>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</si>
  <si>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</si>
  <si>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</si>
  <si>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</si>
  <si>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</si>
  <si>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</si>
  <si>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</si>
  <si>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</si>
  <si>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</si>
  <si>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</si>
  <si>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</si>
  <si>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</si>
  <si>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</si>
  <si>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</si>
  <si>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</si>
  <si>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</si>
  <si>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</si>
  <si>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МР</t>
  </si>
  <si>
    <t xml:space="preserve">к нр </t>
  </si>
  <si>
    <t>НР от ЗП</t>
  </si>
  <si>
    <t>%</t>
  </si>
  <si>
    <t>СП от ЗП</t>
  </si>
  <si>
    <t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</si>
  <si>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</si>
  <si>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</si>
  <si>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</si>
  <si>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</si>
  <si>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</si>
  <si>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 xml:space="preserve">Заместитель директора
ГКУ «Дирекция ОДОТСЗН г. Москвы»
</t>
  </si>
  <si>
    <t>_______________  Н.А. Никифоров</t>
  </si>
  <si>
    <t>Выполнение работ по текущему ремонту территории в ГБУ ПНИ №16 по адресу:   город Москва, улица Трофимова, дом 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</si>
</sst>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7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0" fillId="0" borderId="0" xfId="0" quotePrefix="1" applyFont="1" applyAlignment="1">
      <alignment horizontal="right" wrapText="1"/>
    </xf>
    <xf numFmtId="166" fontId="0" fillId="0" borderId="0" xfId="0" applyNumberFormat="1"/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0" fontId="8" fillId="0" borderId="0" xfId="0" applyFont="1" applyAlignment="1">
      <alignment vertical="top" wrapText="1"/>
    </xf>
    <xf numFmtId="0" fontId="16" fillId="0" borderId="0" xfId="0" applyFont="1"/>
    <xf numFmtId="0" fontId="10" fillId="0" borderId="1" xfId="0" applyFont="1" applyBorder="1"/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166" fontId="16" fillId="0" borderId="6" xfId="0" applyNumberFormat="1" applyFont="1" applyBorder="1" applyAlignment="1">
      <alignment horizontal="right"/>
    </xf>
    <xf numFmtId="0" fontId="16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9"/>
  <sheetViews>
    <sheetView tabSelected="1" view="pageBreakPreview" zoomScale="60" zoomScaleNormal="100" workbookViewId="0">
      <selection activeCell="A14" sqref="A14:K14"/>
    </sheetView>
  </sheetViews>
  <sheetFormatPr defaultRowHeight="13.2" x14ac:dyDescent="0.25"/>
  <cols>
    <col min="1" max="1" width="5.6640625" customWidth="1"/>
    <col min="2" max="2" width="11.6640625" customWidth="1"/>
    <col min="3" max="3" width="40.6640625" customWidth="1"/>
    <col min="4" max="6" width="11.6640625" customWidth="1"/>
    <col min="7" max="7" width="12.6640625" customWidth="1"/>
    <col min="9" max="11" width="12.6640625" customWidth="1"/>
    <col min="15" max="36" width="0" hidden="1" customWidth="1"/>
  </cols>
  <sheetData>
    <row r="1" spans="1:11" x14ac:dyDescent="0.25">
      <c r="A1" s="8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1" ht="13.8" x14ac:dyDescent="0.25">
      <c r="A2" s="9"/>
      <c r="B2" s="9"/>
      <c r="C2" s="9"/>
      <c r="D2" s="9"/>
      <c r="E2" s="9"/>
      <c r="F2" s="9"/>
      <c r="G2" s="9"/>
      <c r="H2" s="9"/>
      <c r="I2" s="9"/>
      <c r="J2" s="36" t="s">
        <v>227</v>
      </c>
      <c r="K2" s="36"/>
    </row>
    <row r="3" spans="1:11" ht="16.8" x14ac:dyDescent="0.3">
      <c r="A3" s="11"/>
      <c r="B3" s="41" t="s">
        <v>225</v>
      </c>
      <c r="C3" s="41"/>
      <c r="D3" s="41"/>
      <c r="E3" s="41"/>
      <c r="F3" s="10"/>
      <c r="G3" s="41" t="s">
        <v>226</v>
      </c>
      <c r="H3" s="41"/>
      <c r="I3" s="41"/>
      <c r="J3" s="41"/>
      <c r="K3" s="41"/>
    </row>
    <row r="4" spans="1:11" ht="37.799999999999997" customHeight="1" x14ac:dyDescent="0.25">
      <c r="A4" s="10"/>
      <c r="B4" s="34"/>
      <c r="C4" s="34"/>
      <c r="D4" s="34"/>
      <c r="E4" s="34"/>
      <c r="F4" s="10"/>
      <c r="G4" s="54" t="s">
        <v>265</v>
      </c>
      <c r="H4" s="55"/>
      <c r="I4" s="55"/>
      <c r="J4" s="55"/>
      <c r="K4" s="55"/>
    </row>
    <row r="5" spans="1:11" ht="13.8" x14ac:dyDescent="0.25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37.799999999999997" customHeight="1" x14ac:dyDescent="0.25">
      <c r="A6" s="14"/>
      <c r="B6" s="34" t="str">
        <f>CONCATENATE("______________________ ", IF(Source!AL12&lt;&gt;"", Source!AL12, ""))</f>
        <v xml:space="preserve">______________________ </v>
      </c>
      <c r="C6" s="34"/>
      <c r="D6" s="34"/>
      <c r="E6" s="34"/>
      <c r="F6" s="10"/>
      <c r="G6" s="34" t="s">
        <v>266</v>
      </c>
      <c r="H6" s="34"/>
      <c r="I6" s="34"/>
      <c r="J6" s="34"/>
      <c r="K6" s="34"/>
    </row>
    <row r="7" spans="1:11" ht="13.8" x14ac:dyDescent="0.25">
      <c r="A7" s="15"/>
      <c r="B7" s="37" t="s">
        <v>228</v>
      </c>
      <c r="C7" s="37"/>
      <c r="D7" s="37"/>
      <c r="E7" s="37"/>
      <c r="F7" s="10"/>
      <c r="G7" s="37" t="s">
        <v>228</v>
      </c>
      <c r="H7" s="37"/>
      <c r="I7" s="37"/>
      <c r="J7" s="37"/>
      <c r="K7" s="37"/>
    </row>
    <row r="9" spans="1:11" ht="13.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6" x14ac:dyDescent="0.3">
      <c r="A10" s="38" t="str">
        <f>CONCATENATE( "ЛОКАЛЬНАЯ СМЕТА № ",IF(Source!F12&lt;&gt;"Новый объект", Source!F12, ""))</f>
        <v xml:space="preserve">ЛОКАЛЬНАЯ СМЕТА № 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5">
      <c r="A11" s="40" t="s">
        <v>229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3.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36.6" customHeight="1" x14ac:dyDescent="0.3">
      <c r="A14" s="42" t="str">
        <f>IF(Source!G12&lt;&gt;"Новый объект", Source!G12, "")</f>
        <v>Выполнение работ по текущему ремонту территории в ГБУ ПНИ №16 по адресу:   город Москва, улица Трофимова, дом 26.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 x14ac:dyDescent="0.25">
      <c r="A15" s="40" t="s">
        <v>230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3.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ht="13.8" x14ac:dyDescent="0.25">
      <c r="A17" s="44" t="str">
        <f>CONCATENATE( "Основание: чертежи № ", Source!J12)</f>
        <v xml:space="preserve">Основание: чертежи № 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3.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3.8" x14ac:dyDescent="0.25">
      <c r="A19" s="10"/>
      <c r="B19" s="10"/>
      <c r="C19" s="10"/>
      <c r="D19" s="10"/>
      <c r="E19" s="10"/>
      <c r="F19" s="34" t="s">
        <v>231</v>
      </c>
      <c r="G19" s="34"/>
      <c r="H19" s="34"/>
      <c r="I19" s="35">
        <f>(Source!F139/1000)</f>
        <v>599.95553000000007</v>
      </c>
      <c r="J19" s="36"/>
      <c r="K19" s="10" t="s">
        <v>232</v>
      </c>
    </row>
    <row r="20" spans="1:11" ht="13.8" x14ac:dyDescent="0.25">
      <c r="A20" s="10"/>
      <c r="B20" s="10"/>
      <c r="C20" s="10"/>
      <c r="D20" s="10"/>
      <c r="E20" s="10"/>
      <c r="F20" s="34" t="s">
        <v>233</v>
      </c>
      <c r="G20" s="34"/>
      <c r="H20" s="34"/>
      <c r="I20" s="35">
        <f>(Source!F126)/1000</f>
        <v>4.1510100000000003</v>
      </c>
      <c r="J20" s="36"/>
      <c r="K20" s="10" t="s">
        <v>232</v>
      </c>
    </row>
    <row r="21" spans="1:11" ht="13.8" x14ac:dyDescent="0.25">
      <c r="A21" s="10"/>
      <c r="B21" s="10"/>
      <c r="C21" s="10"/>
      <c r="D21" s="10"/>
      <c r="E21" s="10"/>
      <c r="F21" s="34" t="s">
        <v>14</v>
      </c>
      <c r="G21" s="34"/>
      <c r="H21" s="34"/>
      <c r="I21" s="35">
        <f>(Source!F127)/1000</f>
        <v>0</v>
      </c>
      <c r="J21" s="36"/>
      <c r="K21" s="10" t="s">
        <v>232</v>
      </c>
    </row>
    <row r="22" spans="1:11" ht="13.8" x14ac:dyDescent="0.25">
      <c r="A22" s="10"/>
      <c r="B22" s="10"/>
      <c r="C22" s="10"/>
      <c r="D22" s="10"/>
      <c r="E22" s="10"/>
      <c r="F22" s="34" t="s">
        <v>234</v>
      </c>
      <c r="G22" s="34"/>
      <c r="H22" s="34"/>
      <c r="I22" s="35">
        <f>(Source!F118)/1000</f>
        <v>0</v>
      </c>
      <c r="J22" s="36"/>
      <c r="K22" s="10" t="s">
        <v>232</v>
      </c>
    </row>
    <row r="23" spans="1:11" ht="13.8" x14ac:dyDescent="0.25">
      <c r="A23" s="10"/>
      <c r="B23" s="10"/>
      <c r="C23" s="10"/>
      <c r="D23" s="10"/>
      <c r="E23" s="10"/>
      <c r="F23" s="34" t="s">
        <v>235</v>
      </c>
      <c r="G23" s="34"/>
      <c r="H23" s="34"/>
      <c r="I23" s="35">
        <f>(Source!F128+Source!F129)/1000</f>
        <v>495.81193000000002</v>
      </c>
      <c r="J23" s="36"/>
      <c r="K23" s="10" t="s">
        <v>232</v>
      </c>
    </row>
    <row r="24" spans="1:11" ht="13.8" x14ac:dyDescent="0.25">
      <c r="A24" s="10"/>
      <c r="B24" s="10"/>
      <c r="C24" s="10"/>
      <c r="D24" s="10"/>
      <c r="E24" s="10"/>
      <c r="F24" s="34" t="s">
        <v>236</v>
      </c>
      <c r="G24" s="34"/>
      <c r="H24" s="34"/>
      <c r="I24" s="35">
        <f>(Source!F124+ Source!F123)/1000</f>
        <v>175.9254</v>
      </c>
      <c r="J24" s="36"/>
      <c r="K24" s="10" t="s">
        <v>232</v>
      </c>
    </row>
    <row r="25" spans="1:11" ht="13.8" x14ac:dyDescent="0.25">
      <c r="A25" s="10" t="s">
        <v>250</v>
      </c>
      <c r="B25" s="10"/>
      <c r="C25" s="10"/>
      <c r="D25" s="16"/>
      <c r="E25" s="17"/>
      <c r="F25" s="10"/>
      <c r="G25" s="10"/>
      <c r="H25" s="10"/>
      <c r="I25" s="10"/>
      <c r="J25" s="10"/>
      <c r="K25" s="10"/>
    </row>
    <row r="26" spans="1:11" ht="14.4" x14ac:dyDescent="0.25">
      <c r="A26" s="45" t="s">
        <v>237</v>
      </c>
      <c r="B26" s="45" t="s">
        <v>238</v>
      </c>
      <c r="C26" s="45" t="s">
        <v>239</v>
      </c>
      <c r="D26" s="45" t="s">
        <v>240</v>
      </c>
      <c r="E26" s="45" t="s">
        <v>241</v>
      </c>
      <c r="F26" s="45" t="s">
        <v>242</v>
      </c>
      <c r="G26" s="45" t="s">
        <v>243</v>
      </c>
      <c r="H26" s="45" t="s">
        <v>244</v>
      </c>
      <c r="I26" s="45" t="s">
        <v>245</v>
      </c>
      <c r="J26" s="45" t="s">
        <v>246</v>
      </c>
      <c r="K26" s="18" t="s">
        <v>247</v>
      </c>
    </row>
    <row r="27" spans="1:11" ht="27.6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19" t="s">
        <v>248</v>
      </c>
    </row>
    <row r="28" spans="1:11" ht="27.6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19" t="s">
        <v>249</v>
      </c>
    </row>
    <row r="29" spans="1:11" ht="13.8" x14ac:dyDescent="0.25">
      <c r="A29" s="19">
        <v>1</v>
      </c>
      <c r="B29" s="19">
        <v>2</v>
      </c>
      <c r="C29" s="19">
        <v>3</v>
      </c>
      <c r="D29" s="19">
        <v>4</v>
      </c>
      <c r="E29" s="19">
        <v>5</v>
      </c>
      <c r="F29" s="19">
        <v>6</v>
      </c>
      <c r="G29" s="19">
        <v>7</v>
      </c>
      <c r="H29" s="19">
        <v>8</v>
      </c>
      <c r="I29" s="19">
        <v>9</v>
      </c>
      <c r="J29" s="19">
        <v>10</v>
      </c>
      <c r="K29" s="19">
        <v>11</v>
      </c>
    </row>
    <row r="31" spans="1:11" ht="16.8" x14ac:dyDescent="0.3">
      <c r="A31" s="49" t="str">
        <f>CONCATENATE("Локальная смета: ",IF(Source!G20&lt;&gt;"Новая локальная смета", Source!G20, ""))</f>
        <v xml:space="preserve">Локальная смета: 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</row>
    <row r="33" spans="1:22" ht="16.8" x14ac:dyDescent="0.3">
      <c r="A33" s="49" t="str">
        <f>CONCATENATE("Раздел: ",IF(Source!G24&lt;&gt;"Новый раздел", Source!G24, ""))</f>
        <v>Раздел: Монтажные работы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spans="1:22" ht="41.4" x14ac:dyDescent="0.3">
      <c r="A34" s="20" t="str">
        <f>Source!E28</f>
        <v>1</v>
      </c>
      <c r="B34" s="21" t="str">
        <f>Source!F28</f>
        <v>5.3-3203-3-1/1</v>
      </c>
      <c r="C34" s="21" t="str">
        <f>Source!G28</f>
        <v>Изготовление и установка металлических стоек ограждения, масса стойки до 50 кг</v>
      </c>
      <c r="D34" s="22" t="str">
        <f>Source!H28</f>
        <v>шт.</v>
      </c>
      <c r="E34" s="9">
        <f>Source!I28</f>
        <v>22</v>
      </c>
      <c r="F34" s="24"/>
      <c r="G34" s="23"/>
      <c r="H34" s="9"/>
      <c r="I34" s="9"/>
      <c r="J34" s="25"/>
      <c r="K34" s="25"/>
      <c r="Q34">
        <f>ROUND((Source!BZ28/100)*ROUND((Source!AF28*Source!AV28)*Source!I28, 2), 2)</f>
        <v>7967.34</v>
      </c>
      <c r="R34">
        <f>Source!X28</f>
        <v>7967.34</v>
      </c>
      <c r="S34">
        <f>ROUND((Source!CA28/100)*ROUND((Source!AF28*Source!AV28)*Source!I28, 2), 2)</f>
        <v>1138.19</v>
      </c>
      <c r="T34">
        <f>Source!Y28</f>
        <v>1138.19</v>
      </c>
      <c r="U34">
        <f>ROUND((175/100)*ROUND((Source!AE28*Source!AV28)*Source!I28, 2), 2)</f>
        <v>5645.26</v>
      </c>
      <c r="V34">
        <f>ROUND((108/100)*ROUND(Source!CS28*Source!I28, 2), 2)</f>
        <v>3483.93</v>
      </c>
    </row>
    <row r="35" spans="1:22" ht="14.4" x14ac:dyDescent="0.3">
      <c r="A35" s="20"/>
      <c r="B35" s="21"/>
      <c r="C35" s="21" t="s">
        <v>251</v>
      </c>
      <c r="D35" s="22"/>
      <c r="E35" s="9"/>
      <c r="F35" s="24">
        <f>Source!AO28</f>
        <v>517.36</v>
      </c>
      <c r="G35" s="23" t="str">
        <f>Source!DG28</f>
        <v/>
      </c>
      <c r="H35" s="9">
        <f>Source!AV28</f>
        <v>1</v>
      </c>
      <c r="I35" s="9">
        <f>IF(Source!BA28&lt;&gt; 0, Source!BA28, 1)</f>
        <v>1</v>
      </c>
      <c r="J35" s="25">
        <f>Source!S28</f>
        <v>11381.92</v>
      </c>
      <c r="K35" s="25"/>
    </row>
    <row r="36" spans="1:22" ht="14.4" x14ac:dyDescent="0.3">
      <c r="A36" s="20"/>
      <c r="B36" s="21"/>
      <c r="C36" s="21" t="s">
        <v>252</v>
      </c>
      <c r="D36" s="22"/>
      <c r="E36" s="9"/>
      <c r="F36" s="24">
        <f>Source!AM28</f>
        <v>262.64</v>
      </c>
      <c r="G36" s="23" t="str">
        <f>Source!DE28</f>
        <v/>
      </c>
      <c r="H36" s="9">
        <f>Source!AV28</f>
        <v>1</v>
      </c>
      <c r="I36" s="9">
        <f>IF(Source!BB28&lt;&gt; 0, Source!BB28, 1)</f>
        <v>1</v>
      </c>
      <c r="J36" s="25">
        <f>Source!Q28</f>
        <v>5778.08</v>
      </c>
      <c r="K36" s="25"/>
    </row>
    <row r="37" spans="1:22" ht="14.4" x14ac:dyDescent="0.3">
      <c r="A37" s="20"/>
      <c r="B37" s="21"/>
      <c r="C37" s="21" t="s">
        <v>253</v>
      </c>
      <c r="D37" s="22"/>
      <c r="E37" s="9"/>
      <c r="F37" s="24">
        <f>Source!AN28</f>
        <v>146.63</v>
      </c>
      <c r="G37" s="23" t="str">
        <f>Source!DF28</f>
        <v/>
      </c>
      <c r="H37" s="9">
        <f>Source!AV28</f>
        <v>1</v>
      </c>
      <c r="I37" s="9">
        <f>IF(Source!BS28&lt;&gt; 0, Source!BS28, 1)</f>
        <v>1</v>
      </c>
      <c r="J37" s="26">
        <f>Source!R28</f>
        <v>3225.86</v>
      </c>
      <c r="K37" s="25"/>
    </row>
    <row r="38" spans="1:22" ht="14.4" x14ac:dyDescent="0.3">
      <c r="A38" s="20"/>
      <c r="B38" s="21"/>
      <c r="C38" s="21" t="s">
        <v>254</v>
      </c>
      <c r="D38" s="22"/>
      <c r="E38" s="9"/>
      <c r="F38" s="24">
        <f>Source!AL28</f>
        <v>3717.69</v>
      </c>
      <c r="G38" s="23" t="str">
        <f>Source!DD28</f>
        <v/>
      </c>
      <c r="H38" s="9">
        <f>Source!AW28</f>
        <v>1</v>
      </c>
      <c r="I38" s="9">
        <f>IF(Source!BC28&lt;&gt; 0, Source!BC28, 1)</f>
        <v>1</v>
      </c>
      <c r="J38" s="25">
        <f>Source!P28</f>
        <v>81789.179999999993</v>
      </c>
      <c r="K38" s="25"/>
    </row>
    <row r="39" spans="1:22" ht="69" x14ac:dyDescent="0.3">
      <c r="A39" s="20" t="str">
        <f>Source!E29</f>
        <v>1,1</v>
      </c>
      <c r="B39" s="21" t="str">
        <f>Source!F29</f>
        <v>21.12-6-5</v>
      </c>
      <c r="C39" s="21" t="str">
        <f>Source!G29</f>
        <v>Трубы стальные бесшовные холоднодеформированные из стали марок 10, 20, 30, 45, ГОСТ 8734-75, 8733-74, наружный диаметр 150 мм, толщина стенки 4мм</v>
      </c>
      <c r="D39" s="22" t="str">
        <f>Source!H29</f>
        <v>м</v>
      </c>
      <c r="E39" s="9">
        <f>Source!I29</f>
        <v>-55</v>
      </c>
      <c r="F39" s="24">
        <f>Source!AK29</f>
        <v>1312.08</v>
      </c>
      <c r="G39" s="27" t="s">
        <v>255</v>
      </c>
      <c r="H39" s="9">
        <f>Source!AW29</f>
        <v>1</v>
      </c>
      <c r="I39" s="9">
        <f>IF(Source!BC29&lt;&gt; 0, Source!BC29, 1)</f>
        <v>1</v>
      </c>
      <c r="J39" s="25">
        <f>Source!O29</f>
        <v>-72164.399999999994</v>
      </c>
      <c r="K39" s="25"/>
      <c r="Q39">
        <f>ROUND((Source!BZ29/100)*ROUND((Source!AF29*Source!AV29)*Source!I29, 2), 2)</f>
        <v>0</v>
      </c>
      <c r="R39">
        <f>Source!X29</f>
        <v>0</v>
      </c>
      <c r="S39">
        <f>ROUND((Source!CA29/100)*ROUND((Source!AF29*Source!AV29)*Source!I29, 2), 2)</f>
        <v>0</v>
      </c>
      <c r="T39">
        <f>Source!Y29</f>
        <v>0</v>
      </c>
      <c r="U39">
        <f>ROUND((175/100)*ROUND((Source!AE29*Source!AV29)*Source!I29, 2), 2)</f>
        <v>0</v>
      </c>
      <c r="V39">
        <f>ROUND((108/100)*ROUND(Source!CS29*Source!I29, 2), 2)</f>
        <v>0</v>
      </c>
    </row>
    <row r="40" spans="1:22" ht="69" x14ac:dyDescent="0.3">
      <c r="A40" s="20" t="str">
        <f>Source!E30</f>
        <v>1,2</v>
      </c>
      <c r="B40" s="21" t="str">
        <f>Source!F30</f>
        <v>21.12-6-4</v>
      </c>
      <c r="C40" s="21" t="str">
        <f>Source!G30</f>
        <v>Трубы стальные бесшовные холоднодеформированные из стали марок 10, 20, 30, 45, ГОСТ 8734-75, 8733-74, наружный диаметр 108 мм, толщина стенки 4мм</v>
      </c>
      <c r="D40" s="22" t="str">
        <f>Source!H30</f>
        <v>м</v>
      </c>
      <c r="E40" s="9">
        <f>Source!I30</f>
        <v>47.3</v>
      </c>
      <c r="F40" s="24">
        <f>Source!AK30</f>
        <v>927.29</v>
      </c>
      <c r="G40" s="27" t="s">
        <v>255</v>
      </c>
      <c r="H40" s="9">
        <f>Source!AW30</f>
        <v>1</v>
      </c>
      <c r="I40" s="9">
        <f>IF(Source!BC30&lt;&gt; 0, Source!BC30, 1)</f>
        <v>1</v>
      </c>
      <c r="J40" s="25">
        <f>Source!O30</f>
        <v>43860.82</v>
      </c>
      <c r="K40" s="25"/>
      <c r="Q40">
        <f>ROUND((Source!BZ30/100)*ROUND((Source!AF30*Source!AV30)*Source!I30, 2), 2)</f>
        <v>0</v>
      </c>
      <c r="R40">
        <f>Source!X30</f>
        <v>0</v>
      </c>
      <c r="S40">
        <f>ROUND((Source!CA30/100)*ROUND((Source!AF30*Source!AV30)*Source!I30, 2), 2)</f>
        <v>0</v>
      </c>
      <c r="T40">
        <f>Source!Y30</f>
        <v>0</v>
      </c>
      <c r="U40">
        <f>ROUND((175/100)*ROUND((Source!AE30*Source!AV30)*Source!I30, 2), 2)</f>
        <v>0</v>
      </c>
      <c r="V40">
        <f>ROUND((108/100)*ROUND(Source!CS30*Source!I30, 2), 2)</f>
        <v>0</v>
      </c>
    </row>
    <row r="41" spans="1:22" ht="14.4" x14ac:dyDescent="0.3">
      <c r="A41" s="20"/>
      <c r="B41" s="21"/>
      <c r="C41" s="21" t="s">
        <v>256</v>
      </c>
      <c r="D41" s="22" t="s">
        <v>257</v>
      </c>
      <c r="E41" s="9">
        <f>Source!AT28</f>
        <v>70</v>
      </c>
      <c r="F41" s="24"/>
      <c r="G41" s="23"/>
      <c r="H41" s="9"/>
      <c r="I41" s="9"/>
      <c r="J41" s="25">
        <f>SUM(R34:R40)</f>
        <v>7967.34</v>
      </c>
      <c r="K41" s="25"/>
    </row>
    <row r="42" spans="1:22" ht="14.4" x14ac:dyDescent="0.3">
      <c r="A42" s="20"/>
      <c r="B42" s="21"/>
      <c r="C42" s="21" t="s">
        <v>258</v>
      </c>
      <c r="D42" s="22" t="s">
        <v>257</v>
      </c>
      <c r="E42" s="9">
        <f>Source!AU28</f>
        <v>10</v>
      </c>
      <c r="F42" s="24"/>
      <c r="G42" s="23"/>
      <c r="H42" s="9"/>
      <c r="I42" s="9"/>
      <c r="J42" s="25">
        <f>SUM(T34:T41)</f>
        <v>1138.19</v>
      </c>
      <c r="K42" s="25"/>
    </row>
    <row r="43" spans="1:22" ht="14.4" x14ac:dyDescent="0.3">
      <c r="A43" s="20"/>
      <c r="B43" s="21"/>
      <c r="C43" s="21" t="s">
        <v>259</v>
      </c>
      <c r="D43" s="22" t="s">
        <v>257</v>
      </c>
      <c r="E43" s="9">
        <f>108</f>
        <v>108</v>
      </c>
      <c r="F43" s="24"/>
      <c r="G43" s="23"/>
      <c r="H43" s="9"/>
      <c r="I43" s="9"/>
      <c r="J43" s="25">
        <f>SUM(V34:V42)</f>
        <v>3483.93</v>
      </c>
      <c r="K43" s="25"/>
    </row>
    <row r="44" spans="1:22" ht="14.4" x14ac:dyDescent="0.3">
      <c r="A44" s="20"/>
      <c r="B44" s="21"/>
      <c r="C44" s="21" t="s">
        <v>260</v>
      </c>
      <c r="D44" s="22" t="s">
        <v>261</v>
      </c>
      <c r="E44" s="9">
        <f>Source!AQ28</f>
        <v>2.38</v>
      </c>
      <c r="F44" s="24"/>
      <c r="G44" s="23" t="str">
        <f>Source!DI28</f>
        <v/>
      </c>
      <c r="H44" s="9">
        <f>Source!AV28</f>
        <v>1</v>
      </c>
      <c r="I44" s="9"/>
      <c r="J44" s="25"/>
      <c r="K44" s="25">
        <f>Source!U28</f>
        <v>52.36</v>
      </c>
    </row>
    <row r="45" spans="1:22" ht="13.8" x14ac:dyDescent="0.25">
      <c r="A45" s="29"/>
      <c r="B45" s="29"/>
      <c r="C45" s="29"/>
      <c r="D45" s="29"/>
      <c r="E45" s="29"/>
      <c r="F45" s="29"/>
      <c r="G45" s="29"/>
      <c r="H45" s="29"/>
      <c r="I45" s="50">
        <f>J35+J36+J38+J41+J42+J43+SUM(J39:J40)</f>
        <v>83235.06</v>
      </c>
      <c r="J45" s="50"/>
      <c r="K45" s="30">
        <f>IF(Source!I28&lt;&gt;0, ROUND(I45/Source!I28, 2), 0)</f>
        <v>3783.41</v>
      </c>
      <c r="P45" s="28">
        <f>I45</f>
        <v>83235.06</v>
      </c>
    </row>
    <row r="46" spans="1:22" ht="41.4" x14ac:dyDescent="0.3">
      <c r="A46" s="20" t="str">
        <f>Source!E31</f>
        <v>2</v>
      </c>
      <c r="B46" s="21" t="str">
        <f>Source!F31</f>
        <v>1.50-3203-37-3/1</v>
      </c>
      <c r="C46" s="21" t="str">
        <f>Source!G31</f>
        <v>Монтаж мелких конструкций из стали различного профиля массой до 100 кг(опорная площадка 22шт)</v>
      </c>
      <c r="D46" s="22" t="str">
        <f>Source!H31</f>
        <v>т</v>
      </c>
      <c r="E46" s="9">
        <f>Source!I31</f>
        <v>7.7813999999999994E-2</v>
      </c>
      <c r="F46" s="24"/>
      <c r="G46" s="23"/>
      <c r="H46" s="9"/>
      <c r="I46" s="9"/>
      <c r="J46" s="25"/>
      <c r="K46" s="25"/>
      <c r="Q46">
        <f>ROUND((Source!BZ31/100)*ROUND((Source!AF31*Source!AV31)*Source!I31, 2), 2)</f>
        <v>1225.06</v>
      </c>
      <c r="R46">
        <f>Source!X31</f>
        <v>1225.06</v>
      </c>
      <c r="S46">
        <f>ROUND((Source!CA31/100)*ROUND((Source!AF31*Source!AV31)*Source!I31, 2), 2)</f>
        <v>175.01</v>
      </c>
      <c r="T46">
        <f>Source!Y31</f>
        <v>175.01</v>
      </c>
      <c r="U46">
        <f>ROUND((175/100)*ROUND((Source!AE31*Source!AV31)*Source!I31, 2), 2)</f>
        <v>3.5</v>
      </c>
      <c r="V46">
        <f>ROUND((108/100)*ROUND(Source!CS31*Source!I31, 2), 2)</f>
        <v>2.16</v>
      </c>
    </row>
    <row r="47" spans="1:22" ht="14.4" x14ac:dyDescent="0.3">
      <c r="A47" s="20"/>
      <c r="B47" s="21"/>
      <c r="C47" s="21" t="s">
        <v>251</v>
      </c>
      <c r="D47" s="22"/>
      <c r="E47" s="9"/>
      <c r="F47" s="24">
        <f>Source!AO31</f>
        <v>22490.639999999999</v>
      </c>
      <c r="G47" s="23" t="str">
        <f>Source!DG31</f>
        <v/>
      </c>
      <c r="H47" s="9">
        <f>Source!AV31</f>
        <v>1</v>
      </c>
      <c r="I47" s="9">
        <f>IF(Source!BA31&lt;&gt; 0, Source!BA31, 1)</f>
        <v>1</v>
      </c>
      <c r="J47" s="25">
        <f>Source!S31</f>
        <v>1750.09</v>
      </c>
      <c r="K47" s="25"/>
    </row>
    <row r="48" spans="1:22" ht="14.4" x14ac:dyDescent="0.3">
      <c r="A48" s="20"/>
      <c r="B48" s="21"/>
      <c r="C48" s="21" t="s">
        <v>252</v>
      </c>
      <c r="D48" s="22"/>
      <c r="E48" s="9"/>
      <c r="F48" s="24">
        <f>Source!AM31</f>
        <v>589</v>
      </c>
      <c r="G48" s="23" t="str">
        <f>Source!DE31</f>
        <v/>
      </c>
      <c r="H48" s="9">
        <f>Source!AV31</f>
        <v>1</v>
      </c>
      <c r="I48" s="9">
        <f>IF(Source!BB31&lt;&gt; 0, Source!BB31, 1)</f>
        <v>1</v>
      </c>
      <c r="J48" s="25">
        <f>Source!Q31</f>
        <v>45.83</v>
      </c>
      <c r="K48" s="25"/>
    </row>
    <row r="49" spans="1:22" ht="14.4" x14ac:dyDescent="0.3">
      <c r="A49" s="20"/>
      <c r="B49" s="21"/>
      <c r="C49" s="21" t="s">
        <v>253</v>
      </c>
      <c r="D49" s="22"/>
      <c r="E49" s="9"/>
      <c r="F49" s="24">
        <f>Source!AN31</f>
        <v>25.65</v>
      </c>
      <c r="G49" s="23" t="str">
        <f>Source!DF31</f>
        <v/>
      </c>
      <c r="H49" s="9">
        <f>Source!AV31</f>
        <v>1</v>
      </c>
      <c r="I49" s="9">
        <f>IF(Source!BS31&lt;&gt; 0, Source!BS31, 1)</f>
        <v>1</v>
      </c>
      <c r="J49" s="26">
        <f>Source!R31</f>
        <v>2</v>
      </c>
      <c r="K49" s="25"/>
    </row>
    <row r="50" spans="1:22" ht="14.4" x14ac:dyDescent="0.3">
      <c r="A50" s="20"/>
      <c r="B50" s="21"/>
      <c r="C50" s="21" t="s">
        <v>254</v>
      </c>
      <c r="D50" s="22"/>
      <c r="E50" s="9"/>
      <c r="F50" s="24">
        <f>Source!AL31</f>
        <v>75528.429999999993</v>
      </c>
      <c r="G50" s="23" t="str">
        <f>Source!DD31</f>
        <v/>
      </c>
      <c r="H50" s="9">
        <f>Source!AW31</f>
        <v>1</v>
      </c>
      <c r="I50" s="9">
        <f>IF(Source!BC31&lt;&gt; 0, Source!BC31, 1)</f>
        <v>1</v>
      </c>
      <c r="J50" s="25">
        <f>Source!P31</f>
        <v>5877.17</v>
      </c>
      <c r="K50" s="25"/>
    </row>
    <row r="51" spans="1:22" ht="55.2" x14ac:dyDescent="0.3">
      <c r="A51" s="20" t="str">
        <f>Source!E32</f>
        <v>2,1</v>
      </c>
      <c r="B51" s="21" t="str">
        <f>Source!F32</f>
        <v>21.6-1-52</v>
      </c>
      <c r="C51" s="21" t="str">
        <f>Source!G32</f>
        <v>Отдельные конструктивные элементы с преобладанием горячекатаных профилей, средняя масса сборочной единицы от 0,51 до 1,0 т</v>
      </c>
      <c r="D51" s="22" t="str">
        <f>Source!H32</f>
        <v>т</v>
      </c>
      <c r="E51" s="9">
        <f>Source!I32</f>
        <v>-7.7813999999999994E-2</v>
      </c>
      <c r="F51" s="24">
        <f>Source!AK32</f>
        <v>75026.559999999998</v>
      </c>
      <c r="G51" s="27" t="s">
        <v>255</v>
      </c>
      <c r="H51" s="9">
        <f>Source!AW32</f>
        <v>1</v>
      </c>
      <c r="I51" s="9">
        <f>IF(Source!BC32&lt;&gt; 0, Source!BC32, 1)</f>
        <v>1</v>
      </c>
      <c r="J51" s="25">
        <f>Source!O32</f>
        <v>-5838.12</v>
      </c>
      <c r="K51" s="25"/>
      <c r="Q51">
        <f>ROUND((Source!BZ32/100)*ROUND((Source!AF32*Source!AV32)*Source!I32, 2), 2)</f>
        <v>0</v>
      </c>
      <c r="R51">
        <f>Source!X32</f>
        <v>0</v>
      </c>
      <c r="S51">
        <f>ROUND((Source!CA32/100)*ROUND((Source!AF32*Source!AV32)*Source!I32, 2), 2)</f>
        <v>0</v>
      </c>
      <c r="T51">
        <f>Source!Y32</f>
        <v>0</v>
      </c>
      <c r="U51">
        <f>ROUND((175/100)*ROUND((Source!AE32*Source!AV32)*Source!I32, 2), 2)</f>
        <v>0</v>
      </c>
      <c r="V51">
        <f>ROUND((108/100)*ROUND(Source!CS32*Source!I32, 2), 2)</f>
        <v>0</v>
      </c>
    </row>
    <row r="52" spans="1:22" ht="27.6" x14ac:dyDescent="0.3">
      <c r="A52" s="20" t="str">
        <f>Source!E33</f>
        <v>2,2</v>
      </c>
      <c r="B52" s="21" t="str">
        <f>Source!F33</f>
        <v>21.1-10-183</v>
      </c>
      <c r="C52" s="21" t="str">
        <f>Source!G33</f>
        <v>Сталь толстолистовая, толщина более 4 мм, общего назначения, марка Ст0</v>
      </c>
      <c r="D52" s="22" t="str">
        <f>Source!H33</f>
        <v>т</v>
      </c>
      <c r="E52" s="9">
        <f>Source!I33</f>
        <v>7.7813999999999994E-2</v>
      </c>
      <c r="F52" s="24">
        <f>Source!AK33</f>
        <v>39756.050000000003</v>
      </c>
      <c r="G52" s="27" t="s">
        <v>255</v>
      </c>
      <c r="H52" s="9">
        <f>Source!AW33</f>
        <v>1</v>
      </c>
      <c r="I52" s="9">
        <f>IF(Source!BC33&lt;&gt; 0, Source!BC33, 1)</f>
        <v>1</v>
      </c>
      <c r="J52" s="25">
        <f>Source!O33</f>
        <v>3093.58</v>
      </c>
      <c r="K52" s="25"/>
      <c r="Q52">
        <f>ROUND((Source!BZ33/100)*ROUND((Source!AF33*Source!AV33)*Source!I33, 2), 2)</f>
        <v>0</v>
      </c>
      <c r="R52">
        <f>Source!X33</f>
        <v>0</v>
      </c>
      <c r="S52">
        <f>ROUND((Source!CA33/100)*ROUND((Source!AF33*Source!AV33)*Source!I33, 2), 2)</f>
        <v>0</v>
      </c>
      <c r="T52">
        <f>Source!Y33</f>
        <v>0</v>
      </c>
      <c r="U52">
        <f>ROUND((175/100)*ROUND((Source!AE33*Source!AV33)*Source!I33, 2), 2)</f>
        <v>0</v>
      </c>
      <c r="V52">
        <f>ROUND((108/100)*ROUND(Source!CS33*Source!I33, 2), 2)</f>
        <v>0</v>
      </c>
    </row>
    <row r="53" spans="1:22" ht="14.4" x14ac:dyDescent="0.3">
      <c r="A53" s="20"/>
      <c r="B53" s="21"/>
      <c r="C53" s="21" t="s">
        <v>256</v>
      </c>
      <c r="D53" s="22" t="s">
        <v>257</v>
      </c>
      <c r="E53" s="9">
        <f>Source!AT31</f>
        <v>70</v>
      </c>
      <c r="F53" s="24"/>
      <c r="G53" s="23"/>
      <c r="H53" s="9"/>
      <c r="I53" s="9"/>
      <c r="J53" s="25">
        <f>SUM(R46:R52)</f>
        <v>1225.06</v>
      </c>
      <c r="K53" s="25"/>
    </row>
    <row r="54" spans="1:22" ht="14.4" x14ac:dyDescent="0.3">
      <c r="A54" s="20"/>
      <c r="B54" s="21"/>
      <c r="C54" s="21" t="s">
        <v>258</v>
      </c>
      <c r="D54" s="22" t="s">
        <v>257</v>
      </c>
      <c r="E54" s="9">
        <f>Source!AU31</f>
        <v>10</v>
      </c>
      <c r="F54" s="24"/>
      <c r="G54" s="23"/>
      <c r="H54" s="9"/>
      <c r="I54" s="9"/>
      <c r="J54" s="25">
        <f>SUM(T46:T53)</f>
        <v>175.01</v>
      </c>
      <c r="K54" s="25"/>
    </row>
    <row r="55" spans="1:22" ht="14.4" x14ac:dyDescent="0.3">
      <c r="A55" s="20"/>
      <c r="B55" s="21"/>
      <c r="C55" s="21" t="s">
        <v>259</v>
      </c>
      <c r="D55" s="22" t="s">
        <v>257</v>
      </c>
      <c r="E55" s="9">
        <f>108</f>
        <v>108</v>
      </c>
      <c r="F55" s="24"/>
      <c r="G55" s="23"/>
      <c r="H55" s="9"/>
      <c r="I55" s="9"/>
      <c r="J55" s="25">
        <f>SUM(V46:V54)</f>
        <v>2.16</v>
      </c>
      <c r="K55" s="25"/>
    </row>
    <row r="56" spans="1:22" ht="14.4" x14ac:dyDescent="0.3">
      <c r="A56" s="20"/>
      <c r="B56" s="21"/>
      <c r="C56" s="21" t="s">
        <v>260</v>
      </c>
      <c r="D56" s="22" t="s">
        <v>261</v>
      </c>
      <c r="E56" s="9">
        <f>Source!AQ31</f>
        <v>87.4</v>
      </c>
      <c r="F56" s="24"/>
      <c r="G56" s="23" t="str">
        <f>Source!DI31</f>
        <v/>
      </c>
      <c r="H56" s="9">
        <f>Source!AV31</f>
        <v>1</v>
      </c>
      <c r="I56" s="9"/>
      <c r="J56" s="25"/>
      <c r="K56" s="25">
        <f>Source!U31</f>
        <v>6.8009436000000001</v>
      </c>
    </row>
    <row r="57" spans="1:22" ht="13.8" x14ac:dyDescent="0.25">
      <c r="A57" s="29"/>
      <c r="B57" s="29"/>
      <c r="C57" s="29"/>
      <c r="D57" s="29"/>
      <c r="E57" s="29"/>
      <c r="F57" s="29"/>
      <c r="G57" s="29"/>
      <c r="H57" s="29"/>
      <c r="I57" s="50">
        <f>J47+J48+J50+J53+J54+J55+SUM(J51:J52)</f>
        <v>6330.78</v>
      </c>
      <c r="J57" s="50"/>
      <c r="K57" s="30">
        <f>IF(Source!I31&lt;&gt;0, ROUND(I57/Source!I31, 2), 0)</f>
        <v>81357.850000000006</v>
      </c>
      <c r="P57" s="28">
        <f>I57</f>
        <v>6330.78</v>
      </c>
    </row>
    <row r="58" spans="1:22" ht="55.2" x14ac:dyDescent="0.3">
      <c r="A58" s="20" t="str">
        <f>Source!E34</f>
        <v>3</v>
      </c>
      <c r="B58" s="21" t="str">
        <f>Source!F34</f>
        <v>1.50-3203-37-3/1</v>
      </c>
      <c r="C58" s="21" t="str">
        <f>Source!G34</f>
        <v>Монтаж мелких конструкций из стали различного профиля массой до 100 кг(заглушки на стойки,  и косынки  между стойкой и опорной площадкой)</v>
      </c>
      <c r="D58" s="22" t="str">
        <f>Source!H34</f>
        <v>т</v>
      </c>
      <c r="E58" s="9">
        <f>Source!I34</f>
        <v>2.6598E-2</v>
      </c>
      <c r="F58" s="24"/>
      <c r="G58" s="23"/>
      <c r="H58" s="9"/>
      <c r="I58" s="9"/>
      <c r="J58" s="25"/>
      <c r="K58" s="25"/>
      <c r="Q58">
        <f>ROUND((Source!BZ34/100)*ROUND((Source!AF34*Source!AV34)*Source!I34, 2), 2)</f>
        <v>418.75</v>
      </c>
      <c r="R58">
        <f>Source!X34</f>
        <v>418.75</v>
      </c>
      <c r="S58">
        <f>ROUND((Source!CA34/100)*ROUND((Source!AF34*Source!AV34)*Source!I34, 2), 2)</f>
        <v>59.82</v>
      </c>
      <c r="T58">
        <f>Source!Y34</f>
        <v>59.82</v>
      </c>
      <c r="U58">
        <f>ROUND((175/100)*ROUND((Source!AE34*Source!AV34)*Source!I34, 2), 2)</f>
        <v>1.19</v>
      </c>
      <c r="V58">
        <f>ROUND((108/100)*ROUND(Source!CS34*Source!I34, 2), 2)</f>
        <v>0.73</v>
      </c>
    </row>
    <row r="59" spans="1:22" ht="14.4" x14ac:dyDescent="0.3">
      <c r="A59" s="20"/>
      <c r="B59" s="21"/>
      <c r="C59" s="21" t="s">
        <v>251</v>
      </c>
      <c r="D59" s="22"/>
      <c r="E59" s="9"/>
      <c r="F59" s="24">
        <f>Source!AO34</f>
        <v>22490.639999999999</v>
      </c>
      <c r="G59" s="23" t="str">
        <f>Source!DG34</f>
        <v/>
      </c>
      <c r="H59" s="9">
        <f>Source!AV34</f>
        <v>1</v>
      </c>
      <c r="I59" s="9">
        <f>IF(Source!BA34&lt;&gt; 0, Source!BA34, 1)</f>
        <v>1</v>
      </c>
      <c r="J59" s="25">
        <f>Source!S34</f>
        <v>598.21</v>
      </c>
      <c r="K59" s="25"/>
    </row>
    <row r="60" spans="1:22" ht="14.4" x14ac:dyDescent="0.3">
      <c r="A60" s="20"/>
      <c r="B60" s="21"/>
      <c r="C60" s="21" t="s">
        <v>252</v>
      </c>
      <c r="D60" s="22"/>
      <c r="E60" s="9"/>
      <c r="F60" s="24">
        <f>Source!AM34</f>
        <v>589</v>
      </c>
      <c r="G60" s="23" t="str">
        <f>Source!DE34</f>
        <v/>
      </c>
      <c r="H60" s="9">
        <f>Source!AV34</f>
        <v>1</v>
      </c>
      <c r="I60" s="9">
        <f>IF(Source!BB34&lt;&gt; 0, Source!BB34, 1)</f>
        <v>1</v>
      </c>
      <c r="J60" s="25">
        <f>Source!Q34</f>
        <v>15.67</v>
      </c>
      <c r="K60" s="25"/>
    </row>
    <row r="61" spans="1:22" ht="14.4" x14ac:dyDescent="0.3">
      <c r="A61" s="20"/>
      <c r="B61" s="21"/>
      <c r="C61" s="21" t="s">
        <v>253</v>
      </c>
      <c r="D61" s="22"/>
      <c r="E61" s="9"/>
      <c r="F61" s="24">
        <f>Source!AN34</f>
        <v>25.65</v>
      </c>
      <c r="G61" s="23" t="str">
        <f>Source!DF34</f>
        <v/>
      </c>
      <c r="H61" s="9">
        <f>Source!AV34</f>
        <v>1</v>
      </c>
      <c r="I61" s="9">
        <f>IF(Source!BS34&lt;&gt; 0, Source!BS34, 1)</f>
        <v>1</v>
      </c>
      <c r="J61" s="26">
        <f>Source!R34</f>
        <v>0.68</v>
      </c>
      <c r="K61" s="25"/>
    </row>
    <row r="62" spans="1:22" ht="14.4" x14ac:dyDescent="0.3">
      <c r="A62" s="20"/>
      <c r="B62" s="21"/>
      <c r="C62" s="21" t="s">
        <v>254</v>
      </c>
      <c r="D62" s="22"/>
      <c r="E62" s="9"/>
      <c r="F62" s="24">
        <f>Source!AL34</f>
        <v>75528.429999999993</v>
      </c>
      <c r="G62" s="23" t="str">
        <f>Source!DD34</f>
        <v/>
      </c>
      <c r="H62" s="9">
        <f>Source!AW34</f>
        <v>1</v>
      </c>
      <c r="I62" s="9">
        <f>IF(Source!BC34&lt;&gt; 0, Source!BC34, 1)</f>
        <v>1</v>
      </c>
      <c r="J62" s="25">
        <f>Source!P34</f>
        <v>2008.91</v>
      </c>
      <c r="K62" s="25"/>
    </row>
    <row r="63" spans="1:22" ht="55.2" x14ac:dyDescent="0.3">
      <c r="A63" s="20" t="str">
        <f>Source!E35</f>
        <v>3,1</v>
      </c>
      <c r="B63" s="21" t="str">
        <f>Source!F35</f>
        <v>21.6-1-52</v>
      </c>
      <c r="C63" s="21" t="str">
        <f>Source!G35</f>
        <v>Отдельные конструктивные элементы с преобладанием горячекатаных профилей, средняя масса сборочной единицы от 0,51 до 1,0 т</v>
      </c>
      <c r="D63" s="22" t="str">
        <f>Source!H35</f>
        <v>т</v>
      </c>
      <c r="E63" s="9">
        <f>Source!I35</f>
        <v>-2.6598E-2</v>
      </c>
      <c r="F63" s="24">
        <f>Source!AK35</f>
        <v>75026.559999999998</v>
      </c>
      <c r="G63" s="27" t="s">
        <v>255</v>
      </c>
      <c r="H63" s="9">
        <f>Source!AW35</f>
        <v>1</v>
      </c>
      <c r="I63" s="9">
        <f>IF(Source!BC35&lt;&gt; 0, Source!BC35, 1)</f>
        <v>1</v>
      </c>
      <c r="J63" s="25">
        <f>Source!O35</f>
        <v>-1995.56</v>
      </c>
      <c r="K63" s="25"/>
      <c r="Q63">
        <f>ROUND((Source!BZ35/100)*ROUND((Source!AF35*Source!AV35)*Source!I35, 2), 2)</f>
        <v>0</v>
      </c>
      <c r="R63">
        <f>Source!X35</f>
        <v>0</v>
      </c>
      <c r="S63">
        <f>ROUND((Source!CA35/100)*ROUND((Source!AF35*Source!AV35)*Source!I35, 2), 2)</f>
        <v>0</v>
      </c>
      <c r="T63">
        <f>Source!Y35</f>
        <v>0</v>
      </c>
      <c r="U63">
        <f>ROUND((175/100)*ROUND((Source!AE35*Source!AV35)*Source!I35, 2), 2)</f>
        <v>0</v>
      </c>
      <c r="V63">
        <f>ROUND((108/100)*ROUND(Source!CS35*Source!I35, 2), 2)</f>
        <v>0</v>
      </c>
    </row>
    <row r="64" spans="1:22" ht="55.2" x14ac:dyDescent="0.3">
      <c r="A64" s="20" t="str">
        <f>Source!E36</f>
        <v>3,2</v>
      </c>
      <c r="B64" s="21" t="str">
        <f>Source!F36</f>
        <v>21.1-10-183</v>
      </c>
      <c r="C64" s="21" t="str">
        <f>Source!G36</f>
        <v>Сталь толстолистовая, толщина более 4 мм, общего назначения, марка Ст0(косынки 0,017732 т -22 шт. и заглушки на стойки 0,008866т -22 шт.)</v>
      </c>
      <c r="D64" s="22" t="str">
        <f>Source!H36</f>
        <v>т</v>
      </c>
      <c r="E64" s="9">
        <f>Source!I36</f>
        <v>2.6598E-2</v>
      </c>
      <c r="F64" s="24">
        <f>Source!AK36</f>
        <v>39756.050000000003</v>
      </c>
      <c r="G64" s="27" t="s">
        <v>255</v>
      </c>
      <c r="H64" s="9">
        <f>Source!AW36</f>
        <v>1</v>
      </c>
      <c r="I64" s="9">
        <f>IF(Source!BC36&lt;&gt; 0, Source!BC36, 1)</f>
        <v>1</v>
      </c>
      <c r="J64" s="25">
        <f>Source!O36</f>
        <v>1057.43</v>
      </c>
      <c r="K64" s="25"/>
      <c r="Q64">
        <f>ROUND((Source!BZ36/100)*ROUND((Source!AF36*Source!AV36)*Source!I36, 2), 2)</f>
        <v>0</v>
      </c>
      <c r="R64">
        <f>Source!X36</f>
        <v>0</v>
      </c>
      <c r="S64">
        <f>ROUND((Source!CA36/100)*ROUND((Source!AF36*Source!AV36)*Source!I36, 2), 2)</f>
        <v>0</v>
      </c>
      <c r="T64">
        <f>Source!Y36</f>
        <v>0</v>
      </c>
      <c r="U64">
        <f>ROUND((175/100)*ROUND((Source!AE36*Source!AV36)*Source!I36, 2), 2)</f>
        <v>0</v>
      </c>
      <c r="V64">
        <f>ROUND((108/100)*ROUND(Source!CS36*Source!I36, 2), 2)</f>
        <v>0</v>
      </c>
    </row>
    <row r="65" spans="1:22" ht="14.4" x14ac:dyDescent="0.3">
      <c r="A65" s="20"/>
      <c r="B65" s="21"/>
      <c r="C65" s="21" t="s">
        <v>256</v>
      </c>
      <c r="D65" s="22" t="s">
        <v>257</v>
      </c>
      <c r="E65" s="9">
        <f>Source!AT34</f>
        <v>70</v>
      </c>
      <c r="F65" s="24"/>
      <c r="G65" s="23"/>
      <c r="H65" s="9"/>
      <c r="I65" s="9"/>
      <c r="J65" s="25">
        <f>SUM(R58:R64)</f>
        <v>418.75</v>
      </c>
      <c r="K65" s="25"/>
    </row>
    <row r="66" spans="1:22" ht="14.4" x14ac:dyDescent="0.3">
      <c r="A66" s="20"/>
      <c r="B66" s="21"/>
      <c r="C66" s="21" t="s">
        <v>258</v>
      </c>
      <c r="D66" s="22" t="s">
        <v>257</v>
      </c>
      <c r="E66" s="9">
        <f>Source!AU34</f>
        <v>10</v>
      </c>
      <c r="F66" s="24"/>
      <c r="G66" s="23"/>
      <c r="H66" s="9"/>
      <c r="I66" s="9"/>
      <c r="J66" s="25">
        <f>SUM(T58:T65)</f>
        <v>59.82</v>
      </c>
      <c r="K66" s="25"/>
    </row>
    <row r="67" spans="1:22" ht="14.4" x14ac:dyDescent="0.3">
      <c r="A67" s="20"/>
      <c r="B67" s="21"/>
      <c r="C67" s="21" t="s">
        <v>259</v>
      </c>
      <c r="D67" s="22" t="s">
        <v>257</v>
      </c>
      <c r="E67" s="9">
        <f>108</f>
        <v>108</v>
      </c>
      <c r="F67" s="24"/>
      <c r="G67" s="23"/>
      <c r="H67" s="9"/>
      <c r="I67" s="9"/>
      <c r="J67" s="25">
        <f>SUM(V58:V66)</f>
        <v>0.73</v>
      </c>
      <c r="K67" s="25"/>
    </row>
    <row r="68" spans="1:22" ht="14.4" x14ac:dyDescent="0.3">
      <c r="A68" s="20"/>
      <c r="B68" s="21"/>
      <c r="C68" s="21" t="s">
        <v>260</v>
      </c>
      <c r="D68" s="22" t="s">
        <v>261</v>
      </c>
      <c r="E68" s="9">
        <f>Source!AQ34</f>
        <v>87.4</v>
      </c>
      <c r="F68" s="24"/>
      <c r="G68" s="23" t="str">
        <f>Source!DI34</f>
        <v/>
      </c>
      <c r="H68" s="9">
        <f>Source!AV34</f>
        <v>1</v>
      </c>
      <c r="I68" s="9"/>
      <c r="J68" s="25"/>
      <c r="K68" s="25">
        <f>Source!U34</f>
        <v>2.3246652000000001</v>
      </c>
    </row>
    <row r="69" spans="1:22" ht="13.8" x14ac:dyDescent="0.25">
      <c r="A69" s="29"/>
      <c r="B69" s="29"/>
      <c r="C69" s="29"/>
      <c r="D69" s="29"/>
      <c r="E69" s="29"/>
      <c r="F69" s="29"/>
      <c r="G69" s="29"/>
      <c r="H69" s="29"/>
      <c r="I69" s="50">
        <f>J59+J60+J62+J65+J66+J67+SUM(J63:J64)</f>
        <v>2163.96</v>
      </c>
      <c r="J69" s="50"/>
      <c r="K69" s="30">
        <f>IF(Source!I34&lt;&gt;0, ROUND(I69/Source!I34, 2), 0)</f>
        <v>81358</v>
      </c>
      <c r="P69" s="28">
        <f>I69</f>
        <v>2163.96</v>
      </c>
    </row>
    <row r="70" spans="1:22" ht="55.2" x14ac:dyDescent="0.3">
      <c r="A70" s="20" t="str">
        <f>Source!E37</f>
        <v>4</v>
      </c>
      <c r="B70" s="21" t="str">
        <f>Source!F37</f>
        <v>5.3-3203-2-1/1</v>
      </c>
      <c r="C70" s="21" t="str">
        <f>Source!G37</f>
        <v>Изготовление и установка секций металлического ограждения, калиток, ворот из профилированной трубы, масса секции до 150 кг</v>
      </c>
      <c r="D70" s="22" t="str">
        <f>Source!H37</f>
        <v>м2</v>
      </c>
      <c r="E70" s="9">
        <f>Source!I37</f>
        <v>142.80000000000001</v>
      </c>
      <c r="F70" s="24"/>
      <c r="G70" s="23"/>
      <c r="H70" s="9"/>
      <c r="I70" s="9"/>
      <c r="J70" s="25"/>
      <c r="K70" s="25"/>
      <c r="Q70">
        <f>ROUND((Source!BZ37/100)*ROUND((Source!AF37*Source!AV37)*Source!I37, 2), 2)</f>
        <v>79478.2</v>
      </c>
      <c r="R70">
        <f>Source!X37</f>
        <v>79478.2</v>
      </c>
      <c r="S70">
        <f>ROUND((Source!CA37/100)*ROUND((Source!AF37*Source!AV37)*Source!I37, 2), 2)</f>
        <v>11354.03</v>
      </c>
      <c r="T70">
        <f>Source!Y37</f>
        <v>11354.03</v>
      </c>
      <c r="U70">
        <f>ROUND((175/100)*ROUND((Source!AE37*Source!AV37)*Source!I37, 2), 2)</f>
        <v>73965.399999999994</v>
      </c>
      <c r="V70">
        <f>ROUND((108/100)*ROUND(Source!CS37*Source!I37, 2), 2)</f>
        <v>45647.22</v>
      </c>
    </row>
    <row r="71" spans="1:22" ht="14.4" x14ac:dyDescent="0.3">
      <c r="A71" s="20"/>
      <c r="B71" s="21"/>
      <c r="C71" s="21" t="s">
        <v>251</v>
      </c>
      <c r="D71" s="22"/>
      <c r="E71" s="9"/>
      <c r="F71" s="24">
        <f>Source!AO37</f>
        <v>795.1</v>
      </c>
      <c r="G71" s="23" t="str">
        <f>Source!DG37</f>
        <v/>
      </c>
      <c r="H71" s="9">
        <f>Source!AV37</f>
        <v>1</v>
      </c>
      <c r="I71" s="9">
        <f>IF(Source!BA37&lt;&gt; 0, Source!BA37, 1)</f>
        <v>1</v>
      </c>
      <c r="J71" s="25">
        <f>Source!S37</f>
        <v>113540.28</v>
      </c>
      <c r="K71" s="25"/>
    </row>
    <row r="72" spans="1:22" ht="14.4" x14ac:dyDescent="0.3">
      <c r="A72" s="20"/>
      <c r="B72" s="21"/>
      <c r="C72" s="21" t="s">
        <v>252</v>
      </c>
      <c r="D72" s="22"/>
      <c r="E72" s="9"/>
      <c r="F72" s="24">
        <f>Source!AM37</f>
        <v>464.27</v>
      </c>
      <c r="G72" s="23" t="str">
        <f>Source!DE37</f>
        <v/>
      </c>
      <c r="H72" s="9">
        <f>Source!AV37</f>
        <v>1</v>
      </c>
      <c r="I72" s="9">
        <f>IF(Source!BB37&lt;&gt; 0, Source!BB37, 1)</f>
        <v>1</v>
      </c>
      <c r="J72" s="25">
        <f>Source!Q37</f>
        <v>66297.759999999995</v>
      </c>
      <c r="K72" s="25"/>
    </row>
    <row r="73" spans="1:22" ht="14.4" x14ac:dyDescent="0.3">
      <c r="A73" s="20"/>
      <c r="B73" s="21"/>
      <c r="C73" s="21" t="s">
        <v>253</v>
      </c>
      <c r="D73" s="22"/>
      <c r="E73" s="9"/>
      <c r="F73" s="24">
        <f>Source!AN37</f>
        <v>295.98</v>
      </c>
      <c r="G73" s="23" t="str">
        <f>Source!DF37</f>
        <v/>
      </c>
      <c r="H73" s="9">
        <f>Source!AV37</f>
        <v>1</v>
      </c>
      <c r="I73" s="9">
        <f>IF(Source!BS37&lt;&gt; 0, Source!BS37, 1)</f>
        <v>1</v>
      </c>
      <c r="J73" s="26">
        <f>Source!R37</f>
        <v>42265.94</v>
      </c>
      <c r="K73" s="25"/>
    </row>
    <row r="74" spans="1:22" ht="14.4" x14ac:dyDescent="0.3">
      <c r="A74" s="20"/>
      <c r="B74" s="21"/>
      <c r="C74" s="21" t="s">
        <v>254</v>
      </c>
      <c r="D74" s="22"/>
      <c r="E74" s="9"/>
      <c r="F74" s="24">
        <f>Source!AL37</f>
        <v>5687.37</v>
      </c>
      <c r="G74" s="23" t="str">
        <f>Source!DD37</f>
        <v/>
      </c>
      <c r="H74" s="9">
        <f>Source!AW37</f>
        <v>1</v>
      </c>
      <c r="I74" s="9">
        <f>IF(Source!BC37&lt;&gt; 0, Source!BC37, 1)</f>
        <v>1</v>
      </c>
      <c r="J74" s="25">
        <f>Source!P37</f>
        <v>812156.44</v>
      </c>
      <c r="K74" s="25"/>
    </row>
    <row r="75" spans="1:22" ht="41.4" x14ac:dyDescent="0.3">
      <c r="A75" s="20" t="str">
        <f>Source!E38</f>
        <v>4,1</v>
      </c>
      <c r="B75" s="21" t="str">
        <f>Source!F38</f>
        <v>21.1-10-28</v>
      </c>
      <c r="C75" s="21" t="str">
        <f>Source!G38</f>
        <v>Профили стальные электросварные квадратного сечения трубчатые, размер стороны 40 мм, толщина стенки 2 мм</v>
      </c>
      <c r="D75" s="22" t="str">
        <f>Source!H38</f>
        <v>т</v>
      </c>
      <c r="E75" s="9">
        <f>Source!I38</f>
        <v>-21.277200000000001</v>
      </c>
      <c r="F75" s="24">
        <f>Source!AK38</f>
        <v>37537.54</v>
      </c>
      <c r="G75" s="27" t="s">
        <v>255</v>
      </c>
      <c r="H75" s="9">
        <f>Source!AW38</f>
        <v>1</v>
      </c>
      <c r="I75" s="9">
        <f>IF(Source!BC38&lt;&gt; 0, Source!BC38, 1)</f>
        <v>1</v>
      </c>
      <c r="J75" s="25">
        <f>Source!O38</f>
        <v>-798693.75</v>
      </c>
      <c r="K75" s="25"/>
      <c r="Q75">
        <f>ROUND((Source!BZ38/100)*ROUND((Source!AF38*Source!AV38)*Source!I38, 2), 2)</f>
        <v>0</v>
      </c>
      <c r="R75">
        <f>Source!X38</f>
        <v>0</v>
      </c>
      <c r="S75">
        <f>ROUND((Source!CA38/100)*ROUND((Source!AF38*Source!AV38)*Source!I38, 2), 2)</f>
        <v>0</v>
      </c>
      <c r="T75">
        <f>Source!Y38</f>
        <v>0</v>
      </c>
      <c r="U75">
        <f>ROUND((175/100)*ROUND((Source!AE38*Source!AV38)*Source!I38, 2), 2)</f>
        <v>0</v>
      </c>
      <c r="V75">
        <f>ROUND((108/100)*ROUND(Source!CS38*Source!I38, 2), 2)</f>
        <v>0</v>
      </c>
    </row>
    <row r="76" spans="1:22" ht="41.4" x14ac:dyDescent="0.3">
      <c r="A76" s="20" t="str">
        <f>Source!E39</f>
        <v>4,2</v>
      </c>
      <c r="B76" s="21" t="str">
        <f>Source!F39</f>
        <v>21.1-10-34</v>
      </c>
      <c r="C76" s="21" t="str">
        <f>Source!G39</f>
        <v>Профили стальные электросварные квадратного сечения трубчатые, размер стороны 20 мм, толщина стенки 2 мм</v>
      </c>
      <c r="D76" s="22" t="str">
        <f>Source!H39</f>
        <v>т</v>
      </c>
      <c r="E76" s="9">
        <f>Source!I39</f>
        <v>1.7281660000000001</v>
      </c>
      <c r="F76" s="24">
        <f>Source!AK39</f>
        <v>40597.550000000003</v>
      </c>
      <c r="G76" s="27" t="s">
        <v>255</v>
      </c>
      <c r="H76" s="9">
        <f>Source!AW39</f>
        <v>1</v>
      </c>
      <c r="I76" s="9">
        <f>IF(Source!BC39&lt;&gt; 0, Source!BC39, 1)</f>
        <v>1</v>
      </c>
      <c r="J76" s="25">
        <f>Source!O39</f>
        <v>70159.31</v>
      </c>
      <c r="K76" s="25"/>
      <c r="Q76">
        <f>ROUND((Source!BZ39/100)*ROUND((Source!AF39*Source!AV39)*Source!I39, 2), 2)</f>
        <v>0</v>
      </c>
      <c r="R76">
        <f>Source!X39</f>
        <v>0</v>
      </c>
      <c r="S76">
        <f>ROUND((Source!CA39/100)*ROUND((Source!AF39*Source!AV39)*Source!I39, 2), 2)</f>
        <v>0</v>
      </c>
      <c r="T76">
        <f>Source!Y39</f>
        <v>0</v>
      </c>
      <c r="U76">
        <f>ROUND((175/100)*ROUND((Source!AE39*Source!AV39)*Source!I39, 2), 2)</f>
        <v>0</v>
      </c>
      <c r="V76">
        <f>ROUND((108/100)*ROUND(Source!CS39*Source!I39, 2), 2)</f>
        <v>0</v>
      </c>
    </row>
    <row r="77" spans="1:22" ht="14.4" x14ac:dyDescent="0.3">
      <c r="A77" s="20"/>
      <c r="B77" s="21"/>
      <c r="C77" s="21" t="s">
        <v>256</v>
      </c>
      <c r="D77" s="22" t="s">
        <v>257</v>
      </c>
      <c r="E77" s="9">
        <f>Source!AT37</f>
        <v>70</v>
      </c>
      <c r="F77" s="24"/>
      <c r="G77" s="23"/>
      <c r="H77" s="9"/>
      <c r="I77" s="9"/>
      <c r="J77" s="25">
        <f>SUM(R70:R76)</f>
        <v>79478.2</v>
      </c>
      <c r="K77" s="25"/>
    </row>
    <row r="78" spans="1:22" ht="14.4" x14ac:dyDescent="0.3">
      <c r="A78" s="20"/>
      <c r="B78" s="21"/>
      <c r="C78" s="21" t="s">
        <v>258</v>
      </c>
      <c r="D78" s="22" t="s">
        <v>257</v>
      </c>
      <c r="E78" s="9">
        <f>Source!AU37</f>
        <v>10</v>
      </c>
      <c r="F78" s="24"/>
      <c r="G78" s="23"/>
      <c r="H78" s="9"/>
      <c r="I78" s="9"/>
      <c r="J78" s="25">
        <f>SUM(T70:T77)</f>
        <v>11354.03</v>
      </c>
      <c r="K78" s="25"/>
    </row>
    <row r="79" spans="1:22" ht="14.4" x14ac:dyDescent="0.3">
      <c r="A79" s="20"/>
      <c r="B79" s="21"/>
      <c r="C79" s="21" t="s">
        <v>259</v>
      </c>
      <c r="D79" s="22" t="s">
        <v>257</v>
      </c>
      <c r="E79" s="9">
        <f>108</f>
        <v>108</v>
      </c>
      <c r="F79" s="24"/>
      <c r="G79" s="23"/>
      <c r="H79" s="9"/>
      <c r="I79" s="9"/>
      <c r="J79" s="25">
        <f>SUM(V70:V78)</f>
        <v>45647.22</v>
      </c>
      <c r="K79" s="25"/>
    </row>
    <row r="80" spans="1:22" ht="14.4" x14ac:dyDescent="0.3">
      <c r="A80" s="20"/>
      <c r="B80" s="21"/>
      <c r="C80" s="21" t="s">
        <v>260</v>
      </c>
      <c r="D80" s="22" t="s">
        <v>261</v>
      </c>
      <c r="E80" s="9">
        <f>Source!AQ37</f>
        <v>2.97</v>
      </c>
      <c r="F80" s="24"/>
      <c r="G80" s="23" t="str">
        <f>Source!DI37</f>
        <v/>
      </c>
      <c r="H80" s="9">
        <f>Source!AV37</f>
        <v>1</v>
      </c>
      <c r="I80" s="9"/>
      <c r="J80" s="25"/>
      <c r="K80" s="25">
        <f>Source!U37</f>
        <v>424.11600000000004</v>
      </c>
    </row>
    <row r="81" spans="1:22" ht="13.8" x14ac:dyDescent="0.25">
      <c r="A81" s="29"/>
      <c r="B81" s="29"/>
      <c r="C81" s="29"/>
      <c r="D81" s="29"/>
      <c r="E81" s="29"/>
      <c r="F81" s="29"/>
      <c r="G81" s="29"/>
      <c r="H81" s="29"/>
      <c r="I81" s="50">
        <f>J71+J72+J74+J77+J78+J79+SUM(J75:J76)</f>
        <v>399939.49</v>
      </c>
      <c r="J81" s="50"/>
      <c r="K81" s="30">
        <f>IF(Source!I37&lt;&gt;0, ROUND(I81/Source!I37, 2), 0)</f>
        <v>2800.7</v>
      </c>
      <c r="P81" s="28">
        <f>I81</f>
        <v>399939.49</v>
      </c>
    </row>
    <row r="82" spans="1:22" ht="41.4" x14ac:dyDescent="0.3">
      <c r="A82" s="20" t="str">
        <f>Source!E40</f>
        <v>5</v>
      </c>
      <c r="B82" s="21" t="str">
        <f>Source!F40</f>
        <v>1.13-3205-2-2/1</v>
      </c>
      <c r="C82" s="21" t="str">
        <f>Source!G40</f>
        <v>Антикоррозионная огрунтовка металлических поверхностей грунтовкой ГФ-021 за один раз</v>
      </c>
      <c r="D82" s="22" t="str">
        <f>Source!H40</f>
        <v>100 м2</v>
      </c>
      <c r="E82" s="9">
        <f>Source!I40</f>
        <v>0.38369999999999999</v>
      </c>
      <c r="F82" s="24"/>
      <c r="G82" s="23"/>
      <c r="H82" s="9"/>
      <c r="I82" s="9"/>
      <c r="J82" s="25"/>
      <c r="K82" s="25"/>
      <c r="Q82">
        <f>ROUND((Source!BZ40/100)*ROUND((Source!AF40*Source!AV40)*Source!I40, 2), 2)</f>
        <v>446.43</v>
      </c>
      <c r="R82">
        <f>Source!X40</f>
        <v>446.43</v>
      </c>
      <c r="S82">
        <f>ROUND((Source!CA40/100)*ROUND((Source!AF40*Source!AV40)*Source!I40, 2), 2)</f>
        <v>63.78</v>
      </c>
      <c r="T82">
        <f>Source!Y40</f>
        <v>63.78</v>
      </c>
      <c r="U82">
        <f>ROUND((175/100)*ROUND((Source!AE40*Source!AV40)*Source!I40, 2), 2)</f>
        <v>33.58</v>
      </c>
      <c r="V82">
        <f>ROUND((108/100)*ROUND(Source!CS40*Source!I40, 2), 2)</f>
        <v>20.73</v>
      </c>
    </row>
    <row r="83" spans="1:22" x14ac:dyDescent="0.25">
      <c r="C83" s="31" t="str">
        <f>"Объем: "&amp;Source!I40&amp;"=38,37/"&amp;"100"</f>
        <v>Объем: 0,3837=38,37/100</v>
      </c>
    </row>
    <row r="84" spans="1:22" ht="14.4" x14ac:dyDescent="0.3">
      <c r="A84" s="20"/>
      <c r="B84" s="21"/>
      <c r="C84" s="21" t="s">
        <v>251</v>
      </c>
      <c r="D84" s="22"/>
      <c r="E84" s="9"/>
      <c r="F84" s="24">
        <f>Source!AO40</f>
        <v>1662.1</v>
      </c>
      <c r="G84" s="23" t="str">
        <f>Source!DG40</f>
        <v/>
      </c>
      <c r="H84" s="9">
        <f>Source!AV40</f>
        <v>1</v>
      </c>
      <c r="I84" s="9">
        <f>IF(Source!BA40&lt;&gt; 0, Source!BA40, 1)</f>
        <v>1</v>
      </c>
      <c r="J84" s="25">
        <f>Source!S40</f>
        <v>637.75</v>
      </c>
      <c r="K84" s="25"/>
    </row>
    <row r="85" spans="1:22" ht="14.4" x14ac:dyDescent="0.3">
      <c r="A85" s="20"/>
      <c r="B85" s="21"/>
      <c r="C85" s="21" t="s">
        <v>252</v>
      </c>
      <c r="D85" s="22"/>
      <c r="E85" s="9"/>
      <c r="F85" s="24">
        <f>Source!AM40</f>
        <v>144.28</v>
      </c>
      <c r="G85" s="23" t="str">
        <f>Source!DE40</f>
        <v/>
      </c>
      <c r="H85" s="9">
        <f>Source!AV40</f>
        <v>1</v>
      </c>
      <c r="I85" s="9">
        <f>IF(Source!BB40&lt;&gt; 0, Source!BB40, 1)</f>
        <v>1</v>
      </c>
      <c r="J85" s="25">
        <f>Source!Q40</f>
        <v>55.36</v>
      </c>
      <c r="K85" s="25"/>
    </row>
    <row r="86" spans="1:22" ht="14.4" x14ac:dyDescent="0.3">
      <c r="A86" s="20"/>
      <c r="B86" s="21"/>
      <c r="C86" s="21" t="s">
        <v>253</v>
      </c>
      <c r="D86" s="22"/>
      <c r="E86" s="9"/>
      <c r="F86" s="24">
        <f>Source!AN40</f>
        <v>50</v>
      </c>
      <c r="G86" s="23" t="str">
        <f>Source!DF40</f>
        <v/>
      </c>
      <c r="H86" s="9">
        <f>Source!AV40</f>
        <v>1</v>
      </c>
      <c r="I86" s="9">
        <f>IF(Source!BS40&lt;&gt; 0, Source!BS40, 1)</f>
        <v>1</v>
      </c>
      <c r="J86" s="26">
        <f>Source!R40</f>
        <v>19.190000000000001</v>
      </c>
      <c r="K86" s="25"/>
    </row>
    <row r="87" spans="1:22" ht="14.4" x14ac:dyDescent="0.3">
      <c r="A87" s="20"/>
      <c r="B87" s="21"/>
      <c r="C87" s="21" t="s">
        <v>254</v>
      </c>
      <c r="D87" s="22"/>
      <c r="E87" s="9"/>
      <c r="F87" s="24">
        <f>Source!AL40</f>
        <v>1022.11</v>
      </c>
      <c r="G87" s="23" t="str">
        <f>Source!DD40</f>
        <v/>
      </c>
      <c r="H87" s="9">
        <f>Source!AW40</f>
        <v>1</v>
      </c>
      <c r="I87" s="9">
        <f>IF(Source!BC40&lt;&gt; 0, Source!BC40, 1)</f>
        <v>1</v>
      </c>
      <c r="J87" s="25">
        <f>Source!P40</f>
        <v>392.18</v>
      </c>
      <c r="K87" s="25"/>
    </row>
    <row r="88" spans="1:22" ht="14.4" x14ac:dyDescent="0.3">
      <c r="A88" s="20"/>
      <c r="B88" s="21"/>
      <c r="C88" s="21" t="s">
        <v>256</v>
      </c>
      <c r="D88" s="22" t="s">
        <v>257</v>
      </c>
      <c r="E88" s="9">
        <f>Source!AT40</f>
        <v>70</v>
      </c>
      <c r="F88" s="24"/>
      <c r="G88" s="23"/>
      <c r="H88" s="9"/>
      <c r="I88" s="9"/>
      <c r="J88" s="25">
        <f>SUM(R82:R87)</f>
        <v>446.43</v>
      </c>
      <c r="K88" s="25"/>
    </row>
    <row r="89" spans="1:22" ht="14.4" x14ac:dyDescent="0.3">
      <c r="A89" s="20"/>
      <c r="B89" s="21"/>
      <c r="C89" s="21" t="s">
        <v>258</v>
      </c>
      <c r="D89" s="22" t="s">
        <v>257</v>
      </c>
      <c r="E89" s="9">
        <f>Source!AU40</f>
        <v>10</v>
      </c>
      <c r="F89" s="24"/>
      <c r="G89" s="23"/>
      <c r="H89" s="9"/>
      <c r="I89" s="9"/>
      <c r="J89" s="25">
        <f>SUM(T82:T88)</f>
        <v>63.78</v>
      </c>
      <c r="K89" s="25"/>
    </row>
    <row r="90" spans="1:22" ht="14.4" x14ac:dyDescent="0.3">
      <c r="A90" s="20"/>
      <c r="B90" s="21"/>
      <c r="C90" s="21" t="s">
        <v>259</v>
      </c>
      <c r="D90" s="22" t="s">
        <v>257</v>
      </c>
      <c r="E90" s="9">
        <f>108</f>
        <v>108</v>
      </c>
      <c r="F90" s="24"/>
      <c r="G90" s="23"/>
      <c r="H90" s="9"/>
      <c r="I90" s="9"/>
      <c r="J90" s="25">
        <f>SUM(V82:V89)</f>
        <v>20.73</v>
      </c>
      <c r="K90" s="25"/>
    </row>
    <row r="91" spans="1:22" ht="14.4" x14ac:dyDescent="0.3">
      <c r="A91" s="20"/>
      <c r="B91" s="21"/>
      <c r="C91" s="21" t="s">
        <v>260</v>
      </c>
      <c r="D91" s="22" t="s">
        <v>261</v>
      </c>
      <c r="E91" s="9">
        <f>Source!AQ40</f>
        <v>6.11</v>
      </c>
      <c r="F91" s="24"/>
      <c r="G91" s="23" t="str">
        <f>Source!DI40</f>
        <v/>
      </c>
      <c r="H91" s="9">
        <f>Source!AV40</f>
        <v>1</v>
      </c>
      <c r="I91" s="9"/>
      <c r="J91" s="25"/>
      <c r="K91" s="25">
        <f>Source!U40</f>
        <v>2.3444069999999999</v>
      </c>
    </row>
    <row r="92" spans="1:22" ht="13.8" x14ac:dyDescent="0.25">
      <c r="A92" s="29"/>
      <c r="B92" s="29"/>
      <c r="C92" s="29"/>
      <c r="D92" s="29"/>
      <c r="E92" s="29"/>
      <c r="F92" s="29"/>
      <c r="G92" s="29"/>
      <c r="H92" s="29"/>
      <c r="I92" s="50">
        <f>J84+J85+J87+J88+J89+J90</f>
        <v>1616.23</v>
      </c>
      <c r="J92" s="50"/>
      <c r="K92" s="30">
        <f>IF(Source!I40&lt;&gt;0, ROUND(I92/Source!I40, 2), 0)</f>
        <v>4212.22</v>
      </c>
      <c r="P92" s="28">
        <f>I92</f>
        <v>1616.23</v>
      </c>
    </row>
    <row r="93" spans="1:22" ht="41.4" x14ac:dyDescent="0.3">
      <c r="A93" s="20" t="str">
        <f>Source!E41</f>
        <v>6</v>
      </c>
      <c r="B93" s="21" t="str">
        <f>Source!F41</f>
        <v>1.13-3205-4-8/1</v>
      </c>
      <c r="C93" s="21" t="str">
        <f>Source!G41</f>
        <v>Антикоррозионная окраска огрунтованных металлических поверхностей эмалями ПФ-115</v>
      </c>
      <c r="D93" s="22" t="str">
        <f>Source!H41</f>
        <v>100 м2</v>
      </c>
      <c r="E93" s="9">
        <f>Source!I41</f>
        <v>0.38369999999999999</v>
      </c>
      <c r="F93" s="24"/>
      <c r="G93" s="23"/>
      <c r="H93" s="9"/>
      <c r="I93" s="9"/>
      <c r="J93" s="25"/>
      <c r="K93" s="25"/>
      <c r="Q93">
        <f>ROUND((Source!BZ41/100)*ROUND((Source!AF41*Source!AV41)*Source!I41, 2), 2)</f>
        <v>147.55000000000001</v>
      </c>
      <c r="R93">
        <f>Source!X41</f>
        <v>147.55000000000001</v>
      </c>
      <c r="S93">
        <f>ROUND((Source!CA41/100)*ROUND((Source!AF41*Source!AV41)*Source!I41, 2), 2)</f>
        <v>21.08</v>
      </c>
      <c r="T93">
        <f>Source!Y41</f>
        <v>21.08</v>
      </c>
      <c r="U93">
        <f>ROUND((175/100)*ROUND((Source!AE41*Source!AV41)*Source!I41, 2), 2)</f>
        <v>2.4900000000000002</v>
      </c>
      <c r="V93">
        <f>ROUND((108/100)*ROUND(Source!CS41*Source!I41, 2), 2)</f>
        <v>1.53</v>
      </c>
    </row>
    <row r="94" spans="1:22" x14ac:dyDescent="0.25">
      <c r="C94" s="31" t="str">
        <f>"Объем: "&amp;Source!I41&amp;"=38,37/"&amp;"100"</f>
        <v>Объем: 0,3837=38,37/100</v>
      </c>
    </row>
    <row r="95" spans="1:22" ht="14.4" x14ac:dyDescent="0.3">
      <c r="A95" s="20"/>
      <c r="B95" s="21"/>
      <c r="C95" s="21" t="s">
        <v>251</v>
      </c>
      <c r="D95" s="22"/>
      <c r="E95" s="9"/>
      <c r="F95" s="24">
        <f>Source!AO41</f>
        <v>549.36</v>
      </c>
      <c r="G95" s="23" t="str">
        <f>Source!DG41</f>
        <v/>
      </c>
      <c r="H95" s="9">
        <f>Source!AV41</f>
        <v>1</v>
      </c>
      <c r="I95" s="9">
        <f>IF(Source!BA41&lt;&gt; 0, Source!BA41, 1)</f>
        <v>1</v>
      </c>
      <c r="J95" s="25">
        <f>Source!S41</f>
        <v>210.79</v>
      </c>
      <c r="K95" s="25"/>
    </row>
    <row r="96" spans="1:22" ht="14.4" x14ac:dyDescent="0.3">
      <c r="A96" s="20"/>
      <c r="B96" s="21"/>
      <c r="C96" s="21" t="s">
        <v>252</v>
      </c>
      <c r="D96" s="22"/>
      <c r="E96" s="9"/>
      <c r="F96" s="24">
        <f>Source!AM41</f>
        <v>6.84</v>
      </c>
      <c r="G96" s="23" t="str">
        <f>Source!DE41</f>
        <v/>
      </c>
      <c r="H96" s="9">
        <f>Source!AV41</f>
        <v>1</v>
      </c>
      <c r="I96" s="9">
        <f>IF(Source!BB41&lt;&gt; 0, Source!BB41, 1)</f>
        <v>1</v>
      </c>
      <c r="J96" s="25">
        <f>Source!Q41</f>
        <v>2.62</v>
      </c>
      <c r="K96" s="25"/>
    </row>
    <row r="97" spans="1:22" ht="14.4" x14ac:dyDescent="0.3">
      <c r="A97" s="20"/>
      <c r="B97" s="21"/>
      <c r="C97" s="21" t="s">
        <v>253</v>
      </c>
      <c r="D97" s="22"/>
      <c r="E97" s="9"/>
      <c r="F97" s="24">
        <f>Source!AN41</f>
        <v>3.71</v>
      </c>
      <c r="G97" s="23" t="str">
        <f>Source!DF41</f>
        <v/>
      </c>
      <c r="H97" s="9">
        <f>Source!AV41</f>
        <v>1</v>
      </c>
      <c r="I97" s="9">
        <f>IF(Source!BS41&lt;&gt; 0, Source!BS41, 1)</f>
        <v>1</v>
      </c>
      <c r="J97" s="26">
        <f>Source!R41</f>
        <v>1.42</v>
      </c>
      <c r="K97" s="25"/>
    </row>
    <row r="98" spans="1:22" ht="14.4" x14ac:dyDescent="0.3">
      <c r="A98" s="20"/>
      <c r="B98" s="21"/>
      <c r="C98" s="21" t="s">
        <v>254</v>
      </c>
      <c r="D98" s="22"/>
      <c r="E98" s="9"/>
      <c r="F98" s="24">
        <f>Source!AL41</f>
        <v>1041.4100000000001</v>
      </c>
      <c r="G98" s="23" t="str">
        <f>Source!DD41</f>
        <v/>
      </c>
      <c r="H98" s="9">
        <f>Source!AW41</f>
        <v>1</v>
      </c>
      <c r="I98" s="9">
        <f>IF(Source!BC41&lt;&gt; 0, Source!BC41, 1)</f>
        <v>1</v>
      </c>
      <c r="J98" s="25">
        <f>Source!P41</f>
        <v>399.59</v>
      </c>
      <c r="K98" s="25"/>
    </row>
    <row r="99" spans="1:22" ht="14.4" x14ac:dyDescent="0.3">
      <c r="A99" s="20"/>
      <c r="B99" s="21"/>
      <c r="C99" s="21" t="s">
        <v>256</v>
      </c>
      <c r="D99" s="22" t="s">
        <v>257</v>
      </c>
      <c r="E99" s="9">
        <f>Source!AT41</f>
        <v>70</v>
      </c>
      <c r="F99" s="24"/>
      <c r="G99" s="23"/>
      <c r="H99" s="9"/>
      <c r="I99" s="9"/>
      <c r="J99" s="25">
        <f>SUM(R93:R98)</f>
        <v>147.55000000000001</v>
      </c>
      <c r="K99" s="25"/>
    </row>
    <row r="100" spans="1:22" ht="14.4" x14ac:dyDescent="0.3">
      <c r="A100" s="20"/>
      <c r="B100" s="21"/>
      <c r="C100" s="21" t="s">
        <v>258</v>
      </c>
      <c r="D100" s="22" t="s">
        <v>257</v>
      </c>
      <c r="E100" s="9">
        <f>Source!AU41</f>
        <v>10</v>
      </c>
      <c r="F100" s="24"/>
      <c r="G100" s="23"/>
      <c r="H100" s="9"/>
      <c r="I100" s="9"/>
      <c r="J100" s="25">
        <f>SUM(T93:T99)</f>
        <v>21.08</v>
      </c>
      <c r="K100" s="25"/>
    </row>
    <row r="101" spans="1:22" ht="14.4" x14ac:dyDescent="0.3">
      <c r="A101" s="20"/>
      <c r="B101" s="21"/>
      <c r="C101" s="21" t="s">
        <v>259</v>
      </c>
      <c r="D101" s="22" t="s">
        <v>257</v>
      </c>
      <c r="E101" s="9">
        <f>108</f>
        <v>108</v>
      </c>
      <c r="F101" s="24"/>
      <c r="G101" s="23"/>
      <c r="H101" s="9"/>
      <c r="I101" s="9"/>
      <c r="J101" s="25">
        <f>SUM(V93:V100)</f>
        <v>1.53</v>
      </c>
      <c r="K101" s="25"/>
    </row>
    <row r="102" spans="1:22" ht="14.4" x14ac:dyDescent="0.3">
      <c r="A102" s="20"/>
      <c r="B102" s="21"/>
      <c r="C102" s="21" t="s">
        <v>260</v>
      </c>
      <c r="D102" s="22" t="s">
        <v>261</v>
      </c>
      <c r="E102" s="9">
        <f>Source!AQ41</f>
        <v>2.4500000000000002</v>
      </c>
      <c r="F102" s="24"/>
      <c r="G102" s="23" t="str">
        <f>Source!DI41</f>
        <v/>
      </c>
      <c r="H102" s="9">
        <f>Source!AV41</f>
        <v>1</v>
      </c>
      <c r="I102" s="9"/>
      <c r="J102" s="25"/>
      <c r="K102" s="25">
        <f>Source!U41</f>
        <v>0.94006500000000004</v>
      </c>
    </row>
    <row r="103" spans="1:22" ht="13.8" x14ac:dyDescent="0.25">
      <c r="A103" s="29"/>
      <c r="B103" s="29"/>
      <c r="C103" s="29"/>
      <c r="D103" s="29"/>
      <c r="E103" s="29"/>
      <c r="F103" s="29"/>
      <c r="G103" s="29"/>
      <c r="H103" s="29"/>
      <c r="I103" s="50">
        <f>J95+J96+J98+J99+J100+J101</f>
        <v>783.16</v>
      </c>
      <c r="J103" s="50"/>
      <c r="K103" s="30">
        <f>IF(Source!I41&lt;&gt;0, ROUND(I103/Source!I41, 2), 0)</f>
        <v>2041.07</v>
      </c>
      <c r="P103" s="28">
        <f>I103</f>
        <v>783.16</v>
      </c>
    </row>
    <row r="104" spans="1:22" ht="55.2" x14ac:dyDescent="0.3">
      <c r="A104" s="20" t="str">
        <f>Source!E42</f>
        <v>7</v>
      </c>
      <c r="B104" s="21" t="str">
        <f>Source!F42</f>
        <v>5.3-3203-2-1/1</v>
      </c>
      <c r="C104" s="21" t="str">
        <f>Source!G42</f>
        <v>Изготовление и установка секций металлического ограждения, калиток, ворот из профилированной трубы, масса секции до 150 кг(калитка)</v>
      </c>
      <c r="D104" s="22" t="str">
        <f>Source!H42</f>
        <v>м2</v>
      </c>
      <c r="E104" s="9">
        <f>Source!I42</f>
        <v>2.1</v>
      </c>
      <c r="F104" s="24"/>
      <c r="G104" s="23"/>
      <c r="H104" s="9"/>
      <c r="I104" s="9"/>
      <c r="J104" s="25"/>
      <c r="K104" s="25"/>
      <c r="Q104">
        <f>ROUND((Source!BZ42/100)*ROUND((Source!AF42*Source!AV42)*Source!I42, 2), 2)</f>
        <v>1168.8</v>
      </c>
      <c r="R104">
        <f>Source!X42</f>
        <v>1168.8</v>
      </c>
      <c r="S104">
        <f>ROUND((Source!CA42/100)*ROUND((Source!AF42*Source!AV42)*Source!I42, 2), 2)</f>
        <v>166.97</v>
      </c>
      <c r="T104">
        <f>Source!Y42</f>
        <v>166.97</v>
      </c>
      <c r="U104">
        <f>ROUND((175/100)*ROUND((Source!AE42*Source!AV42)*Source!I42, 2), 2)</f>
        <v>1087.73</v>
      </c>
      <c r="V104">
        <f>ROUND((108/100)*ROUND(Source!CS42*Source!I42, 2), 2)</f>
        <v>671.28</v>
      </c>
    </row>
    <row r="105" spans="1:22" ht="14.4" x14ac:dyDescent="0.3">
      <c r="A105" s="20"/>
      <c r="B105" s="21"/>
      <c r="C105" s="21" t="s">
        <v>251</v>
      </c>
      <c r="D105" s="22"/>
      <c r="E105" s="9"/>
      <c r="F105" s="24">
        <f>Source!AO42</f>
        <v>795.1</v>
      </c>
      <c r="G105" s="23" t="str">
        <f>Source!DG42</f>
        <v/>
      </c>
      <c r="H105" s="9">
        <f>Source!AV42</f>
        <v>1</v>
      </c>
      <c r="I105" s="9">
        <f>IF(Source!BA42&lt;&gt; 0, Source!BA42, 1)</f>
        <v>1</v>
      </c>
      <c r="J105" s="25">
        <f>Source!S42</f>
        <v>1669.71</v>
      </c>
      <c r="K105" s="25"/>
    </row>
    <row r="106" spans="1:22" ht="14.4" x14ac:dyDescent="0.3">
      <c r="A106" s="20"/>
      <c r="B106" s="21"/>
      <c r="C106" s="21" t="s">
        <v>252</v>
      </c>
      <c r="D106" s="22"/>
      <c r="E106" s="9"/>
      <c r="F106" s="24">
        <f>Source!AM42</f>
        <v>464.27</v>
      </c>
      <c r="G106" s="23" t="str">
        <f>Source!DE42</f>
        <v/>
      </c>
      <c r="H106" s="9">
        <f>Source!AV42</f>
        <v>1</v>
      </c>
      <c r="I106" s="9">
        <f>IF(Source!BB42&lt;&gt; 0, Source!BB42, 1)</f>
        <v>1</v>
      </c>
      <c r="J106" s="25">
        <f>Source!Q42</f>
        <v>974.97</v>
      </c>
      <c r="K106" s="25"/>
    </row>
    <row r="107" spans="1:22" ht="14.4" x14ac:dyDescent="0.3">
      <c r="A107" s="20"/>
      <c r="B107" s="21"/>
      <c r="C107" s="21" t="s">
        <v>253</v>
      </c>
      <c r="D107" s="22"/>
      <c r="E107" s="9"/>
      <c r="F107" s="24">
        <f>Source!AN42</f>
        <v>295.98</v>
      </c>
      <c r="G107" s="23" t="str">
        <f>Source!DF42</f>
        <v/>
      </c>
      <c r="H107" s="9">
        <f>Source!AV42</f>
        <v>1</v>
      </c>
      <c r="I107" s="9">
        <f>IF(Source!BS42&lt;&gt; 0, Source!BS42, 1)</f>
        <v>1</v>
      </c>
      <c r="J107" s="26">
        <f>Source!R42</f>
        <v>621.55999999999995</v>
      </c>
      <c r="K107" s="25"/>
    </row>
    <row r="108" spans="1:22" ht="14.4" x14ac:dyDescent="0.3">
      <c r="A108" s="20"/>
      <c r="B108" s="21"/>
      <c r="C108" s="21" t="s">
        <v>254</v>
      </c>
      <c r="D108" s="22"/>
      <c r="E108" s="9"/>
      <c r="F108" s="24">
        <f>Source!AL42</f>
        <v>5687.37</v>
      </c>
      <c r="G108" s="23" t="str">
        <f>Source!DD42</f>
        <v/>
      </c>
      <c r="H108" s="9">
        <f>Source!AW42</f>
        <v>1</v>
      </c>
      <c r="I108" s="9">
        <f>IF(Source!BC42&lt;&gt; 0, Source!BC42, 1)</f>
        <v>1</v>
      </c>
      <c r="J108" s="25">
        <f>Source!P42</f>
        <v>11943.48</v>
      </c>
      <c r="K108" s="25"/>
    </row>
    <row r="109" spans="1:22" ht="41.4" x14ac:dyDescent="0.3">
      <c r="A109" s="20" t="str">
        <f>Source!E43</f>
        <v>7,1</v>
      </c>
      <c r="B109" s="21" t="str">
        <f>Source!F43</f>
        <v>21.1-10-28</v>
      </c>
      <c r="C109" s="21" t="str">
        <f>Source!G43</f>
        <v>Профили стальные электросварные квадратного сечения трубчатые, размер стороны 40 мм, толщина стенки 2 мм</v>
      </c>
      <c r="D109" s="22" t="str">
        <f>Source!H43</f>
        <v>т</v>
      </c>
      <c r="E109" s="9">
        <f>Source!I43</f>
        <v>-0.31890000000000002</v>
      </c>
      <c r="F109" s="24">
        <f>Source!AK43</f>
        <v>37537.54</v>
      </c>
      <c r="G109" s="27" t="s">
        <v>255</v>
      </c>
      <c r="H109" s="9">
        <f>Source!AW43</f>
        <v>1</v>
      </c>
      <c r="I109" s="9">
        <f>IF(Source!BC43&lt;&gt; 0, Source!BC43, 1)</f>
        <v>1</v>
      </c>
      <c r="J109" s="25">
        <f>Source!O43</f>
        <v>-11970.72</v>
      </c>
      <c r="K109" s="25"/>
      <c r="Q109">
        <f>ROUND((Source!BZ43/100)*ROUND((Source!AF43*Source!AV43)*Source!I43, 2), 2)</f>
        <v>0</v>
      </c>
      <c r="R109">
        <f>Source!X43</f>
        <v>0</v>
      </c>
      <c r="S109">
        <f>ROUND((Source!CA43/100)*ROUND((Source!AF43*Source!AV43)*Source!I43, 2), 2)</f>
        <v>0</v>
      </c>
      <c r="T109">
        <f>Source!Y43</f>
        <v>0</v>
      </c>
      <c r="U109">
        <f>ROUND((175/100)*ROUND((Source!AE43*Source!AV43)*Source!I43, 2), 2)</f>
        <v>0</v>
      </c>
      <c r="V109">
        <f>ROUND((108/100)*ROUND(Source!CS43*Source!I43, 2), 2)</f>
        <v>0</v>
      </c>
    </row>
    <row r="110" spans="1:22" ht="41.4" x14ac:dyDescent="0.3">
      <c r="A110" s="20" t="str">
        <f>Source!E44</f>
        <v>7,2</v>
      </c>
      <c r="B110" s="21" t="str">
        <f>Source!F44</f>
        <v>21.1-10-34</v>
      </c>
      <c r="C110" s="21" t="str">
        <f>Source!G44</f>
        <v>Профили стальные электросварные квадратного сечения трубчатые, размер стороны 20 мм, толщина стенки 2 мм</v>
      </c>
      <c r="D110" s="22" t="str">
        <f>Source!H44</f>
        <v>т</v>
      </c>
      <c r="E110" s="9">
        <f>Source!I44</f>
        <v>3.1276999999999999E-2</v>
      </c>
      <c r="F110" s="24">
        <f>Source!AK44</f>
        <v>40597.550000000003</v>
      </c>
      <c r="G110" s="27" t="s">
        <v>255</v>
      </c>
      <c r="H110" s="9">
        <f>Source!AW44</f>
        <v>1</v>
      </c>
      <c r="I110" s="9">
        <f>IF(Source!BC44&lt;&gt; 0, Source!BC44, 1)</f>
        <v>1</v>
      </c>
      <c r="J110" s="25">
        <f>Source!O44</f>
        <v>1269.77</v>
      </c>
      <c r="K110" s="25"/>
      <c r="Q110">
        <f>ROUND((Source!BZ44/100)*ROUND((Source!AF44*Source!AV44)*Source!I44, 2), 2)</f>
        <v>0</v>
      </c>
      <c r="R110">
        <f>Source!X44</f>
        <v>0</v>
      </c>
      <c r="S110">
        <f>ROUND((Source!CA44/100)*ROUND((Source!AF44*Source!AV44)*Source!I44, 2), 2)</f>
        <v>0</v>
      </c>
      <c r="T110">
        <f>Source!Y44</f>
        <v>0</v>
      </c>
      <c r="U110">
        <f>ROUND((175/100)*ROUND((Source!AE44*Source!AV44)*Source!I44, 2), 2)</f>
        <v>0</v>
      </c>
      <c r="V110">
        <f>ROUND((108/100)*ROUND(Source!CS44*Source!I44, 2), 2)</f>
        <v>0</v>
      </c>
    </row>
    <row r="111" spans="1:22" ht="14.4" x14ac:dyDescent="0.3">
      <c r="A111" s="20"/>
      <c r="B111" s="21"/>
      <c r="C111" s="21" t="s">
        <v>256</v>
      </c>
      <c r="D111" s="22" t="s">
        <v>257</v>
      </c>
      <c r="E111" s="9">
        <f>Source!AT42</f>
        <v>70</v>
      </c>
      <c r="F111" s="24"/>
      <c r="G111" s="23"/>
      <c r="H111" s="9"/>
      <c r="I111" s="9"/>
      <c r="J111" s="25">
        <f>SUM(R104:R110)</f>
        <v>1168.8</v>
      </c>
      <c r="K111" s="25"/>
    </row>
    <row r="112" spans="1:22" ht="14.4" x14ac:dyDescent="0.3">
      <c r="A112" s="20"/>
      <c r="B112" s="21"/>
      <c r="C112" s="21" t="s">
        <v>258</v>
      </c>
      <c r="D112" s="22" t="s">
        <v>257</v>
      </c>
      <c r="E112" s="9">
        <f>Source!AU42</f>
        <v>10</v>
      </c>
      <c r="F112" s="24"/>
      <c r="G112" s="23"/>
      <c r="H112" s="9"/>
      <c r="I112" s="9"/>
      <c r="J112" s="25">
        <f>SUM(T104:T111)</f>
        <v>166.97</v>
      </c>
      <c r="K112" s="25"/>
    </row>
    <row r="113" spans="1:16" ht="14.4" x14ac:dyDescent="0.3">
      <c r="A113" s="20"/>
      <c r="B113" s="21"/>
      <c r="C113" s="21" t="s">
        <v>259</v>
      </c>
      <c r="D113" s="22" t="s">
        <v>257</v>
      </c>
      <c r="E113" s="9">
        <f>108</f>
        <v>108</v>
      </c>
      <c r="F113" s="24"/>
      <c r="G113" s="23"/>
      <c r="H113" s="9"/>
      <c r="I113" s="9"/>
      <c r="J113" s="25">
        <f>SUM(V104:V112)</f>
        <v>671.28</v>
      </c>
      <c r="K113" s="25"/>
    </row>
    <row r="114" spans="1:16" ht="14.4" x14ac:dyDescent="0.3">
      <c r="A114" s="20"/>
      <c r="B114" s="21"/>
      <c r="C114" s="21" t="s">
        <v>260</v>
      </c>
      <c r="D114" s="22" t="s">
        <v>261</v>
      </c>
      <c r="E114" s="9">
        <f>Source!AQ42</f>
        <v>2.97</v>
      </c>
      <c r="F114" s="24"/>
      <c r="G114" s="23" t="str">
        <f>Source!DI42</f>
        <v/>
      </c>
      <c r="H114" s="9">
        <f>Source!AV42</f>
        <v>1</v>
      </c>
      <c r="I114" s="9"/>
      <c r="J114" s="25"/>
      <c r="K114" s="25">
        <f>Source!U42</f>
        <v>6.237000000000001</v>
      </c>
    </row>
    <row r="115" spans="1:16" ht="13.8" x14ac:dyDescent="0.25">
      <c r="A115" s="29"/>
      <c r="B115" s="29"/>
      <c r="C115" s="29"/>
      <c r="D115" s="29"/>
      <c r="E115" s="29"/>
      <c r="F115" s="29"/>
      <c r="G115" s="29"/>
      <c r="H115" s="29"/>
      <c r="I115" s="50">
        <f>J105+J106+J108+J111+J112+J113+SUM(J109:J110)</f>
        <v>5894.26</v>
      </c>
      <c r="J115" s="50"/>
      <c r="K115" s="30">
        <f>IF(Source!I42&lt;&gt;0, ROUND(I115/Source!I42, 2), 0)</f>
        <v>2806.79</v>
      </c>
      <c r="P115" s="28">
        <f>I115</f>
        <v>5894.26</v>
      </c>
    </row>
    <row r="117" spans="1:16" ht="13.8" x14ac:dyDescent="0.25">
      <c r="A117" s="51" t="str">
        <f>CONCATENATE("Итого по разделу: ",IF(Source!G47&lt;&gt;"Новый раздел", Source!G47, ""))</f>
        <v>Итого по разделу: Монтажные работы</v>
      </c>
      <c r="B117" s="51"/>
      <c r="C117" s="51"/>
      <c r="D117" s="51"/>
      <c r="E117" s="51"/>
      <c r="F117" s="51"/>
      <c r="G117" s="51"/>
      <c r="H117" s="51"/>
      <c r="I117" s="47">
        <f>SUM(P33:P116)</f>
        <v>499962.93999999994</v>
      </c>
      <c r="J117" s="48"/>
      <c r="K117" s="32"/>
    </row>
    <row r="120" spans="1:16" ht="13.8" x14ac:dyDescent="0.25">
      <c r="A120" s="51" t="str">
        <f>CONCATENATE("Итого по локальной смете: ",IF(Source!G77&lt;&gt;"Новая локальная смета", Source!G77, ""))</f>
        <v xml:space="preserve">Итого по локальной смете: </v>
      </c>
      <c r="B120" s="51"/>
      <c r="C120" s="51"/>
      <c r="D120" s="51"/>
      <c r="E120" s="51"/>
      <c r="F120" s="51"/>
      <c r="G120" s="51"/>
      <c r="H120" s="51"/>
      <c r="I120" s="47">
        <f>SUM(P31:P119)</f>
        <v>499962.93999999994</v>
      </c>
      <c r="J120" s="48"/>
      <c r="K120" s="32"/>
    </row>
    <row r="122" spans="1:16" ht="13.8" x14ac:dyDescent="0.25">
      <c r="C122" s="44" t="str">
        <f>Source!H106</f>
        <v>НДС</v>
      </c>
      <c r="D122" s="44"/>
      <c r="E122" s="44"/>
      <c r="F122" s="44"/>
      <c r="G122" s="44"/>
      <c r="H122" s="44"/>
      <c r="I122" s="35">
        <f>IF(Source!F106=0, "", Source!F106)</f>
        <v>99992.59</v>
      </c>
      <c r="J122" s="35"/>
    </row>
    <row r="123" spans="1:16" ht="13.8" x14ac:dyDescent="0.25">
      <c r="C123" s="44" t="str">
        <f>Source!H107</f>
        <v>Всего с НДС</v>
      </c>
      <c r="D123" s="44"/>
      <c r="E123" s="44"/>
      <c r="F123" s="44"/>
      <c r="G123" s="44"/>
      <c r="H123" s="44"/>
      <c r="I123" s="35">
        <f>IF(Source!F107=0, "", Source!F107)</f>
        <v>599955.53</v>
      </c>
      <c r="J123" s="35"/>
    </row>
    <row r="126" spans="1:16" ht="13.8" x14ac:dyDescent="0.25">
      <c r="A126" s="52" t="s">
        <v>262</v>
      </c>
      <c r="B126" s="52"/>
      <c r="C126" s="33" t="str">
        <f>IF(Source!AC12&lt;&gt;"", Source!AC12," ")</f>
        <v xml:space="preserve"> </v>
      </c>
      <c r="D126" s="33"/>
      <c r="E126" s="33"/>
      <c r="F126" s="33"/>
      <c r="G126" s="33"/>
      <c r="H126" s="10" t="str">
        <f>IF(Source!AB12&lt;&gt;"", Source!AB12," ")</f>
        <v xml:space="preserve"> </v>
      </c>
      <c r="I126" s="10"/>
      <c r="J126" s="10"/>
      <c r="K126" s="10"/>
    </row>
    <row r="127" spans="1:16" ht="13.8" x14ac:dyDescent="0.25">
      <c r="A127" s="10"/>
      <c r="B127" s="10"/>
      <c r="C127" s="53" t="s">
        <v>263</v>
      </c>
      <c r="D127" s="53"/>
      <c r="E127" s="53"/>
      <c r="F127" s="53"/>
      <c r="G127" s="53"/>
      <c r="H127" s="10"/>
      <c r="I127" s="10"/>
      <c r="J127" s="10"/>
      <c r="K127" s="10"/>
    </row>
    <row r="128" spans="1:16" ht="13.8" x14ac:dyDescent="0.25">
      <c r="A128" s="52" t="s">
        <v>264</v>
      </c>
      <c r="B128" s="52"/>
      <c r="C128" s="33" t="str">
        <f>IF(Source!AE12&lt;&gt;"", Source!AE12," ")</f>
        <v xml:space="preserve"> </v>
      </c>
      <c r="D128" s="33"/>
      <c r="E128" s="33"/>
      <c r="F128" s="33"/>
      <c r="G128" s="33"/>
      <c r="H128" s="10" t="str">
        <f>IF(Source!AD12&lt;&gt;"", Source!AD12," ")</f>
        <v xml:space="preserve"> </v>
      </c>
      <c r="I128" s="10"/>
      <c r="J128" s="10"/>
      <c r="K128" s="10"/>
    </row>
    <row r="129" spans="1:11" ht="13.8" x14ac:dyDescent="0.25">
      <c r="A129" s="10"/>
      <c r="B129" s="10"/>
      <c r="C129" s="53" t="s">
        <v>263</v>
      </c>
      <c r="D129" s="53"/>
      <c r="E129" s="53"/>
      <c r="F129" s="53"/>
      <c r="G129" s="53"/>
      <c r="H129" s="10"/>
      <c r="I129" s="10"/>
      <c r="J129" s="10"/>
      <c r="K129" s="10"/>
    </row>
  </sheetData>
  <mergeCells count="57">
    <mergeCell ref="A126:B126"/>
    <mergeCell ref="C127:G127"/>
    <mergeCell ref="A128:B128"/>
    <mergeCell ref="C129:G129"/>
    <mergeCell ref="A117:H117"/>
    <mergeCell ref="I120:J120"/>
    <mergeCell ref="A120:H120"/>
    <mergeCell ref="C122:H122"/>
    <mergeCell ref="I122:J122"/>
    <mergeCell ref="C123:H123"/>
    <mergeCell ref="I123:J123"/>
    <mergeCell ref="F26:F28"/>
    <mergeCell ref="G26:G28"/>
    <mergeCell ref="H26:H28"/>
    <mergeCell ref="I117:J117"/>
    <mergeCell ref="I26:I28"/>
    <mergeCell ref="J26:J28"/>
    <mergeCell ref="A31:K31"/>
    <mergeCell ref="A33:K33"/>
    <mergeCell ref="I45:J45"/>
    <mergeCell ref="I57:J57"/>
    <mergeCell ref="I69:J69"/>
    <mergeCell ref="I81:J81"/>
    <mergeCell ref="I92:J92"/>
    <mergeCell ref="I103:J103"/>
    <mergeCell ref="I115:J115"/>
    <mergeCell ref="A26:A28"/>
    <mergeCell ref="B26:B28"/>
    <mergeCell ref="C26:C28"/>
    <mergeCell ref="D26:D28"/>
    <mergeCell ref="E26:E28"/>
    <mergeCell ref="F22:H22"/>
    <mergeCell ref="I22:J22"/>
    <mergeCell ref="F23:H23"/>
    <mergeCell ref="I23:J23"/>
    <mergeCell ref="F24:H24"/>
    <mergeCell ref="I24:J24"/>
    <mergeCell ref="A17:K17"/>
    <mergeCell ref="F19:H19"/>
    <mergeCell ref="I19:J19"/>
    <mergeCell ref="F21:H21"/>
    <mergeCell ref="I21:J21"/>
    <mergeCell ref="F20:H20"/>
    <mergeCell ref="I20:J20"/>
    <mergeCell ref="B7:E7"/>
    <mergeCell ref="G7:K7"/>
    <mergeCell ref="J2:K2"/>
    <mergeCell ref="A10:K10"/>
    <mergeCell ref="A11:K11"/>
    <mergeCell ref="B3:E3"/>
    <mergeCell ref="G3:K3"/>
    <mergeCell ref="B4:E4"/>
    <mergeCell ref="G4:K4"/>
    <mergeCell ref="B6:E6"/>
    <mergeCell ref="G6:K6"/>
    <mergeCell ref="A14:K14"/>
    <mergeCell ref="A15:K15"/>
  </mergeCells>
  <pageMargins left="0.4" right="0.2" top="0.4" bottom="0.4" header="0.2" footer="0.2"/>
  <pageSetup paperSize="9" scale="65" fitToHeight="0" orientation="portrait" r:id="rId1"/>
  <headerFooter>
    <oddHeader>&amp;L&amp;8ГКУ "Дирекция ОДОТСЗН г. Москвы"  Доп. раб. место  FStS-0037572</oddHeader>
    <oddFooter>&amp;R&amp;P</oddFooter>
  </headerFooter>
  <rowBreaks count="1" manualBreakCount="1">
    <brk id="6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48"/>
  <sheetViews>
    <sheetView workbookViewId="0">
      <selection activeCell="G12" sqref="G12"/>
    </sheetView>
  </sheetViews>
  <sheetFormatPr defaultColWidth="9.109375" defaultRowHeight="13.2" x14ac:dyDescent="0.25"/>
  <cols>
    <col min="1" max="256" width="9.109375" customWidth="1"/>
  </cols>
  <sheetData>
    <row r="1" spans="1:133" x14ac:dyDescent="0.25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37572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5">
      <c r="A12" s="1">
        <v>1</v>
      </c>
      <c r="B12" s="1">
        <v>144</v>
      </c>
      <c r="C12" s="1">
        <v>0</v>
      </c>
      <c r="D12" s="1">
        <f>ROW(A109)</f>
        <v>109</v>
      </c>
      <c r="E12" s="1">
        <v>0</v>
      </c>
      <c r="F12" s="1" t="s">
        <v>4</v>
      </c>
      <c r="G12" s="1" t="s">
        <v>267</v>
      </c>
      <c r="H12" s="1" t="s">
        <v>4</v>
      </c>
      <c r="I12" s="1">
        <v>0</v>
      </c>
      <c r="J12" s="1" t="s">
        <v>4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4</v>
      </c>
      <c r="V12" s="1">
        <v>0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/>
      <c r="AL12" s="1" t="s">
        <v>4</v>
      </c>
      <c r="AM12" s="1" t="s">
        <v>4</v>
      </c>
      <c r="AN12" s="1" t="s">
        <v>4</v>
      </c>
      <c r="AO12" s="1"/>
      <c r="AP12" s="1" t="s">
        <v>4</v>
      </c>
      <c r="AQ12" s="1" t="s">
        <v>4</v>
      </c>
      <c r="AR12" s="1" t="s">
        <v>4</v>
      </c>
      <c r="AS12" s="1"/>
      <c r="AT12" s="1"/>
      <c r="AU12" s="1"/>
      <c r="AV12" s="1"/>
      <c r="AW12" s="1"/>
      <c r="AX12" s="1" t="s">
        <v>4</v>
      </c>
      <c r="AY12" s="1" t="s">
        <v>4</v>
      </c>
      <c r="AZ12" s="1" t="s">
        <v>4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4</v>
      </c>
      <c r="CJ12" s="1" t="s">
        <v>4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5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5">
      <c r="A18" s="2">
        <v>52</v>
      </c>
      <c r="B18" s="2">
        <f t="shared" ref="B18:G18" si="0">B109</f>
        <v>144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Выполнение работ по текущему ремонту территории в ГБУ ПНИ №16 по адресу:   город Москва, улица Трофимова, дом 26.</v>
      </c>
      <c r="H18" s="2"/>
      <c r="I18" s="2"/>
      <c r="J18" s="2"/>
      <c r="K18" s="2"/>
      <c r="L18" s="2"/>
      <c r="M18" s="2"/>
      <c r="N18" s="2"/>
      <c r="O18" s="2">
        <f t="shared" ref="O18:AT18" si="1">O109</f>
        <v>346304.35</v>
      </c>
      <c r="P18" s="2">
        <f t="shared" si="1"/>
        <v>143345.31</v>
      </c>
      <c r="Q18" s="2">
        <f t="shared" si="1"/>
        <v>73170.289999999994</v>
      </c>
      <c r="R18" s="2">
        <f t="shared" si="1"/>
        <v>46136.65</v>
      </c>
      <c r="S18" s="2">
        <f t="shared" si="1"/>
        <v>129788.75</v>
      </c>
      <c r="T18" s="2">
        <f t="shared" si="1"/>
        <v>0</v>
      </c>
      <c r="U18" s="2">
        <f t="shared" si="1"/>
        <v>495.12308080000003</v>
      </c>
      <c r="V18" s="2">
        <f t="shared" si="1"/>
        <v>0</v>
      </c>
      <c r="W18" s="2">
        <f t="shared" si="1"/>
        <v>0</v>
      </c>
      <c r="X18" s="2">
        <f t="shared" si="1"/>
        <v>90852.13</v>
      </c>
      <c r="Y18" s="2">
        <f t="shared" si="1"/>
        <v>12978.88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499962.94</v>
      </c>
      <c r="AS18" s="2">
        <f t="shared" si="1"/>
        <v>4151.01</v>
      </c>
      <c r="AT18" s="2">
        <f t="shared" si="1"/>
        <v>0</v>
      </c>
      <c r="AU18" s="2">
        <f t="shared" ref="AU18:BZ18" si="2">AU109</f>
        <v>495811.93</v>
      </c>
      <c r="AV18" s="2">
        <f t="shared" si="2"/>
        <v>143345.31</v>
      </c>
      <c r="AW18" s="2">
        <f t="shared" si="2"/>
        <v>143345.31</v>
      </c>
      <c r="AX18" s="2">
        <f t="shared" si="2"/>
        <v>0</v>
      </c>
      <c r="AY18" s="2">
        <f t="shared" si="2"/>
        <v>143345.31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CA109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DG109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EM109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FS109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5">
      <c r="A20" s="1">
        <v>3</v>
      </c>
      <c r="B20" s="1">
        <v>1</v>
      </c>
      <c r="C20" s="1"/>
      <c r="D20" s="1">
        <f>ROW(A77)</f>
        <v>77</v>
      </c>
      <c r="E20" s="1"/>
      <c r="F20" s="1" t="s">
        <v>12</v>
      </c>
      <c r="G20" s="1" t="s">
        <v>12</v>
      </c>
      <c r="H20" s="1" t="s">
        <v>4</v>
      </c>
      <c r="I20" s="1">
        <v>0</v>
      </c>
      <c r="J20" s="1" t="s">
        <v>4</v>
      </c>
      <c r="K20" s="1">
        <v>0</v>
      </c>
      <c r="L20" s="1" t="s">
        <v>4</v>
      </c>
      <c r="M20" s="1" t="s">
        <v>4</v>
      </c>
      <c r="N20" s="1"/>
      <c r="O20" s="1"/>
      <c r="P20" s="1"/>
      <c r="Q20" s="1"/>
      <c r="R20" s="1"/>
      <c r="S20" s="1">
        <v>0</v>
      </c>
      <c r="T20" s="1"/>
      <c r="U20" s="1" t="s">
        <v>4</v>
      </c>
      <c r="V20" s="1">
        <v>0</v>
      </c>
      <c r="W20" s="1"/>
      <c r="X20" s="1"/>
      <c r="Y20" s="1"/>
      <c r="Z20" s="1"/>
      <c r="AA20" s="1"/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/>
      <c r="AI20" s="1"/>
      <c r="AJ20" s="1"/>
      <c r="AK20" s="1"/>
      <c r="AL20" s="1"/>
      <c r="AM20" s="1"/>
      <c r="AN20" s="1"/>
      <c r="AO20" s="1"/>
      <c r="AP20" s="1" t="s">
        <v>4</v>
      </c>
      <c r="AQ20" s="1" t="s">
        <v>4</v>
      </c>
      <c r="AR20" s="1" t="s">
        <v>4</v>
      </c>
      <c r="AS20" s="1"/>
      <c r="AT20" s="1"/>
      <c r="AU20" s="1"/>
      <c r="AV20" s="1"/>
      <c r="AW20" s="1"/>
      <c r="AX20" s="1"/>
      <c r="AY20" s="1"/>
      <c r="AZ20" s="1" t="s">
        <v>4</v>
      </c>
      <c r="BA20" s="1"/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1" t="s">
        <v>4</v>
      </c>
      <c r="BP20" s="1" t="s">
        <v>4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4</v>
      </c>
      <c r="CJ20" s="1" t="s">
        <v>4</v>
      </c>
      <c r="CK20" t="s">
        <v>4</v>
      </c>
      <c r="CL20" t="s">
        <v>4</v>
      </c>
      <c r="CM20" t="s">
        <v>4</v>
      </c>
      <c r="CN20" t="s">
        <v>4</v>
      </c>
      <c r="CO20" t="s">
        <v>4</v>
      </c>
      <c r="CP20" t="s">
        <v>4</v>
      </c>
      <c r="CQ20" t="s">
        <v>4</v>
      </c>
    </row>
    <row r="22" spans="1:245" x14ac:dyDescent="0.25">
      <c r="A22" s="2">
        <v>52</v>
      </c>
      <c r="B22" s="2">
        <f t="shared" ref="B22:G22" si="7">B77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O77</f>
        <v>346304.35</v>
      </c>
      <c r="P22" s="2">
        <f t="shared" si="8"/>
        <v>143345.31</v>
      </c>
      <c r="Q22" s="2">
        <f t="shared" si="8"/>
        <v>73170.289999999994</v>
      </c>
      <c r="R22" s="2">
        <f t="shared" si="8"/>
        <v>46136.65</v>
      </c>
      <c r="S22" s="2">
        <f t="shared" si="8"/>
        <v>129788.75</v>
      </c>
      <c r="T22" s="2">
        <f t="shared" si="8"/>
        <v>0</v>
      </c>
      <c r="U22" s="2">
        <f t="shared" si="8"/>
        <v>495.12308080000003</v>
      </c>
      <c r="V22" s="2">
        <f t="shared" si="8"/>
        <v>0</v>
      </c>
      <c r="W22" s="2">
        <f t="shared" si="8"/>
        <v>0</v>
      </c>
      <c r="X22" s="2">
        <f t="shared" si="8"/>
        <v>90852.13</v>
      </c>
      <c r="Y22" s="2">
        <f t="shared" si="8"/>
        <v>12978.88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499962.94</v>
      </c>
      <c r="AS22" s="2">
        <f t="shared" si="8"/>
        <v>4151.01</v>
      </c>
      <c r="AT22" s="2">
        <f t="shared" si="8"/>
        <v>0</v>
      </c>
      <c r="AU22" s="2">
        <f t="shared" ref="AU22:BZ22" si="9">AU77</f>
        <v>495811.93</v>
      </c>
      <c r="AV22" s="2">
        <f t="shared" si="9"/>
        <v>143345.31</v>
      </c>
      <c r="AW22" s="2">
        <f t="shared" si="9"/>
        <v>143345.31</v>
      </c>
      <c r="AX22" s="2">
        <f t="shared" si="9"/>
        <v>0</v>
      </c>
      <c r="AY22" s="2">
        <f t="shared" si="9"/>
        <v>143345.31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CA77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DG77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EM77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FS77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5">
      <c r="A24" s="1">
        <v>4</v>
      </c>
      <c r="B24" s="1">
        <v>1</v>
      </c>
      <c r="C24" s="1"/>
      <c r="D24" s="1">
        <f>ROW(A47)</f>
        <v>47</v>
      </c>
      <c r="E24" s="1"/>
      <c r="F24" s="1" t="s">
        <v>13</v>
      </c>
      <c r="G24" s="1" t="s">
        <v>14</v>
      </c>
      <c r="H24" s="1" t="s">
        <v>4</v>
      </c>
      <c r="I24" s="1">
        <v>0</v>
      </c>
      <c r="J24" s="1"/>
      <c r="K24" s="1">
        <v>0</v>
      </c>
      <c r="L24" s="1"/>
      <c r="M24" s="1" t="s">
        <v>4</v>
      </c>
      <c r="N24" s="1"/>
      <c r="O24" s="1"/>
      <c r="P24" s="1"/>
      <c r="Q24" s="1"/>
      <c r="R24" s="1"/>
      <c r="S24" s="1">
        <v>0</v>
      </c>
      <c r="T24" s="1"/>
      <c r="U24" s="1" t="s">
        <v>4</v>
      </c>
      <c r="V24" s="1">
        <v>0</v>
      </c>
      <c r="W24" s="1"/>
      <c r="X24" s="1"/>
      <c r="Y24" s="1"/>
      <c r="Z24" s="1"/>
      <c r="AA24" s="1"/>
      <c r="AB24" s="1" t="s">
        <v>4</v>
      </c>
      <c r="AC24" s="1" t="s">
        <v>4</v>
      </c>
      <c r="AD24" s="1" t="s">
        <v>4</v>
      </c>
      <c r="AE24" s="1" t="s">
        <v>4</v>
      </c>
      <c r="AF24" s="1" t="s">
        <v>4</v>
      </c>
      <c r="AG24" s="1" t="s">
        <v>4</v>
      </c>
      <c r="AH24" s="1"/>
      <c r="AI24" s="1"/>
      <c r="AJ24" s="1"/>
      <c r="AK24" s="1"/>
      <c r="AL24" s="1"/>
      <c r="AM24" s="1"/>
      <c r="AN24" s="1"/>
      <c r="AO24" s="1"/>
      <c r="AP24" s="1" t="s">
        <v>4</v>
      </c>
      <c r="AQ24" s="1" t="s">
        <v>4</v>
      </c>
      <c r="AR24" s="1" t="s">
        <v>4</v>
      </c>
      <c r="AS24" s="1"/>
      <c r="AT24" s="1"/>
      <c r="AU24" s="1"/>
      <c r="AV24" s="1"/>
      <c r="AW24" s="1"/>
      <c r="AX24" s="1"/>
      <c r="AY24" s="1"/>
      <c r="AZ24" s="1" t="s">
        <v>4</v>
      </c>
      <c r="BA24" s="1"/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4</v>
      </c>
      <c r="BK24" s="1" t="s">
        <v>4</v>
      </c>
      <c r="BL24" s="1" t="s">
        <v>4</v>
      </c>
      <c r="BM24" s="1" t="s">
        <v>4</v>
      </c>
      <c r="BN24" s="1" t="s">
        <v>4</v>
      </c>
      <c r="BO24" s="1" t="s">
        <v>4</v>
      </c>
      <c r="BP24" s="1" t="s">
        <v>4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5">
      <c r="A26" s="2">
        <v>52</v>
      </c>
      <c r="B26" s="2">
        <f t="shared" ref="B26:G26" si="14">B47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Монтажные работы</v>
      </c>
      <c r="H26" s="2"/>
      <c r="I26" s="2"/>
      <c r="J26" s="2"/>
      <c r="K26" s="2"/>
      <c r="L26" s="2"/>
      <c r="M26" s="2"/>
      <c r="N26" s="2"/>
      <c r="O26" s="2">
        <f t="shared" ref="O26:AT26" si="15">O47</f>
        <v>346304.35</v>
      </c>
      <c r="P26" s="2">
        <f t="shared" si="15"/>
        <v>143345.31</v>
      </c>
      <c r="Q26" s="2">
        <f t="shared" si="15"/>
        <v>73170.289999999994</v>
      </c>
      <c r="R26" s="2">
        <f t="shared" si="15"/>
        <v>46136.65</v>
      </c>
      <c r="S26" s="2">
        <f t="shared" si="15"/>
        <v>129788.75</v>
      </c>
      <c r="T26" s="2">
        <f t="shared" si="15"/>
        <v>0</v>
      </c>
      <c r="U26" s="2">
        <f t="shared" si="15"/>
        <v>495.12308080000003</v>
      </c>
      <c r="V26" s="2">
        <f t="shared" si="15"/>
        <v>0</v>
      </c>
      <c r="W26" s="2">
        <f t="shared" si="15"/>
        <v>0</v>
      </c>
      <c r="X26" s="2">
        <f t="shared" si="15"/>
        <v>90852.13</v>
      </c>
      <c r="Y26" s="2">
        <f t="shared" si="15"/>
        <v>12978.88</v>
      </c>
      <c r="Z26" s="2">
        <f t="shared" si="15"/>
        <v>0</v>
      </c>
      <c r="AA26" s="2">
        <f t="shared" si="15"/>
        <v>0</v>
      </c>
      <c r="AB26" s="2">
        <f t="shared" si="15"/>
        <v>346304.35</v>
      </c>
      <c r="AC26" s="2">
        <f t="shared" si="15"/>
        <v>143345.31</v>
      </c>
      <c r="AD26" s="2">
        <f t="shared" si="15"/>
        <v>73170.289999999994</v>
      </c>
      <c r="AE26" s="2">
        <f t="shared" si="15"/>
        <v>46136.65</v>
      </c>
      <c r="AF26" s="2">
        <f t="shared" si="15"/>
        <v>129788.75</v>
      </c>
      <c r="AG26" s="2">
        <f t="shared" si="15"/>
        <v>0</v>
      </c>
      <c r="AH26" s="2">
        <f t="shared" si="15"/>
        <v>495.12308080000003</v>
      </c>
      <c r="AI26" s="2">
        <f t="shared" si="15"/>
        <v>0</v>
      </c>
      <c r="AJ26" s="2">
        <f t="shared" si="15"/>
        <v>0</v>
      </c>
      <c r="AK26" s="2">
        <f t="shared" si="15"/>
        <v>90852.13</v>
      </c>
      <c r="AL26" s="2">
        <f t="shared" si="15"/>
        <v>12978.88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499962.94</v>
      </c>
      <c r="AS26" s="2">
        <f t="shared" si="15"/>
        <v>4151.01</v>
      </c>
      <c r="AT26" s="2">
        <f t="shared" si="15"/>
        <v>0</v>
      </c>
      <c r="AU26" s="2">
        <f t="shared" ref="AU26:BZ26" si="16">AU47</f>
        <v>495811.93</v>
      </c>
      <c r="AV26" s="2">
        <f t="shared" si="16"/>
        <v>143345.31</v>
      </c>
      <c r="AW26" s="2">
        <f t="shared" si="16"/>
        <v>143345.31</v>
      </c>
      <c r="AX26" s="2">
        <f t="shared" si="16"/>
        <v>0</v>
      </c>
      <c r="AY26" s="2">
        <f t="shared" si="16"/>
        <v>143345.31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CA47</f>
        <v>499962.94</v>
      </c>
      <c r="CB26" s="2">
        <f t="shared" si="17"/>
        <v>4151.01</v>
      </c>
      <c r="CC26" s="2">
        <f t="shared" si="17"/>
        <v>0</v>
      </c>
      <c r="CD26" s="2">
        <f t="shared" si="17"/>
        <v>495811.93</v>
      </c>
      <c r="CE26" s="2">
        <f t="shared" si="17"/>
        <v>143345.31</v>
      </c>
      <c r="CF26" s="2">
        <f t="shared" si="17"/>
        <v>143345.31</v>
      </c>
      <c r="CG26" s="2">
        <f t="shared" si="17"/>
        <v>0</v>
      </c>
      <c r="CH26" s="2">
        <f t="shared" si="17"/>
        <v>143345.31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DG47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EM47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FS47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5">
      <c r="A28">
        <v>17</v>
      </c>
      <c r="B28">
        <v>1</v>
      </c>
      <c r="C28">
        <f>ROW(SmtRes!A16)</f>
        <v>16</v>
      </c>
      <c r="D28">
        <f>ROW(EtalonRes!A15)</f>
        <v>15</v>
      </c>
      <c r="E28" t="s">
        <v>15</v>
      </c>
      <c r="F28" t="s">
        <v>16</v>
      </c>
      <c r="G28" t="s">
        <v>17</v>
      </c>
      <c r="H28" t="s">
        <v>18</v>
      </c>
      <c r="I28">
        <v>22</v>
      </c>
      <c r="J28">
        <v>0</v>
      </c>
      <c r="O28">
        <f t="shared" ref="O28:O45" si="21">ROUND(CP28,2)</f>
        <v>98949.18</v>
      </c>
      <c r="P28">
        <f t="shared" ref="P28:P45" si="22">ROUND(CQ28*I28,2)</f>
        <v>81789.179999999993</v>
      </c>
      <c r="Q28">
        <f t="shared" ref="Q28:Q45" si="23">ROUND(CR28*I28,2)</f>
        <v>5778.08</v>
      </c>
      <c r="R28">
        <f t="shared" ref="R28:R45" si="24">ROUND(CS28*I28,2)</f>
        <v>3225.86</v>
      </c>
      <c r="S28">
        <f t="shared" ref="S28:S45" si="25">ROUND(CT28*I28,2)</f>
        <v>11381.92</v>
      </c>
      <c r="T28">
        <f t="shared" ref="T28:T45" si="26">ROUND(CU28*I28,2)</f>
        <v>0</v>
      </c>
      <c r="U28">
        <f t="shared" ref="U28:U45" si="27">CV28*I28</f>
        <v>52.36</v>
      </c>
      <c r="V28">
        <f t="shared" ref="V28:V45" si="28">CW28*I28</f>
        <v>0</v>
      </c>
      <c r="W28">
        <f t="shared" ref="W28:W45" si="29">ROUND(CX28*I28,2)</f>
        <v>0</v>
      </c>
      <c r="X28">
        <f t="shared" ref="X28:X45" si="30">ROUND(CY28,2)</f>
        <v>7967.34</v>
      </c>
      <c r="Y28">
        <f t="shared" ref="Y28:Y45" si="31">ROUND(CZ28,2)</f>
        <v>1138.19</v>
      </c>
      <c r="AA28">
        <v>51820365</v>
      </c>
      <c r="AB28">
        <f t="shared" ref="AB28:AB45" si="32">ROUND((AC28+AD28+AF28),6)</f>
        <v>4497.6899999999996</v>
      </c>
      <c r="AC28">
        <f t="shared" ref="AC28:AC45" si="33">ROUND((ES28),6)</f>
        <v>3717.69</v>
      </c>
      <c r="AD28">
        <f t="shared" ref="AD28:AD45" si="34">ROUND((((ET28)-(EU28))+AE28),6)</f>
        <v>262.64</v>
      </c>
      <c r="AE28">
        <f t="shared" ref="AE28:AE45" si="35">ROUND((EU28),6)</f>
        <v>146.63</v>
      </c>
      <c r="AF28">
        <f t="shared" ref="AF28:AF45" si="36">ROUND((EV28),6)</f>
        <v>517.36</v>
      </c>
      <c r="AG28">
        <f t="shared" ref="AG28:AG45" si="37">ROUND((AP28),6)</f>
        <v>0</v>
      </c>
      <c r="AH28">
        <f t="shared" ref="AH28:AH45" si="38">(EW28)</f>
        <v>2.38</v>
      </c>
      <c r="AI28">
        <f t="shared" ref="AI28:AI45" si="39">(EX28)</f>
        <v>0</v>
      </c>
      <c r="AJ28">
        <f t="shared" ref="AJ28:AJ45" si="40">(AS28)</f>
        <v>0</v>
      </c>
      <c r="AK28">
        <v>4497.6899999999996</v>
      </c>
      <c r="AL28">
        <v>3717.69</v>
      </c>
      <c r="AM28">
        <v>262.64</v>
      </c>
      <c r="AN28">
        <v>146.63</v>
      </c>
      <c r="AO28">
        <v>517.36</v>
      </c>
      <c r="AP28">
        <v>0</v>
      </c>
      <c r="AQ28">
        <v>2.38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4</v>
      </c>
      <c r="BE28" t="s">
        <v>4</v>
      </c>
      <c r="BF28" t="s">
        <v>4</v>
      </c>
      <c r="BG28" t="s">
        <v>4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4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4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4</v>
      </c>
      <c r="CO28">
        <v>0</v>
      </c>
      <c r="CP28">
        <f t="shared" ref="CP28:CP45" si="41">(P28+Q28+S28)</f>
        <v>98949.18</v>
      </c>
      <c r="CQ28">
        <f t="shared" ref="CQ28:CQ45" si="42">(AC28*BC28*AW28)</f>
        <v>3717.69</v>
      </c>
      <c r="CR28">
        <f t="shared" ref="CR28:CR45" si="43">((((ET28)*BB28-(EU28)*BS28)+AE28*BS28)*AV28)</f>
        <v>262.64</v>
      </c>
      <c r="CS28">
        <f t="shared" ref="CS28:CS45" si="44">(AE28*BS28*AV28)</f>
        <v>146.63</v>
      </c>
      <c r="CT28">
        <f t="shared" ref="CT28:CT45" si="45">(AF28*BA28*AV28)</f>
        <v>517.36</v>
      </c>
      <c r="CU28">
        <f t="shared" ref="CU28:CU45" si="46">AG28</f>
        <v>0</v>
      </c>
      <c r="CV28">
        <f t="shared" ref="CV28:CV45" si="47">(AH28*AV28)</f>
        <v>2.38</v>
      </c>
      <c r="CW28">
        <f t="shared" ref="CW28:CW45" si="48">AI28</f>
        <v>0</v>
      </c>
      <c r="CX28">
        <f t="shared" ref="CX28:CX45" si="49">AJ28</f>
        <v>0</v>
      </c>
      <c r="CY28">
        <f t="shared" ref="CY28:CY45" si="50">((S28*BZ28)/100)</f>
        <v>7967.3440000000001</v>
      </c>
      <c r="CZ28">
        <f t="shared" ref="CZ28:CZ45" si="51">((S28*CA28)/100)</f>
        <v>1138.192</v>
      </c>
      <c r="DC28" t="s">
        <v>4</v>
      </c>
      <c r="DD28" t="s">
        <v>4</v>
      </c>
      <c r="DE28" t="s">
        <v>4</v>
      </c>
      <c r="DF28" t="s">
        <v>4</v>
      </c>
      <c r="DG28" t="s">
        <v>4</v>
      </c>
      <c r="DH28" t="s">
        <v>4</v>
      </c>
      <c r="DI28" t="s">
        <v>4</v>
      </c>
      <c r="DJ28" t="s">
        <v>4</v>
      </c>
      <c r="DK28" t="s">
        <v>4</v>
      </c>
      <c r="DL28" t="s">
        <v>4</v>
      </c>
      <c r="DM28" t="s">
        <v>4</v>
      </c>
      <c r="DN28">
        <v>0</v>
      </c>
      <c r="DO28">
        <v>0</v>
      </c>
      <c r="DP28">
        <v>1</v>
      </c>
      <c r="DQ28">
        <v>1</v>
      </c>
      <c r="DU28">
        <v>1010</v>
      </c>
      <c r="DV28" t="s">
        <v>18</v>
      </c>
      <c r="DW28" t="s">
        <v>18</v>
      </c>
      <c r="DX28">
        <v>1</v>
      </c>
      <c r="DZ28" t="s">
        <v>4</v>
      </c>
      <c r="EA28" t="s">
        <v>4</v>
      </c>
      <c r="EB28" t="s">
        <v>4</v>
      </c>
      <c r="EC28" t="s">
        <v>4</v>
      </c>
      <c r="EE28">
        <v>50667548</v>
      </c>
      <c r="EF28">
        <v>1</v>
      </c>
      <c r="EG28" t="s">
        <v>20</v>
      </c>
      <c r="EH28">
        <v>0</v>
      </c>
      <c r="EI28" t="s">
        <v>4</v>
      </c>
      <c r="EJ28">
        <v>4</v>
      </c>
      <c r="EK28">
        <v>0</v>
      </c>
      <c r="EL28" t="s">
        <v>21</v>
      </c>
      <c r="EM28" t="s">
        <v>22</v>
      </c>
      <c r="EO28" t="s">
        <v>4</v>
      </c>
      <c r="EQ28">
        <v>0</v>
      </c>
      <c r="ER28">
        <v>4497.6899999999996</v>
      </c>
      <c r="ES28">
        <v>3717.69</v>
      </c>
      <c r="ET28">
        <v>262.64</v>
      </c>
      <c r="EU28">
        <v>146.63</v>
      </c>
      <c r="EV28">
        <v>517.36</v>
      </c>
      <c r="EW28">
        <v>2.38</v>
      </c>
      <c r="EX28">
        <v>0</v>
      </c>
      <c r="EY28">
        <v>0</v>
      </c>
      <c r="FQ28">
        <v>0</v>
      </c>
      <c r="FR28">
        <f t="shared" ref="FR28:FR45" si="52">ROUND(IF(AND(BH28=3,BI28=3),P28,0),2)</f>
        <v>0</v>
      </c>
      <c r="FS28">
        <v>0</v>
      </c>
      <c r="FX28">
        <v>70</v>
      </c>
      <c r="FY28">
        <v>10</v>
      </c>
      <c r="GA28" t="s">
        <v>4</v>
      </c>
      <c r="GD28">
        <v>0</v>
      </c>
      <c r="GF28">
        <v>-374750057</v>
      </c>
      <c r="GG28">
        <v>2</v>
      </c>
      <c r="GH28">
        <v>1</v>
      </c>
      <c r="GI28">
        <v>-2</v>
      </c>
      <c r="GJ28">
        <v>0</v>
      </c>
      <c r="GK28">
        <f>ROUND(R28*(R12)/100,2)</f>
        <v>3483.93</v>
      </c>
      <c r="GL28">
        <f t="shared" ref="GL28:GL45" si="53">ROUND(IF(AND(BH28=3,BI28=3,FS28&lt;&gt;0),P28,0),2)</f>
        <v>0</v>
      </c>
      <c r="GM28">
        <f t="shared" ref="GM28:GM45" si="54">ROUND(O28+X28+Y28+GK28,2)+GX28</f>
        <v>111538.64</v>
      </c>
      <c r="GN28">
        <f t="shared" ref="GN28:GN45" si="55">IF(OR(BI28=0,BI28=1),ROUND(O28+X28+Y28+GK28,2),0)</f>
        <v>0</v>
      </c>
      <c r="GO28">
        <f t="shared" ref="GO28:GO45" si="56">IF(BI28=2,ROUND(O28+X28+Y28+GK28,2),0)</f>
        <v>0</v>
      </c>
      <c r="GP28">
        <f t="shared" ref="GP28:GP45" si="57">IF(BI28=4,ROUND(O28+X28+Y28+GK28,2)+GX28,0)</f>
        <v>111538.64</v>
      </c>
      <c r="GR28">
        <v>0</v>
      </c>
      <c r="GS28">
        <v>3</v>
      </c>
      <c r="GT28">
        <v>0</v>
      </c>
      <c r="GU28" t="s">
        <v>4</v>
      </c>
      <c r="GV28">
        <f t="shared" ref="GV28:GV45" si="58">ROUND((GT28),6)</f>
        <v>0</v>
      </c>
      <c r="GW28">
        <v>1</v>
      </c>
      <c r="GX28">
        <f t="shared" ref="GX28:GX45" si="59">ROUND(HC28*I28,2)</f>
        <v>0</v>
      </c>
      <c r="HA28">
        <v>0</v>
      </c>
      <c r="HB28">
        <v>0</v>
      </c>
      <c r="HC28">
        <f t="shared" ref="HC28:HC45" si="60">GV28*GW28</f>
        <v>0</v>
      </c>
      <c r="HE28" t="s">
        <v>4</v>
      </c>
      <c r="HF28" t="s">
        <v>4</v>
      </c>
      <c r="IK28">
        <v>0</v>
      </c>
    </row>
    <row r="29" spans="1:245" x14ac:dyDescent="0.25">
      <c r="A29">
        <v>18</v>
      </c>
      <c r="B29">
        <v>1</v>
      </c>
      <c r="C29">
        <v>14</v>
      </c>
      <c r="E29" t="s">
        <v>23</v>
      </c>
      <c r="F29" t="s">
        <v>24</v>
      </c>
      <c r="G29" t="s">
        <v>25</v>
      </c>
      <c r="H29" t="s">
        <v>26</v>
      </c>
      <c r="I29">
        <f>I28*J29</f>
        <v>-55</v>
      </c>
      <c r="J29">
        <v>-2.5</v>
      </c>
      <c r="O29">
        <f t="shared" si="21"/>
        <v>-72164.399999999994</v>
      </c>
      <c r="P29">
        <f t="shared" si="22"/>
        <v>-72164.399999999994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1"/>
        <v>0</v>
      </c>
      <c r="AA29">
        <v>51820365</v>
      </c>
      <c r="AB29">
        <f t="shared" si="32"/>
        <v>1312.08</v>
      </c>
      <c r="AC29">
        <f t="shared" si="33"/>
        <v>1312.08</v>
      </c>
      <c r="AD29">
        <f t="shared" si="34"/>
        <v>0</v>
      </c>
      <c r="AE29">
        <f t="shared" si="35"/>
        <v>0</v>
      </c>
      <c r="AF29">
        <f t="shared" si="36"/>
        <v>0</v>
      </c>
      <c r="AG29">
        <f t="shared" si="37"/>
        <v>0</v>
      </c>
      <c r="AH29">
        <f t="shared" si="38"/>
        <v>0</v>
      </c>
      <c r="AI29">
        <f t="shared" si="39"/>
        <v>0</v>
      </c>
      <c r="AJ29">
        <f t="shared" si="40"/>
        <v>0</v>
      </c>
      <c r="AK29">
        <v>1312.08</v>
      </c>
      <c r="AL29">
        <v>1312.08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4</v>
      </c>
      <c r="BE29" t="s">
        <v>4</v>
      </c>
      <c r="BF29" t="s">
        <v>4</v>
      </c>
      <c r="BG29" t="s">
        <v>4</v>
      </c>
      <c r="BH29">
        <v>3</v>
      </c>
      <c r="BI29">
        <v>4</v>
      </c>
      <c r="BJ29" t="s">
        <v>27</v>
      </c>
      <c r="BM29">
        <v>0</v>
      </c>
      <c r="BN29">
        <v>0</v>
      </c>
      <c r="BO29" t="s">
        <v>4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4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4</v>
      </c>
      <c r="CO29">
        <v>0</v>
      </c>
      <c r="CP29">
        <f t="shared" si="41"/>
        <v>-72164.399999999994</v>
      </c>
      <c r="CQ29">
        <f t="shared" si="42"/>
        <v>1312.08</v>
      </c>
      <c r="CR29">
        <f t="shared" si="43"/>
        <v>0</v>
      </c>
      <c r="CS29">
        <f t="shared" si="44"/>
        <v>0</v>
      </c>
      <c r="CT29">
        <f t="shared" si="45"/>
        <v>0</v>
      </c>
      <c r="CU29">
        <f t="shared" si="46"/>
        <v>0</v>
      </c>
      <c r="CV29">
        <f t="shared" si="47"/>
        <v>0</v>
      </c>
      <c r="CW29">
        <f t="shared" si="48"/>
        <v>0</v>
      </c>
      <c r="CX29">
        <f t="shared" si="49"/>
        <v>0</v>
      </c>
      <c r="CY29">
        <f t="shared" si="50"/>
        <v>0</v>
      </c>
      <c r="CZ29">
        <f t="shared" si="51"/>
        <v>0</v>
      </c>
      <c r="DC29" t="s">
        <v>4</v>
      </c>
      <c r="DD29" t="s">
        <v>4</v>
      </c>
      <c r="DE29" t="s">
        <v>4</v>
      </c>
      <c r="DF29" t="s">
        <v>4</v>
      </c>
      <c r="DG29" t="s">
        <v>4</v>
      </c>
      <c r="DH29" t="s">
        <v>4</v>
      </c>
      <c r="DI29" t="s">
        <v>4</v>
      </c>
      <c r="DJ29" t="s">
        <v>4</v>
      </c>
      <c r="DK29" t="s">
        <v>4</v>
      </c>
      <c r="DL29" t="s">
        <v>4</v>
      </c>
      <c r="DM29" t="s">
        <v>4</v>
      </c>
      <c r="DN29">
        <v>0</v>
      </c>
      <c r="DO29">
        <v>0</v>
      </c>
      <c r="DP29">
        <v>1</v>
      </c>
      <c r="DQ29">
        <v>1</v>
      </c>
      <c r="DU29">
        <v>1003</v>
      </c>
      <c r="DV29" t="s">
        <v>26</v>
      </c>
      <c r="DW29" t="s">
        <v>26</v>
      </c>
      <c r="DX29">
        <v>1</v>
      </c>
      <c r="DZ29" t="s">
        <v>4</v>
      </c>
      <c r="EA29" t="s">
        <v>4</v>
      </c>
      <c r="EB29" t="s">
        <v>4</v>
      </c>
      <c r="EC29" t="s">
        <v>4</v>
      </c>
      <c r="EE29">
        <v>50667548</v>
      </c>
      <c r="EF29">
        <v>1</v>
      </c>
      <c r="EG29" t="s">
        <v>20</v>
      </c>
      <c r="EH29">
        <v>0</v>
      </c>
      <c r="EI29" t="s">
        <v>4</v>
      </c>
      <c r="EJ29">
        <v>4</v>
      </c>
      <c r="EK29">
        <v>0</v>
      </c>
      <c r="EL29" t="s">
        <v>21</v>
      </c>
      <c r="EM29" t="s">
        <v>22</v>
      </c>
      <c r="EO29" t="s">
        <v>4</v>
      </c>
      <c r="EQ29">
        <v>0</v>
      </c>
      <c r="ER29">
        <v>1312.08</v>
      </c>
      <c r="ES29">
        <v>1312.08</v>
      </c>
      <c r="ET29">
        <v>0</v>
      </c>
      <c r="EU29">
        <v>0</v>
      </c>
      <c r="EV29">
        <v>0</v>
      </c>
      <c r="EW29">
        <v>0</v>
      </c>
      <c r="EX29">
        <v>0</v>
      </c>
      <c r="FQ29">
        <v>0</v>
      </c>
      <c r="FR29">
        <f t="shared" si="52"/>
        <v>0</v>
      </c>
      <c r="FS29">
        <v>0</v>
      </c>
      <c r="FX29">
        <v>70</v>
      </c>
      <c r="FY29">
        <v>10</v>
      </c>
      <c r="GA29" t="s">
        <v>4</v>
      </c>
      <c r="GD29">
        <v>0</v>
      </c>
      <c r="GF29">
        <v>1566889511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53"/>
        <v>0</v>
      </c>
      <c r="GM29">
        <f t="shared" si="54"/>
        <v>-72164.399999999994</v>
      </c>
      <c r="GN29">
        <f t="shared" si="55"/>
        <v>0</v>
      </c>
      <c r="GO29">
        <f t="shared" si="56"/>
        <v>0</v>
      </c>
      <c r="GP29">
        <f t="shared" si="57"/>
        <v>-72164.399999999994</v>
      </c>
      <c r="GR29">
        <v>0</v>
      </c>
      <c r="GS29">
        <v>3</v>
      </c>
      <c r="GT29">
        <v>0</v>
      </c>
      <c r="GU29" t="s">
        <v>4</v>
      </c>
      <c r="GV29">
        <f t="shared" si="58"/>
        <v>0</v>
      </c>
      <c r="GW29">
        <v>1</v>
      </c>
      <c r="GX29">
        <f t="shared" si="59"/>
        <v>0</v>
      </c>
      <c r="HA29">
        <v>0</v>
      </c>
      <c r="HB29">
        <v>0</v>
      </c>
      <c r="HC29">
        <f t="shared" si="60"/>
        <v>0</v>
      </c>
      <c r="HE29" t="s">
        <v>4</v>
      </c>
      <c r="HF29" t="s">
        <v>4</v>
      </c>
      <c r="IK29">
        <v>0</v>
      </c>
    </row>
    <row r="30" spans="1:245" x14ac:dyDescent="0.25">
      <c r="A30">
        <v>18</v>
      </c>
      <c r="B30">
        <v>1</v>
      </c>
      <c r="C30">
        <v>13</v>
      </c>
      <c r="E30" t="s">
        <v>28</v>
      </c>
      <c r="F30" t="s">
        <v>29</v>
      </c>
      <c r="G30" t="s">
        <v>30</v>
      </c>
      <c r="H30" t="s">
        <v>26</v>
      </c>
      <c r="I30">
        <f>I28*J30</f>
        <v>47.3</v>
      </c>
      <c r="J30">
        <v>2.15</v>
      </c>
      <c r="O30">
        <f t="shared" si="21"/>
        <v>43860.82</v>
      </c>
      <c r="P30">
        <f t="shared" si="22"/>
        <v>43860.82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51820365</v>
      </c>
      <c r="AB30">
        <f t="shared" si="32"/>
        <v>927.29</v>
      </c>
      <c r="AC30">
        <f t="shared" si="33"/>
        <v>927.29</v>
      </c>
      <c r="AD30">
        <f t="shared" si="34"/>
        <v>0</v>
      </c>
      <c r="AE30">
        <f t="shared" si="35"/>
        <v>0</v>
      </c>
      <c r="AF30">
        <f t="shared" si="36"/>
        <v>0</v>
      </c>
      <c r="AG30">
        <f t="shared" si="37"/>
        <v>0</v>
      </c>
      <c r="AH30">
        <f t="shared" si="38"/>
        <v>0</v>
      </c>
      <c r="AI30">
        <f t="shared" si="39"/>
        <v>0</v>
      </c>
      <c r="AJ30">
        <f t="shared" si="40"/>
        <v>0</v>
      </c>
      <c r="AK30">
        <v>927.29</v>
      </c>
      <c r="AL30">
        <v>927.29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4</v>
      </c>
      <c r="BE30" t="s">
        <v>4</v>
      </c>
      <c r="BF30" t="s">
        <v>4</v>
      </c>
      <c r="BG30" t="s">
        <v>4</v>
      </c>
      <c r="BH30">
        <v>3</v>
      </c>
      <c r="BI30">
        <v>4</v>
      </c>
      <c r="BJ30" t="s">
        <v>31</v>
      </c>
      <c r="BM30">
        <v>0</v>
      </c>
      <c r="BN30">
        <v>0</v>
      </c>
      <c r="BO30" t="s">
        <v>4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4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4</v>
      </c>
      <c r="CO30">
        <v>0</v>
      </c>
      <c r="CP30">
        <f t="shared" si="41"/>
        <v>43860.82</v>
      </c>
      <c r="CQ30">
        <f t="shared" si="42"/>
        <v>927.29</v>
      </c>
      <c r="CR30">
        <f t="shared" si="43"/>
        <v>0</v>
      </c>
      <c r="CS30">
        <f t="shared" si="44"/>
        <v>0</v>
      </c>
      <c r="CT30">
        <f t="shared" si="45"/>
        <v>0</v>
      </c>
      <c r="CU30">
        <f t="shared" si="46"/>
        <v>0</v>
      </c>
      <c r="CV30">
        <f t="shared" si="47"/>
        <v>0</v>
      </c>
      <c r="CW30">
        <f t="shared" si="48"/>
        <v>0</v>
      </c>
      <c r="CX30">
        <f t="shared" si="49"/>
        <v>0</v>
      </c>
      <c r="CY30">
        <f t="shared" si="50"/>
        <v>0</v>
      </c>
      <c r="CZ30">
        <f t="shared" si="51"/>
        <v>0</v>
      </c>
      <c r="DC30" t="s">
        <v>4</v>
      </c>
      <c r="DD30" t="s">
        <v>4</v>
      </c>
      <c r="DE30" t="s">
        <v>4</v>
      </c>
      <c r="DF30" t="s">
        <v>4</v>
      </c>
      <c r="DG30" t="s">
        <v>4</v>
      </c>
      <c r="DH30" t="s">
        <v>4</v>
      </c>
      <c r="DI30" t="s">
        <v>4</v>
      </c>
      <c r="DJ30" t="s">
        <v>4</v>
      </c>
      <c r="DK30" t="s">
        <v>4</v>
      </c>
      <c r="DL30" t="s">
        <v>4</v>
      </c>
      <c r="DM30" t="s">
        <v>4</v>
      </c>
      <c r="DN30">
        <v>0</v>
      </c>
      <c r="DO30">
        <v>0</v>
      </c>
      <c r="DP30">
        <v>1</v>
      </c>
      <c r="DQ30">
        <v>1</v>
      </c>
      <c r="DU30">
        <v>1003</v>
      </c>
      <c r="DV30" t="s">
        <v>26</v>
      </c>
      <c r="DW30" t="s">
        <v>26</v>
      </c>
      <c r="DX30">
        <v>1</v>
      </c>
      <c r="DZ30" t="s">
        <v>4</v>
      </c>
      <c r="EA30" t="s">
        <v>4</v>
      </c>
      <c r="EB30" t="s">
        <v>4</v>
      </c>
      <c r="EC30" t="s">
        <v>4</v>
      </c>
      <c r="EE30">
        <v>50667548</v>
      </c>
      <c r="EF30">
        <v>1</v>
      </c>
      <c r="EG30" t="s">
        <v>20</v>
      </c>
      <c r="EH30">
        <v>0</v>
      </c>
      <c r="EI30" t="s">
        <v>4</v>
      </c>
      <c r="EJ30">
        <v>4</v>
      </c>
      <c r="EK30">
        <v>0</v>
      </c>
      <c r="EL30" t="s">
        <v>21</v>
      </c>
      <c r="EM30" t="s">
        <v>22</v>
      </c>
      <c r="EO30" t="s">
        <v>4</v>
      </c>
      <c r="EQ30">
        <v>0</v>
      </c>
      <c r="ER30">
        <v>927.29</v>
      </c>
      <c r="ES30">
        <v>927.29</v>
      </c>
      <c r="ET30">
        <v>0</v>
      </c>
      <c r="EU30">
        <v>0</v>
      </c>
      <c r="EV30">
        <v>0</v>
      </c>
      <c r="EW30">
        <v>0</v>
      </c>
      <c r="EX30">
        <v>0</v>
      </c>
      <c r="FQ30">
        <v>0</v>
      </c>
      <c r="FR30">
        <f t="shared" si="52"/>
        <v>0</v>
      </c>
      <c r="FS30">
        <v>0</v>
      </c>
      <c r="FX30">
        <v>70</v>
      </c>
      <c r="FY30">
        <v>10</v>
      </c>
      <c r="GA30" t="s">
        <v>4</v>
      </c>
      <c r="GD30">
        <v>0</v>
      </c>
      <c r="GF30">
        <v>115369718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53"/>
        <v>0</v>
      </c>
      <c r="GM30">
        <f t="shared" si="54"/>
        <v>43860.82</v>
      </c>
      <c r="GN30">
        <f t="shared" si="55"/>
        <v>0</v>
      </c>
      <c r="GO30">
        <f t="shared" si="56"/>
        <v>0</v>
      </c>
      <c r="GP30">
        <f t="shared" si="57"/>
        <v>43860.82</v>
      </c>
      <c r="GR30">
        <v>0</v>
      </c>
      <c r="GS30">
        <v>3</v>
      </c>
      <c r="GT30">
        <v>0</v>
      </c>
      <c r="GU30" t="s">
        <v>4</v>
      </c>
      <c r="GV30">
        <f t="shared" si="58"/>
        <v>0</v>
      </c>
      <c r="GW30">
        <v>1</v>
      </c>
      <c r="GX30">
        <f t="shared" si="59"/>
        <v>0</v>
      </c>
      <c r="HA30">
        <v>0</v>
      </c>
      <c r="HB30">
        <v>0</v>
      </c>
      <c r="HC30">
        <f t="shared" si="60"/>
        <v>0</v>
      </c>
      <c r="HE30" t="s">
        <v>4</v>
      </c>
      <c r="HF30" t="s">
        <v>4</v>
      </c>
      <c r="IK30">
        <v>0</v>
      </c>
    </row>
    <row r="31" spans="1:245" x14ac:dyDescent="0.25">
      <c r="A31">
        <v>17</v>
      </c>
      <c r="B31">
        <v>1</v>
      </c>
      <c r="C31">
        <f>ROW(SmtRes!A22)</f>
        <v>22</v>
      </c>
      <c r="D31">
        <f>ROW(EtalonRes!A20)</f>
        <v>20</v>
      </c>
      <c r="E31" t="s">
        <v>32</v>
      </c>
      <c r="F31" t="s">
        <v>33</v>
      </c>
      <c r="G31" t="s">
        <v>34</v>
      </c>
      <c r="H31" t="s">
        <v>35</v>
      </c>
      <c r="I31">
        <v>7.7813999999999994E-2</v>
      </c>
      <c r="J31">
        <v>0</v>
      </c>
      <c r="O31">
        <f t="shared" si="21"/>
        <v>7673.09</v>
      </c>
      <c r="P31">
        <f t="shared" si="22"/>
        <v>5877.17</v>
      </c>
      <c r="Q31">
        <f t="shared" si="23"/>
        <v>45.83</v>
      </c>
      <c r="R31">
        <f t="shared" si="24"/>
        <v>2</v>
      </c>
      <c r="S31">
        <f t="shared" si="25"/>
        <v>1750.09</v>
      </c>
      <c r="T31">
        <f t="shared" si="26"/>
        <v>0</v>
      </c>
      <c r="U31">
        <f t="shared" si="27"/>
        <v>6.8009436000000001</v>
      </c>
      <c r="V31">
        <f t="shared" si="28"/>
        <v>0</v>
      </c>
      <c r="W31">
        <f t="shared" si="29"/>
        <v>0</v>
      </c>
      <c r="X31">
        <f t="shared" si="30"/>
        <v>1225.06</v>
      </c>
      <c r="Y31">
        <f t="shared" si="31"/>
        <v>175.01</v>
      </c>
      <c r="AA31">
        <v>51820365</v>
      </c>
      <c r="AB31">
        <f t="shared" si="32"/>
        <v>98608.07</v>
      </c>
      <c r="AC31">
        <f t="shared" si="33"/>
        <v>75528.429999999993</v>
      </c>
      <c r="AD31">
        <f t="shared" si="34"/>
        <v>589</v>
      </c>
      <c r="AE31">
        <f t="shared" si="35"/>
        <v>25.65</v>
      </c>
      <c r="AF31">
        <f t="shared" si="36"/>
        <v>22490.639999999999</v>
      </c>
      <c r="AG31">
        <f t="shared" si="37"/>
        <v>0</v>
      </c>
      <c r="AH31">
        <f t="shared" si="38"/>
        <v>87.4</v>
      </c>
      <c r="AI31">
        <f t="shared" si="39"/>
        <v>0</v>
      </c>
      <c r="AJ31">
        <f t="shared" si="40"/>
        <v>0</v>
      </c>
      <c r="AK31">
        <v>98608.07</v>
      </c>
      <c r="AL31">
        <v>75528.429999999993</v>
      </c>
      <c r="AM31">
        <v>589</v>
      </c>
      <c r="AN31">
        <v>25.65</v>
      </c>
      <c r="AO31">
        <v>22490.639999999999</v>
      </c>
      <c r="AP31">
        <v>0</v>
      </c>
      <c r="AQ31">
        <v>87.4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4</v>
      </c>
      <c r="BE31" t="s">
        <v>4</v>
      </c>
      <c r="BF31" t="s">
        <v>4</v>
      </c>
      <c r="BG31" t="s">
        <v>4</v>
      </c>
      <c r="BH31">
        <v>0</v>
      </c>
      <c r="BI31">
        <v>4</v>
      </c>
      <c r="BJ31" t="s">
        <v>36</v>
      </c>
      <c r="BM31">
        <v>0</v>
      </c>
      <c r="BN31">
        <v>0</v>
      </c>
      <c r="BO31" t="s">
        <v>4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4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4</v>
      </c>
      <c r="CO31">
        <v>0</v>
      </c>
      <c r="CP31">
        <f t="shared" si="41"/>
        <v>7673.09</v>
      </c>
      <c r="CQ31">
        <f t="shared" si="42"/>
        <v>75528.429999999993</v>
      </c>
      <c r="CR31">
        <f t="shared" si="43"/>
        <v>589</v>
      </c>
      <c r="CS31">
        <f t="shared" si="44"/>
        <v>25.65</v>
      </c>
      <c r="CT31">
        <f t="shared" si="45"/>
        <v>22490.639999999999</v>
      </c>
      <c r="CU31">
        <f t="shared" si="46"/>
        <v>0</v>
      </c>
      <c r="CV31">
        <f t="shared" si="47"/>
        <v>87.4</v>
      </c>
      <c r="CW31">
        <f t="shared" si="48"/>
        <v>0</v>
      </c>
      <c r="CX31">
        <f t="shared" si="49"/>
        <v>0</v>
      </c>
      <c r="CY31">
        <f t="shared" si="50"/>
        <v>1225.0629999999999</v>
      </c>
      <c r="CZ31">
        <f t="shared" si="51"/>
        <v>175.00899999999999</v>
      </c>
      <c r="DC31" t="s">
        <v>4</v>
      </c>
      <c r="DD31" t="s">
        <v>4</v>
      </c>
      <c r="DE31" t="s">
        <v>4</v>
      </c>
      <c r="DF31" t="s">
        <v>4</v>
      </c>
      <c r="DG31" t="s">
        <v>4</v>
      </c>
      <c r="DH31" t="s">
        <v>4</v>
      </c>
      <c r="DI31" t="s">
        <v>4</v>
      </c>
      <c r="DJ31" t="s">
        <v>4</v>
      </c>
      <c r="DK31" t="s">
        <v>4</v>
      </c>
      <c r="DL31" t="s">
        <v>4</v>
      </c>
      <c r="DM31" t="s">
        <v>4</v>
      </c>
      <c r="DN31">
        <v>0</v>
      </c>
      <c r="DO31">
        <v>0</v>
      </c>
      <c r="DP31">
        <v>1</v>
      </c>
      <c r="DQ31">
        <v>1</v>
      </c>
      <c r="DU31">
        <v>1009</v>
      </c>
      <c r="DV31" t="s">
        <v>35</v>
      </c>
      <c r="DW31" t="s">
        <v>35</v>
      </c>
      <c r="DX31">
        <v>1000</v>
      </c>
      <c r="DZ31" t="s">
        <v>4</v>
      </c>
      <c r="EA31" t="s">
        <v>4</v>
      </c>
      <c r="EB31" t="s">
        <v>4</v>
      </c>
      <c r="EC31" t="s">
        <v>4</v>
      </c>
      <c r="EE31">
        <v>50667548</v>
      </c>
      <c r="EF31">
        <v>1</v>
      </c>
      <c r="EG31" t="s">
        <v>20</v>
      </c>
      <c r="EH31">
        <v>0</v>
      </c>
      <c r="EI31" t="s">
        <v>4</v>
      </c>
      <c r="EJ31">
        <v>4</v>
      </c>
      <c r="EK31">
        <v>0</v>
      </c>
      <c r="EL31" t="s">
        <v>21</v>
      </c>
      <c r="EM31" t="s">
        <v>22</v>
      </c>
      <c r="EO31" t="s">
        <v>4</v>
      </c>
      <c r="EQ31">
        <v>0</v>
      </c>
      <c r="ER31">
        <v>98608.07</v>
      </c>
      <c r="ES31">
        <v>75528.429999999993</v>
      </c>
      <c r="ET31">
        <v>589</v>
      </c>
      <c r="EU31">
        <v>25.65</v>
      </c>
      <c r="EV31">
        <v>22490.639999999999</v>
      </c>
      <c r="EW31">
        <v>87.4</v>
      </c>
      <c r="EX31">
        <v>0</v>
      </c>
      <c r="EY31">
        <v>0</v>
      </c>
      <c r="FQ31">
        <v>0</v>
      </c>
      <c r="FR31">
        <f t="shared" si="52"/>
        <v>0</v>
      </c>
      <c r="FS31">
        <v>0</v>
      </c>
      <c r="FX31">
        <v>70</v>
      </c>
      <c r="FY31">
        <v>10</v>
      </c>
      <c r="GA31" t="s">
        <v>4</v>
      </c>
      <c r="GD31">
        <v>0</v>
      </c>
      <c r="GF31">
        <v>759769617</v>
      </c>
      <c r="GG31">
        <v>2</v>
      </c>
      <c r="GH31">
        <v>1</v>
      </c>
      <c r="GI31">
        <v>-2</v>
      </c>
      <c r="GJ31">
        <v>0</v>
      </c>
      <c r="GK31">
        <f>ROUND(R31*(R12)/100,2)</f>
        <v>2.16</v>
      </c>
      <c r="GL31">
        <f t="shared" si="53"/>
        <v>0</v>
      </c>
      <c r="GM31">
        <f t="shared" si="54"/>
        <v>9075.32</v>
      </c>
      <c r="GN31">
        <f t="shared" si="55"/>
        <v>0</v>
      </c>
      <c r="GO31">
        <f t="shared" si="56"/>
        <v>0</v>
      </c>
      <c r="GP31">
        <f t="shared" si="57"/>
        <v>9075.32</v>
      </c>
      <c r="GR31">
        <v>0</v>
      </c>
      <c r="GS31">
        <v>3</v>
      </c>
      <c r="GT31">
        <v>0</v>
      </c>
      <c r="GU31" t="s">
        <v>4</v>
      </c>
      <c r="GV31">
        <f t="shared" si="58"/>
        <v>0</v>
      </c>
      <c r="GW31">
        <v>1</v>
      </c>
      <c r="GX31">
        <f t="shared" si="59"/>
        <v>0</v>
      </c>
      <c r="HA31">
        <v>0</v>
      </c>
      <c r="HB31">
        <v>0</v>
      </c>
      <c r="HC31">
        <f t="shared" si="60"/>
        <v>0</v>
      </c>
      <c r="HE31" t="s">
        <v>4</v>
      </c>
      <c r="HF31" t="s">
        <v>4</v>
      </c>
      <c r="IK31">
        <v>0</v>
      </c>
    </row>
    <row r="32" spans="1:245" x14ac:dyDescent="0.25">
      <c r="A32">
        <v>18</v>
      </c>
      <c r="B32">
        <v>1</v>
      </c>
      <c r="C32">
        <v>22</v>
      </c>
      <c r="E32" t="s">
        <v>37</v>
      </c>
      <c r="F32" t="s">
        <v>38</v>
      </c>
      <c r="G32" t="s">
        <v>39</v>
      </c>
      <c r="H32" t="s">
        <v>35</v>
      </c>
      <c r="I32">
        <f>I31*J32</f>
        <v>-7.7813999999999994E-2</v>
      </c>
      <c r="J32">
        <v>-1</v>
      </c>
      <c r="O32">
        <f t="shared" si="21"/>
        <v>-5838.12</v>
      </c>
      <c r="P32">
        <f t="shared" si="22"/>
        <v>-5838.12</v>
      </c>
      <c r="Q32">
        <f t="shared" si="23"/>
        <v>0</v>
      </c>
      <c r="R32">
        <f t="shared" si="2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51820365</v>
      </c>
      <c r="AB32">
        <f t="shared" si="32"/>
        <v>75026.559999999998</v>
      </c>
      <c r="AC32">
        <f t="shared" si="33"/>
        <v>75026.559999999998</v>
      </c>
      <c r="AD32">
        <f t="shared" si="34"/>
        <v>0</v>
      </c>
      <c r="AE32">
        <f t="shared" si="35"/>
        <v>0</v>
      </c>
      <c r="AF32">
        <f t="shared" si="36"/>
        <v>0</v>
      </c>
      <c r="AG32">
        <f t="shared" si="37"/>
        <v>0</v>
      </c>
      <c r="AH32">
        <f t="shared" si="38"/>
        <v>0</v>
      </c>
      <c r="AI32">
        <f t="shared" si="39"/>
        <v>0</v>
      </c>
      <c r="AJ32">
        <f t="shared" si="40"/>
        <v>0</v>
      </c>
      <c r="AK32">
        <v>75026.559999999998</v>
      </c>
      <c r="AL32">
        <v>75026.559999999998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4</v>
      </c>
      <c r="BE32" t="s">
        <v>4</v>
      </c>
      <c r="BF32" t="s">
        <v>4</v>
      </c>
      <c r="BG32" t="s">
        <v>4</v>
      </c>
      <c r="BH32">
        <v>3</v>
      </c>
      <c r="BI32">
        <v>4</v>
      </c>
      <c r="BJ32" t="s">
        <v>40</v>
      </c>
      <c r="BM32">
        <v>0</v>
      </c>
      <c r="BN32">
        <v>0</v>
      </c>
      <c r="BO32" t="s">
        <v>4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4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4</v>
      </c>
      <c r="CO32">
        <v>0</v>
      </c>
      <c r="CP32">
        <f t="shared" si="41"/>
        <v>-5838.12</v>
      </c>
      <c r="CQ32">
        <f t="shared" si="42"/>
        <v>75026.559999999998</v>
      </c>
      <c r="CR32">
        <f t="shared" si="43"/>
        <v>0</v>
      </c>
      <c r="CS32">
        <f t="shared" si="44"/>
        <v>0</v>
      </c>
      <c r="CT32">
        <f t="shared" si="45"/>
        <v>0</v>
      </c>
      <c r="CU32">
        <f t="shared" si="46"/>
        <v>0</v>
      </c>
      <c r="CV32">
        <f t="shared" si="47"/>
        <v>0</v>
      </c>
      <c r="CW32">
        <f t="shared" si="48"/>
        <v>0</v>
      </c>
      <c r="CX32">
        <f t="shared" si="49"/>
        <v>0</v>
      </c>
      <c r="CY32">
        <f t="shared" si="50"/>
        <v>0</v>
      </c>
      <c r="CZ32">
        <f t="shared" si="51"/>
        <v>0</v>
      </c>
      <c r="DC32" t="s">
        <v>4</v>
      </c>
      <c r="DD32" t="s">
        <v>4</v>
      </c>
      <c r="DE32" t="s">
        <v>4</v>
      </c>
      <c r="DF32" t="s">
        <v>4</v>
      </c>
      <c r="DG32" t="s">
        <v>4</v>
      </c>
      <c r="DH32" t="s">
        <v>4</v>
      </c>
      <c r="DI32" t="s">
        <v>4</v>
      </c>
      <c r="DJ32" t="s">
        <v>4</v>
      </c>
      <c r="DK32" t="s">
        <v>4</v>
      </c>
      <c r="DL32" t="s">
        <v>4</v>
      </c>
      <c r="DM32" t="s">
        <v>4</v>
      </c>
      <c r="DN32">
        <v>0</v>
      </c>
      <c r="DO32">
        <v>0</v>
      </c>
      <c r="DP32">
        <v>1</v>
      </c>
      <c r="DQ32">
        <v>1</v>
      </c>
      <c r="DU32">
        <v>1009</v>
      </c>
      <c r="DV32" t="s">
        <v>35</v>
      </c>
      <c r="DW32" t="s">
        <v>35</v>
      </c>
      <c r="DX32">
        <v>1000</v>
      </c>
      <c r="DZ32" t="s">
        <v>4</v>
      </c>
      <c r="EA32" t="s">
        <v>4</v>
      </c>
      <c r="EB32" t="s">
        <v>4</v>
      </c>
      <c r="EC32" t="s">
        <v>4</v>
      </c>
      <c r="EE32">
        <v>50667548</v>
      </c>
      <c r="EF32">
        <v>1</v>
      </c>
      <c r="EG32" t="s">
        <v>20</v>
      </c>
      <c r="EH32">
        <v>0</v>
      </c>
      <c r="EI32" t="s">
        <v>4</v>
      </c>
      <c r="EJ32">
        <v>4</v>
      </c>
      <c r="EK32">
        <v>0</v>
      </c>
      <c r="EL32" t="s">
        <v>21</v>
      </c>
      <c r="EM32" t="s">
        <v>22</v>
      </c>
      <c r="EO32" t="s">
        <v>4</v>
      </c>
      <c r="EQ32">
        <v>0</v>
      </c>
      <c r="ER32">
        <v>75026.559999999998</v>
      </c>
      <c r="ES32">
        <v>75026.559999999998</v>
      </c>
      <c r="ET32">
        <v>0</v>
      </c>
      <c r="EU32">
        <v>0</v>
      </c>
      <c r="EV32">
        <v>0</v>
      </c>
      <c r="EW32">
        <v>0</v>
      </c>
      <c r="EX32">
        <v>0</v>
      </c>
      <c r="FQ32">
        <v>0</v>
      </c>
      <c r="FR32">
        <f t="shared" si="52"/>
        <v>0</v>
      </c>
      <c r="FS32">
        <v>0</v>
      </c>
      <c r="FX32">
        <v>70</v>
      </c>
      <c r="FY32">
        <v>10</v>
      </c>
      <c r="GA32" t="s">
        <v>4</v>
      </c>
      <c r="GD32">
        <v>0</v>
      </c>
      <c r="GF32">
        <v>820458137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53"/>
        <v>0</v>
      </c>
      <c r="GM32">
        <f t="shared" si="54"/>
        <v>-5838.12</v>
      </c>
      <c r="GN32">
        <f t="shared" si="55"/>
        <v>0</v>
      </c>
      <c r="GO32">
        <f t="shared" si="56"/>
        <v>0</v>
      </c>
      <c r="GP32">
        <f t="shared" si="57"/>
        <v>-5838.12</v>
      </c>
      <c r="GR32">
        <v>0</v>
      </c>
      <c r="GS32">
        <v>3</v>
      </c>
      <c r="GT32">
        <v>0</v>
      </c>
      <c r="GU32" t="s">
        <v>4</v>
      </c>
      <c r="GV32">
        <f t="shared" si="58"/>
        <v>0</v>
      </c>
      <c r="GW32">
        <v>1</v>
      </c>
      <c r="GX32">
        <f t="shared" si="59"/>
        <v>0</v>
      </c>
      <c r="HA32">
        <v>0</v>
      </c>
      <c r="HB32">
        <v>0</v>
      </c>
      <c r="HC32">
        <f t="shared" si="60"/>
        <v>0</v>
      </c>
      <c r="HE32" t="s">
        <v>4</v>
      </c>
      <c r="HF32" t="s">
        <v>4</v>
      </c>
      <c r="IK32">
        <v>0</v>
      </c>
    </row>
    <row r="33" spans="1:245" x14ac:dyDescent="0.25">
      <c r="A33">
        <v>18</v>
      </c>
      <c r="B33">
        <v>1</v>
      </c>
      <c r="C33">
        <v>19</v>
      </c>
      <c r="E33" t="s">
        <v>41</v>
      </c>
      <c r="F33" t="s">
        <v>42</v>
      </c>
      <c r="G33" t="s">
        <v>43</v>
      </c>
      <c r="H33" t="s">
        <v>35</v>
      </c>
      <c r="I33">
        <f>I31*J33</f>
        <v>7.7813999999999994E-2</v>
      </c>
      <c r="J33">
        <v>1</v>
      </c>
      <c r="O33">
        <f t="shared" si="21"/>
        <v>3093.58</v>
      </c>
      <c r="P33">
        <f t="shared" si="22"/>
        <v>3093.58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51820365</v>
      </c>
      <c r="AB33">
        <f t="shared" si="32"/>
        <v>39756.050000000003</v>
      </c>
      <c r="AC33">
        <f t="shared" si="33"/>
        <v>39756.050000000003</v>
      </c>
      <c r="AD33">
        <f t="shared" si="34"/>
        <v>0</v>
      </c>
      <c r="AE33">
        <f t="shared" si="35"/>
        <v>0</v>
      </c>
      <c r="AF33">
        <f t="shared" si="36"/>
        <v>0</v>
      </c>
      <c r="AG33">
        <f t="shared" si="37"/>
        <v>0</v>
      </c>
      <c r="AH33">
        <f t="shared" si="38"/>
        <v>0</v>
      </c>
      <c r="AI33">
        <f t="shared" si="39"/>
        <v>0</v>
      </c>
      <c r="AJ33">
        <f t="shared" si="40"/>
        <v>0</v>
      </c>
      <c r="AK33">
        <v>39756.050000000003</v>
      </c>
      <c r="AL33">
        <v>39756.050000000003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4</v>
      </c>
      <c r="BE33" t="s">
        <v>4</v>
      </c>
      <c r="BF33" t="s">
        <v>4</v>
      </c>
      <c r="BG33" t="s">
        <v>4</v>
      </c>
      <c r="BH33">
        <v>3</v>
      </c>
      <c r="BI33">
        <v>1</v>
      </c>
      <c r="BJ33" t="s">
        <v>44</v>
      </c>
      <c r="BM33">
        <v>6001</v>
      </c>
      <c r="BN33">
        <v>0</v>
      </c>
      <c r="BO33" t="s">
        <v>4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4</v>
      </c>
      <c r="BZ33">
        <v>0</v>
      </c>
      <c r="CA33">
        <v>0</v>
      </c>
      <c r="CE33">
        <v>0</v>
      </c>
      <c r="CF33">
        <v>0</v>
      </c>
      <c r="CG33">
        <v>0</v>
      </c>
      <c r="CM33">
        <v>0</v>
      </c>
      <c r="CN33" t="s">
        <v>4</v>
      </c>
      <c r="CO33">
        <v>0</v>
      </c>
      <c r="CP33">
        <f t="shared" si="41"/>
        <v>3093.58</v>
      </c>
      <c r="CQ33">
        <f t="shared" si="42"/>
        <v>39756.050000000003</v>
      </c>
      <c r="CR33">
        <f t="shared" si="43"/>
        <v>0</v>
      </c>
      <c r="CS33">
        <f t="shared" si="44"/>
        <v>0</v>
      </c>
      <c r="CT33">
        <f t="shared" si="45"/>
        <v>0</v>
      </c>
      <c r="CU33">
        <f t="shared" si="46"/>
        <v>0</v>
      </c>
      <c r="CV33">
        <f t="shared" si="47"/>
        <v>0</v>
      </c>
      <c r="CW33">
        <f t="shared" si="48"/>
        <v>0</v>
      </c>
      <c r="CX33">
        <f t="shared" si="49"/>
        <v>0</v>
      </c>
      <c r="CY33">
        <f t="shared" si="50"/>
        <v>0</v>
      </c>
      <c r="CZ33">
        <f t="shared" si="51"/>
        <v>0</v>
      </c>
      <c r="DC33" t="s">
        <v>4</v>
      </c>
      <c r="DD33" t="s">
        <v>4</v>
      </c>
      <c r="DE33" t="s">
        <v>4</v>
      </c>
      <c r="DF33" t="s">
        <v>4</v>
      </c>
      <c r="DG33" t="s">
        <v>4</v>
      </c>
      <c r="DH33" t="s">
        <v>4</v>
      </c>
      <c r="DI33" t="s">
        <v>4</v>
      </c>
      <c r="DJ33" t="s">
        <v>4</v>
      </c>
      <c r="DK33" t="s">
        <v>4</v>
      </c>
      <c r="DL33" t="s">
        <v>4</v>
      </c>
      <c r="DM33" t="s">
        <v>4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35</v>
      </c>
      <c r="DW33" t="s">
        <v>35</v>
      </c>
      <c r="DX33">
        <v>1000</v>
      </c>
      <c r="DZ33" t="s">
        <v>4</v>
      </c>
      <c r="EA33" t="s">
        <v>4</v>
      </c>
      <c r="EB33" t="s">
        <v>4</v>
      </c>
      <c r="EC33" t="s">
        <v>4</v>
      </c>
      <c r="EE33">
        <v>51059144</v>
      </c>
      <c r="EF33">
        <v>0</v>
      </c>
      <c r="EG33" t="s">
        <v>45</v>
      </c>
      <c r="EH33">
        <v>0</v>
      </c>
      <c r="EI33" t="s">
        <v>4</v>
      </c>
      <c r="EJ33">
        <v>1</v>
      </c>
      <c r="EK33">
        <v>6001</v>
      </c>
      <c r="EL33" t="s">
        <v>46</v>
      </c>
      <c r="EM33" t="s">
        <v>45</v>
      </c>
      <c r="EO33" t="s">
        <v>4</v>
      </c>
      <c r="EQ33">
        <v>0</v>
      </c>
      <c r="ER33">
        <v>39756.050000000003</v>
      </c>
      <c r="ES33">
        <v>39756.050000000003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52"/>
        <v>0</v>
      </c>
      <c r="FS33">
        <v>0</v>
      </c>
      <c r="FX33">
        <v>0</v>
      </c>
      <c r="FY33">
        <v>0</v>
      </c>
      <c r="GA33" t="s">
        <v>4</v>
      </c>
      <c r="GD33">
        <v>0</v>
      </c>
      <c r="GF33">
        <v>-358277061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3"/>
        <v>0</v>
      </c>
      <c r="GM33">
        <f t="shared" si="54"/>
        <v>3093.58</v>
      </c>
      <c r="GN33">
        <f t="shared" si="55"/>
        <v>3093.58</v>
      </c>
      <c r="GO33">
        <f t="shared" si="56"/>
        <v>0</v>
      </c>
      <c r="GP33">
        <f t="shared" si="57"/>
        <v>0</v>
      </c>
      <c r="GR33">
        <v>0</v>
      </c>
      <c r="GS33">
        <v>3</v>
      </c>
      <c r="GT33">
        <v>0</v>
      </c>
      <c r="GU33" t="s">
        <v>4</v>
      </c>
      <c r="GV33">
        <f t="shared" si="58"/>
        <v>0</v>
      </c>
      <c r="GW33">
        <v>1</v>
      </c>
      <c r="GX33">
        <f t="shared" si="59"/>
        <v>0</v>
      </c>
      <c r="HA33">
        <v>0</v>
      </c>
      <c r="HB33">
        <v>0</v>
      </c>
      <c r="HC33">
        <f t="shared" si="60"/>
        <v>0</v>
      </c>
      <c r="HE33" t="s">
        <v>4</v>
      </c>
      <c r="HF33" t="s">
        <v>4</v>
      </c>
      <c r="IK33">
        <v>0</v>
      </c>
    </row>
    <row r="34" spans="1:245" x14ac:dyDescent="0.25">
      <c r="A34">
        <v>17</v>
      </c>
      <c r="B34">
        <v>1</v>
      </c>
      <c r="C34">
        <f>ROW(SmtRes!A28)</f>
        <v>28</v>
      </c>
      <c r="D34">
        <f>ROW(EtalonRes!A25)</f>
        <v>25</v>
      </c>
      <c r="E34" t="s">
        <v>47</v>
      </c>
      <c r="F34" t="s">
        <v>33</v>
      </c>
      <c r="G34" t="s">
        <v>48</v>
      </c>
      <c r="H34" t="s">
        <v>35</v>
      </c>
      <c r="I34">
        <v>2.6598E-2</v>
      </c>
      <c r="J34">
        <v>0</v>
      </c>
      <c r="O34">
        <f t="shared" si="21"/>
        <v>2622.79</v>
      </c>
      <c r="P34">
        <f t="shared" si="22"/>
        <v>2008.91</v>
      </c>
      <c r="Q34">
        <f t="shared" si="23"/>
        <v>15.67</v>
      </c>
      <c r="R34">
        <f t="shared" si="24"/>
        <v>0.68</v>
      </c>
      <c r="S34">
        <f t="shared" si="25"/>
        <v>598.21</v>
      </c>
      <c r="T34">
        <f t="shared" si="26"/>
        <v>0</v>
      </c>
      <c r="U34">
        <f t="shared" si="27"/>
        <v>2.3246652000000001</v>
      </c>
      <c r="V34">
        <f t="shared" si="28"/>
        <v>0</v>
      </c>
      <c r="W34">
        <f t="shared" si="29"/>
        <v>0</v>
      </c>
      <c r="X34">
        <f t="shared" si="30"/>
        <v>418.75</v>
      </c>
      <c r="Y34">
        <f t="shared" si="31"/>
        <v>59.82</v>
      </c>
      <c r="AA34">
        <v>51820365</v>
      </c>
      <c r="AB34">
        <f t="shared" si="32"/>
        <v>98608.07</v>
      </c>
      <c r="AC34">
        <f t="shared" si="33"/>
        <v>75528.429999999993</v>
      </c>
      <c r="AD34">
        <f t="shared" si="34"/>
        <v>589</v>
      </c>
      <c r="AE34">
        <f t="shared" si="35"/>
        <v>25.65</v>
      </c>
      <c r="AF34">
        <f t="shared" si="36"/>
        <v>22490.639999999999</v>
      </c>
      <c r="AG34">
        <f t="shared" si="37"/>
        <v>0</v>
      </c>
      <c r="AH34">
        <f t="shared" si="38"/>
        <v>87.4</v>
      </c>
      <c r="AI34">
        <f t="shared" si="39"/>
        <v>0</v>
      </c>
      <c r="AJ34">
        <f t="shared" si="40"/>
        <v>0</v>
      </c>
      <c r="AK34">
        <v>98608.07</v>
      </c>
      <c r="AL34">
        <v>75528.429999999993</v>
      </c>
      <c r="AM34">
        <v>589</v>
      </c>
      <c r="AN34">
        <v>25.65</v>
      </c>
      <c r="AO34">
        <v>22490.639999999999</v>
      </c>
      <c r="AP34">
        <v>0</v>
      </c>
      <c r="AQ34">
        <v>87.4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4</v>
      </c>
      <c r="BE34" t="s">
        <v>4</v>
      </c>
      <c r="BF34" t="s">
        <v>4</v>
      </c>
      <c r="BG34" t="s">
        <v>4</v>
      </c>
      <c r="BH34">
        <v>0</v>
      </c>
      <c r="BI34">
        <v>4</v>
      </c>
      <c r="BJ34" t="s">
        <v>36</v>
      </c>
      <c r="BM34">
        <v>0</v>
      </c>
      <c r="BN34">
        <v>0</v>
      </c>
      <c r="BO34" t="s">
        <v>4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4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4</v>
      </c>
      <c r="CO34">
        <v>0</v>
      </c>
      <c r="CP34">
        <f t="shared" si="41"/>
        <v>2622.79</v>
      </c>
      <c r="CQ34">
        <f t="shared" si="42"/>
        <v>75528.429999999993</v>
      </c>
      <c r="CR34">
        <f t="shared" si="43"/>
        <v>589</v>
      </c>
      <c r="CS34">
        <f t="shared" si="44"/>
        <v>25.65</v>
      </c>
      <c r="CT34">
        <f t="shared" si="45"/>
        <v>22490.639999999999</v>
      </c>
      <c r="CU34">
        <f t="shared" si="46"/>
        <v>0</v>
      </c>
      <c r="CV34">
        <f t="shared" si="47"/>
        <v>87.4</v>
      </c>
      <c r="CW34">
        <f t="shared" si="48"/>
        <v>0</v>
      </c>
      <c r="CX34">
        <f t="shared" si="49"/>
        <v>0</v>
      </c>
      <c r="CY34">
        <f t="shared" si="50"/>
        <v>418.74700000000007</v>
      </c>
      <c r="CZ34">
        <f t="shared" si="51"/>
        <v>59.821000000000005</v>
      </c>
      <c r="DC34" t="s">
        <v>4</v>
      </c>
      <c r="DD34" t="s">
        <v>4</v>
      </c>
      <c r="DE34" t="s">
        <v>4</v>
      </c>
      <c r="DF34" t="s">
        <v>4</v>
      </c>
      <c r="DG34" t="s">
        <v>4</v>
      </c>
      <c r="DH34" t="s">
        <v>4</v>
      </c>
      <c r="DI34" t="s">
        <v>4</v>
      </c>
      <c r="DJ34" t="s">
        <v>4</v>
      </c>
      <c r="DK34" t="s">
        <v>4</v>
      </c>
      <c r="DL34" t="s">
        <v>4</v>
      </c>
      <c r="DM34" t="s">
        <v>4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35</v>
      </c>
      <c r="DW34" t="s">
        <v>35</v>
      </c>
      <c r="DX34">
        <v>1000</v>
      </c>
      <c r="DZ34" t="s">
        <v>4</v>
      </c>
      <c r="EA34" t="s">
        <v>4</v>
      </c>
      <c r="EB34" t="s">
        <v>4</v>
      </c>
      <c r="EC34" t="s">
        <v>4</v>
      </c>
      <c r="EE34">
        <v>50667548</v>
      </c>
      <c r="EF34">
        <v>1</v>
      </c>
      <c r="EG34" t="s">
        <v>20</v>
      </c>
      <c r="EH34">
        <v>0</v>
      </c>
      <c r="EI34" t="s">
        <v>4</v>
      </c>
      <c r="EJ34">
        <v>4</v>
      </c>
      <c r="EK34">
        <v>0</v>
      </c>
      <c r="EL34" t="s">
        <v>21</v>
      </c>
      <c r="EM34" t="s">
        <v>22</v>
      </c>
      <c r="EO34" t="s">
        <v>4</v>
      </c>
      <c r="EQ34">
        <v>0</v>
      </c>
      <c r="ER34">
        <v>98608.07</v>
      </c>
      <c r="ES34">
        <v>75528.429999999993</v>
      </c>
      <c r="ET34">
        <v>589</v>
      </c>
      <c r="EU34">
        <v>25.65</v>
      </c>
      <c r="EV34">
        <v>22490.639999999999</v>
      </c>
      <c r="EW34">
        <v>87.4</v>
      </c>
      <c r="EX34">
        <v>0</v>
      </c>
      <c r="EY34">
        <v>0</v>
      </c>
      <c r="FQ34">
        <v>0</v>
      </c>
      <c r="FR34">
        <f t="shared" si="52"/>
        <v>0</v>
      </c>
      <c r="FS34">
        <v>0</v>
      </c>
      <c r="FX34">
        <v>70</v>
      </c>
      <c r="FY34">
        <v>10</v>
      </c>
      <c r="GA34" t="s">
        <v>4</v>
      </c>
      <c r="GD34">
        <v>0</v>
      </c>
      <c r="GF34">
        <v>1366576711</v>
      </c>
      <c r="GG34">
        <v>2</v>
      </c>
      <c r="GH34">
        <v>1</v>
      </c>
      <c r="GI34">
        <v>-2</v>
      </c>
      <c r="GJ34">
        <v>0</v>
      </c>
      <c r="GK34">
        <f>ROUND(R34*(R12)/100,2)</f>
        <v>0.73</v>
      </c>
      <c r="GL34">
        <f t="shared" si="53"/>
        <v>0</v>
      </c>
      <c r="GM34">
        <f t="shared" si="54"/>
        <v>3102.09</v>
      </c>
      <c r="GN34">
        <f t="shared" si="55"/>
        <v>0</v>
      </c>
      <c r="GO34">
        <f t="shared" si="56"/>
        <v>0</v>
      </c>
      <c r="GP34">
        <f t="shared" si="57"/>
        <v>3102.09</v>
      </c>
      <c r="GR34">
        <v>0</v>
      </c>
      <c r="GS34">
        <v>3</v>
      </c>
      <c r="GT34">
        <v>0</v>
      </c>
      <c r="GU34" t="s">
        <v>4</v>
      </c>
      <c r="GV34">
        <f t="shared" si="58"/>
        <v>0</v>
      </c>
      <c r="GW34">
        <v>1</v>
      </c>
      <c r="GX34">
        <f t="shared" si="59"/>
        <v>0</v>
      </c>
      <c r="HA34">
        <v>0</v>
      </c>
      <c r="HB34">
        <v>0</v>
      </c>
      <c r="HC34">
        <f t="shared" si="60"/>
        <v>0</v>
      </c>
      <c r="HE34" t="s">
        <v>4</v>
      </c>
      <c r="HF34" t="s">
        <v>4</v>
      </c>
      <c r="IK34">
        <v>0</v>
      </c>
    </row>
    <row r="35" spans="1:245" x14ac:dyDescent="0.25">
      <c r="A35">
        <v>18</v>
      </c>
      <c r="B35">
        <v>1</v>
      </c>
      <c r="C35">
        <v>28</v>
      </c>
      <c r="E35" t="s">
        <v>49</v>
      </c>
      <c r="F35" t="s">
        <v>38</v>
      </c>
      <c r="G35" t="s">
        <v>39</v>
      </c>
      <c r="H35" t="s">
        <v>35</v>
      </c>
      <c r="I35">
        <f>I34*J35</f>
        <v>-2.6598E-2</v>
      </c>
      <c r="J35">
        <v>-1</v>
      </c>
      <c r="O35">
        <f t="shared" si="21"/>
        <v>-1995.56</v>
      </c>
      <c r="P35">
        <f t="shared" si="22"/>
        <v>-1995.56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51820365</v>
      </c>
      <c r="AB35">
        <f t="shared" si="32"/>
        <v>75026.559999999998</v>
      </c>
      <c r="AC35">
        <f t="shared" si="33"/>
        <v>75026.559999999998</v>
      </c>
      <c r="AD35">
        <f t="shared" si="34"/>
        <v>0</v>
      </c>
      <c r="AE35">
        <f t="shared" si="35"/>
        <v>0</v>
      </c>
      <c r="AF35">
        <f t="shared" si="36"/>
        <v>0</v>
      </c>
      <c r="AG35">
        <f t="shared" si="37"/>
        <v>0</v>
      </c>
      <c r="AH35">
        <f t="shared" si="38"/>
        <v>0</v>
      </c>
      <c r="AI35">
        <f t="shared" si="39"/>
        <v>0</v>
      </c>
      <c r="AJ35">
        <f t="shared" si="40"/>
        <v>0</v>
      </c>
      <c r="AK35">
        <v>75026.559999999998</v>
      </c>
      <c r="AL35">
        <v>75026.559999999998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4</v>
      </c>
      <c r="BE35" t="s">
        <v>4</v>
      </c>
      <c r="BF35" t="s">
        <v>4</v>
      </c>
      <c r="BG35" t="s">
        <v>4</v>
      </c>
      <c r="BH35">
        <v>3</v>
      </c>
      <c r="BI35">
        <v>4</v>
      </c>
      <c r="BJ35" t="s">
        <v>40</v>
      </c>
      <c r="BM35">
        <v>0</v>
      </c>
      <c r="BN35">
        <v>0</v>
      </c>
      <c r="BO35" t="s">
        <v>4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4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4</v>
      </c>
      <c r="CO35">
        <v>0</v>
      </c>
      <c r="CP35">
        <f t="shared" si="41"/>
        <v>-1995.56</v>
      </c>
      <c r="CQ35">
        <f t="shared" si="42"/>
        <v>75026.559999999998</v>
      </c>
      <c r="CR35">
        <f t="shared" si="43"/>
        <v>0</v>
      </c>
      <c r="CS35">
        <f t="shared" si="44"/>
        <v>0</v>
      </c>
      <c r="CT35">
        <f t="shared" si="45"/>
        <v>0</v>
      </c>
      <c r="CU35">
        <f t="shared" si="46"/>
        <v>0</v>
      </c>
      <c r="CV35">
        <f t="shared" si="47"/>
        <v>0</v>
      </c>
      <c r="CW35">
        <f t="shared" si="48"/>
        <v>0</v>
      </c>
      <c r="CX35">
        <f t="shared" si="49"/>
        <v>0</v>
      </c>
      <c r="CY35">
        <f t="shared" si="50"/>
        <v>0</v>
      </c>
      <c r="CZ35">
        <f t="shared" si="51"/>
        <v>0</v>
      </c>
      <c r="DC35" t="s">
        <v>4</v>
      </c>
      <c r="DD35" t="s">
        <v>4</v>
      </c>
      <c r="DE35" t="s">
        <v>4</v>
      </c>
      <c r="DF35" t="s">
        <v>4</v>
      </c>
      <c r="DG35" t="s">
        <v>4</v>
      </c>
      <c r="DH35" t="s">
        <v>4</v>
      </c>
      <c r="DI35" t="s">
        <v>4</v>
      </c>
      <c r="DJ35" t="s">
        <v>4</v>
      </c>
      <c r="DK35" t="s">
        <v>4</v>
      </c>
      <c r="DL35" t="s">
        <v>4</v>
      </c>
      <c r="DM35" t="s">
        <v>4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35</v>
      </c>
      <c r="DW35" t="s">
        <v>35</v>
      </c>
      <c r="DX35">
        <v>1000</v>
      </c>
      <c r="DZ35" t="s">
        <v>4</v>
      </c>
      <c r="EA35" t="s">
        <v>4</v>
      </c>
      <c r="EB35" t="s">
        <v>4</v>
      </c>
      <c r="EC35" t="s">
        <v>4</v>
      </c>
      <c r="EE35">
        <v>50667548</v>
      </c>
      <c r="EF35">
        <v>1</v>
      </c>
      <c r="EG35" t="s">
        <v>20</v>
      </c>
      <c r="EH35">
        <v>0</v>
      </c>
      <c r="EI35" t="s">
        <v>4</v>
      </c>
      <c r="EJ35">
        <v>4</v>
      </c>
      <c r="EK35">
        <v>0</v>
      </c>
      <c r="EL35" t="s">
        <v>21</v>
      </c>
      <c r="EM35" t="s">
        <v>22</v>
      </c>
      <c r="EO35" t="s">
        <v>4</v>
      </c>
      <c r="EQ35">
        <v>32768</v>
      </c>
      <c r="ER35">
        <v>75026.559999999998</v>
      </c>
      <c r="ES35">
        <v>75026.559999999998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52"/>
        <v>0</v>
      </c>
      <c r="FS35">
        <v>0</v>
      </c>
      <c r="FX35">
        <v>70</v>
      </c>
      <c r="FY35">
        <v>10</v>
      </c>
      <c r="GA35" t="s">
        <v>4</v>
      </c>
      <c r="GD35">
        <v>0</v>
      </c>
      <c r="GF35">
        <v>820458137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53"/>
        <v>0</v>
      </c>
      <c r="GM35">
        <f t="shared" si="54"/>
        <v>-1995.56</v>
      </c>
      <c r="GN35">
        <f t="shared" si="55"/>
        <v>0</v>
      </c>
      <c r="GO35">
        <f t="shared" si="56"/>
        <v>0</v>
      </c>
      <c r="GP35">
        <f t="shared" si="57"/>
        <v>-1995.56</v>
      </c>
      <c r="GR35">
        <v>0</v>
      </c>
      <c r="GS35">
        <v>3</v>
      </c>
      <c r="GT35">
        <v>0</v>
      </c>
      <c r="GU35" t="s">
        <v>4</v>
      </c>
      <c r="GV35">
        <f t="shared" si="58"/>
        <v>0</v>
      </c>
      <c r="GW35">
        <v>1</v>
      </c>
      <c r="GX35">
        <f t="shared" si="59"/>
        <v>0</v>
      </c>
      <c r="HA35">
        <v>0</v>
      </c>
      <c r="HB35">
        <v>0</v>
      </c>
      <c r="HC35">
        <f t="shared" si="60"/>
        <v>0</v>
      </c>
      <c r="HE35" t="s">
        <v>4</v>
      </c>
      <c r="HF35" t="s">
        <v>4</v>
      </c>
      <c r="IK35">
        <v>0</v>
      </c>
    </row>
    <row r="36" spans="1:245" x14ac:dyDescent="0.25">
      <c r="A36">
        <v>18</v>
      </c>
      <c r="B36">
        <v>1</v>
      </c>
      <c r="C36">
        <v>25</v>
      </c>
      <c r="E36" t="s">
        <v>50</v>
      </c>
      <c r="F36" t="s">
        <v>42</v>
      </c>
      <c r="G36" t="s">
        <v>51</v>
      </c>
      <c r="H36" t="s">
        <v>35</v>
      </c>
      <c r="I36">
        <f>I34*J36</f>
        <v>2.6598E-2</v>
      </c>
      <c r="J36">
        <v>1</v>
      </c>
      <c r="O36">
        <f t="shared" si="21"/>
        <v>1057.43</v>
      </c>
      <c r="P36">
        <f t="shared" si="22"/>
        <v>1057.43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51820365</v>
      </c>
      <c r="AB36">
        <f t="shared" si="32"/>
        <v>39756.050000000003</v>
      </c>
      <c r="AC36">
        <f t="shared" si="33"/>
        <v>39756.050000000003</v>
      </c>
      <c r="AD36">
        <f t="shared" si="34"/>
        <v>0</v>
      </c>
      <c r="AE36">
        <f t="shared" si="35"/>
        <v>0</v>
      </c>
      <c r="AF36">
        <f t="shared" si="36"/>
        <v>0</v>
      </c>
      <c r="AG36">
        <f t="shared" si="37"/>
        <v>0</v>
      </c>
      <c r="AH36">
        <f t="shared" si="38"/>
        <v>0</v>
      </c>
      <c r="AI36">
        <f t="shared" si="39"/>
        <v>0</v>
      </c>
      <c r="AJ36">
        <f t="shared" si="40"/>
        <v>0</v>
      </c>
      <c r="AK36">
        <v>39756.050000000003</v>
      </c>
      <c r="AL36">
        <v>39756.050000000003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4</v>
      </c>
      <c r="BE36" t="s">
        <v>4</v>
      </c>
      <c r="BF36" t="s">
        <v>4</v>
      </c>
      <c r="BG36" t="s">
        <v>4</v>
      </c>
      <c r="BH36">
        <v>3</v>
      </c>
      <c r="BI36">
        <v>1</v>
      </c>
      <c r="BJ36" t="s">
        <v>44</v>
      </c>
      <c r="BM36">
        <v>6001</v>
      </c>
      <c r="BN36">
        <v>0</v>
      </c>
      <c r="BO36" t="s">
        <v>4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4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4</v>
      </c>
      <c r="CO36">
        <v>0</v>
      </c>
      <c r="CP36">
        <f t="shared" si="41"/>
        <v>1057.43</v>
      </c>
      <c r="CQ36">
        <f t="shared" si="42"/>
        <v>39756.050000000003</v>
      </c>
      <c r="CR36">
        <f t="shared" si="43"/>
        <v>0</v>
      </c>
      <c r="CS36">
        <f t="shared" si="44"/>
        <v>0</v>
      </c>
      <c r="CT36">
        <f t="shared" si="45"/>
        <v>0</v>
      </c>
      <c r="CU36">
        <f t="shared" si="46"/>
        <v>0</v>
      </c>
      <c r="CV36">
        <f t="shared" si="47"/>
        <v>0</v>
      </c>
      <c r="CW36">
        <f t="shared" si="48"/>
        <v>0</v>
      </c>
      <c r="CX36">
        <f t="shared" si="49"/>
        <v>0</v>
      </c>
      <c r="CY36">
        <f t="shared" si="50"/>
        <v>0</v>
      </c>
      <c r="CZ36">
        <f t="shared" si="51"/>
        <v>0</v>
      </c>
      <c r="DC36" t="s">
        <v>4</v>
      </c>
      <c r="DD36" t="s">
        <v>4</v>
      </c>
      <c r="DE36" t="s">
        <v>4</v>
      </c>
      <c r="DF36" t="s">
        <v>4</v>
      </c>
      <c r="DG36" t="s">
        <v>4</v>
      </c>
      <c r="DH36" t="s">
        <v>4</v>
      </c>
      <c r="DI36" t="s">
        <v>4</v>
      </c>
      <c r="DJ36" t="s">
        <v>4</v>
      </c>
      <c r="DK36" t="s">
        <v>4</v>
      </c>
      <c r="DL36" t="s">
        <v>4</v>
      </c>
      <c r="DM36" t="s">
        <v>4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35</v>
      </c>
      <c r="DW36" t="s">
        <v>35</v>
      </c>
      <c r="DX36">
        <v>1000</v>
      </c>
      <c r="DZ36" t="s">
        <v>4</v>
      </c>
      <c r="EA36" t="s">
        <v>4</v>
      </c>
      <c r="EB36" t="s">
        <v>4</v>
      </c>
      <c r="EC36" t="s">
        <v>4</v>
      </c>
      <c r="EE36">
        <v>51059144</v>
      </c>
      <c r="EF36">
        <v>0</v>
      </c>
      <c r="EG36" t="s">
        <v>45</v>
      </c>
      <c r="EH36">
        <v>0</v>
      </c>
      <c r="EI36" t="s">
        <v>4</v>
      </c>
      <c r="EJ36">
        <v>1</v>
      </c>
      <c r="EK36">
        <v>6001</v>
      </c>
      <c r="EL36" t="s">
        <v>46</v>
      </c>
      <c r="EM36" t="s">
        <v>45</v>
      </c>
      <c r="EO36" t="s">
        <v>4</v>
      </c>
      <c r="EQ36">
        <v>0</v>
      </c>
      <c r="ER36">
        <v>39756.050000000003</v>
      </c>
      <c r="ES36">
        <v>39756.050000000003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52"/>
        <v>0</v>
      </c>
      <c r="FS36">
        <v>0</v>
      </c>
      <c r="FX36">
        <v>0</v>
      </c>
      <c r="FY36">
        <v>0</v>
      </c>
      <c r="GA36" t="s">
        <v>4</v>
      </c>
      <c r="GD36">
        <v>0</v>
      </c>
      <c r="GF36">
        <v>1948042052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53"/>
        <v>0</v>
      </c>
      <c r="GM36">
        <f t="shared" si="54"/>
        <v>1057.43</v>
      </c>
      <c r="GN36">
        <f t="shared" si="55"/>
        <v>1057.43</v>
      </c>
      <c r="GO36">
        <f t="shared" si="56"/>
        <v>0</v>
      </c>
      <c r="GP36">
        <f t="shared" si="57"/>
        <v>0</v>
      </c>
      <c r="GR36">
        <v>0</v>
      </c>
      <c r="GS36">
        <v>3</v>
      </c>
      <c r="GT36">
        <v>0</v>
      </c>
      <c r="GU36" t="s">
        <v>4</v>
      </c>
      <c r="GV36">
        <f t="shared" si="58"/>
        <v>0</v>
      </c>
      <c r="GW36">
        <v>1</v>
      </c>
      <c r="GX36">
        <f t="shared" si="59"/>
        <v>0</v>
      </c>
      <c r="HA36">
        <v>0</v>
      </c>
      <c r="HB36">
        <v>0</v>
      </c>
      <c r="HC36">
        <f t="shared" si="60"/>
        <v>0</v>
      </c>
      <c r="HE36" t="s">
        <v>4</v>
      </c>
      <c r="HF36" t="s">
        <v>4</v>
      </c>
      <c r="IK36">
        <v>0</v>
      </c>
    </row>
    <row r="37" spans="1:245" x14ac:dyDescent="0.25">
      <c r="A37">
        <v>17</v>
      </c>
      <c r="B37">
        <v>1</v>
      </c>
      <c r="C37">
        <f>ROW(SmtRes!A37)</f>
        <v>37</v>
      </c>
      <c r="D37">
        <f>ROW(EtalonRes!A33)</f>
        <v>33</v>
      </c>
      <c r="E37" t="s">
        <v>52</v>
      </c>
      <c r="F37" t="s">
        <v>53</v>
      </c>
      <c r="G37" t="s">
        <v>54</v>
      </c>
      <c r="H37" t="s">
        <v>55</v>
      </c>
      <c r="I37">
        <v>142.80000000000001</v>
      </c>
      <c r="J37">
        <v>0</v>
      </c>
      <c r="O37">
        <f t="shared" si="21"/>
        <v>991994.48</v>
      </c>
      <c r="P37">
        <f t="shared" si="22"/>
        <v>812156.44</v>
      </c>
      <c r="Q37">
        <f t="shared" si="23"/>
        <v>66297.759999999995</v>
      </c>
      <c r="R37">
        <f t="shared" si="24"/>
        <v>42265.94</v>
      </c>
      <c r="S37">
        <f t="shared" si="25"/>
        <v>113540.28</v>
      </c>
      <c r="T37">
        <f t="shared" si="26"/>
        <v>0</v>
      </c>
      <c r="U37">
        <f t="shared" si="27"/>
        <v>424.11600000000004</v>
      </c>
      <c r="V37">
        <f t="shared" si="28"/>
        <v>0</v>
      </c>
      <c r="W37">
        <f t="shared" si="29"/>
        <v>0</v>
      </c>
      <c r="X37">
        <f t="shared" si="30"/>
        <v>79478.2</v>
      </c>
      <c r="Y37">
        <f t="shared" si="31"/>
        <v>11354.03</v>
      </c>
      <c r="AA37">
        <v>51820365</v>
      </c>
      <c r="AB37">
        <f t="shared" si="32"/>
        <v>6946.74</v>
      </c>
      <c r="AC37">
        <f t="shared" si="33"/>
        <v>5687.37</v>
      </c>
      <c r="AD37">
        <f t="shared" si="34"/>
        <v>464.27</v>
      </c>
      <c r="AE37">
        <f t="shared" si="35"/>
        <v>295.98</v>
      </c>
      <c r="AF37">
        <f t="shared" si="36"/>
        <v>795.1</v>
      </c>
      <c r="AG37">
        <f t="shared" si="37"/>
        <v>0</v>
      </c>
      <c r="AH37">
        <f t="shared" si="38"/>
        <v>2.97</v>
      </c>
      <c r="AI37">
        <f t="shared" si="39"/>
        <v>0</v>
      </c>
      <c r="AJ37">
        <f t="shared" si="40"/>
        <v>0</v>
      </c>
      <c r="AK37">
        <v>6946.74</v>
      </c>
      <c r="AL37">
        <v>5687.37</v>
      </c>
      <c r="AM37">
        <v>464.27</v>
      </c>
      <c r="AN37">
        <v>295.98</v>
      </c>
      <c r="AO37">
        <v>795.1</v>
      </c>
      <c r="AP37">
        <v>0</v>
      </c>
      <c r="AQ37">
        <v>2.97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4</v>
      </c>
      <c r="BE37" t="s">
        <v>4</v>
      </c>
      <c r="BF37" t="s">
        <v>4</v>
      </c>
      <c r="BG37" t="s">
        <v>4</v>
      </c>
      <c r="BH37">
        <v>0</v>
      </c>
      <c r="BI37">
        <v>4</v>
      </c>
      <c r="BJ37" t="s">
        <v>56</v>
      </c>
      <c r="BM37">
        <v>0</v>
      </c>
      <c r="BN37">
        <v>0</v>
      </c>
      <c r="BO37" t="s">
        <v>4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4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4</v>
      </c>
      <c r="CO37">
        <v>0</v>
      </c>
      <c r="CP37">
        <f t="shared" si="41"/>
        <v>991994.48</v>
      </c>
      <c r="CQ37">
        <f t="shared" si="42"/>
        <v>5687.37</v>
      </c>
      <c r="CR37">
        <f t="shared" si="43"/>
        <v>464.27</v>
      </c>
      <c r="CS37">
        <f t="shared" si="44"/>
        <v>295.98</v>
      </c>
      <c r="CT37">
        <f t="shared" si="45"/>
        <v>795.1</v>
      </c>
      <c r="CU37">
        <f t="shared" si="46"/>
        <v>0</v>
      </c>
      <c r="CV37">
        <f t="shared" si="47"/>
        <v>2.97</v>
      </c>
      <c r="CW37">
        <f t="shared" si="48"/>
        <v>0</v>
      </c>
      <c r="CX37">
        <f t="shared" si="49"/>
        <v>0</v>
      </c>
      <c r="CY37">
        <f t="shared" si="50"/>
        <v>79478.195999999996</v>
      </c>
      <c r="CZ37">
        <f t="shared" si="51"/>
        <v>11354.028</v>
      </c>
      <c r="DC37" t="s">
        <v>4</v>
      </c>
      <c r="DD37" t="s">
        <v>4</v>
      </c>
      <c r="DE37" t="s">
        <v>4</v>
      </c>
      <c r="DF37" t="s">
        <v>4</v>
      </c>
      <c r="DG37" t="s">
        <v>4</v>
      </c>
      <c r="DH37" t="s">
        <v>4</v>
      </c>
      <c r="DI37" t="s">
        <v>4</v>
      </c>
      <c r="DJ37" t="s">
        <v>4</v>
      </c>
      <c r="DK37" t="s">
        <v>4</v>
      </c>
      <c r="DL37" t="s">
        <v>4</v>
      </c>
      <c r="DM37" t="s">
        <v>4</v>
      </c>
      <c r="DN37">
        <v>0</v>
      </c>
      <c r="DO37">
        <v>0</v>
      </c>
      <c r="DP37">
        <v>1</v>
      </c>
      <c r="DQ37">
        <v>1</v>
      </c>
      <c r="DU37">
        <v>1005</v>
      </c>
      <c r="DV37" t="s">
        <v>55</v>
      </c>
      <c r="DW37" t="s">
        <v>55</v>
      </c>
      <c r="DX37">
        <v>1</v>
      </c>
      <c r="DZ37" t="s">
        <v>4</v>
      </c>
      <c r="EA37" t="s">
        <v>4</v>
      </c>
      <c r="EB37" t="s">
        <v>4</v>
      </c>
      <c r="EC37" t="s">
        <v>4</v>
      </c>
      <c r="EE37">
        <v>50667548</v>
      </c>
      <c r="EF37">
        <v>1</v>
      </c>
      <c r="EG37" t="s">
        <v>20</v>
      </c>
      <c r="EH37">
        <v>0</v>
      </c>
      <c r="EI37" t="s">
        <v>4</v>
      </c>
      <c r="EJ37">
        <v>4</v>
      </c>
      <c r="EK37">
        <v>0</v>
      </c>
      <c r="EL37" t="s">
        <v>21</v>
      </c>
      <c r="EM37" t="s">
        <v>22</v>
      </c>
      <c r="EO37" t="s">
        <v>4</v>
      </c>
      <c r="EQ37">
        <v>0</v>
      </c>
      <c r="ER37">
        <v>6946.74</v>
      </c>
      <c r="ES37">
        <v>5687.37</v>
      </c>
      <c r="ET37">
        <v>464.27</v>
      </c>
      <c r="EU37">
        <v>295.98</v>
      </c>
      <c r="EV37">
        <v>795.1</v>
      </c>
      <c r="EW37">
        <v>2.97</v>
      </c>
      <c r="EX37">
        <v>0</v>
      </c>
      <c r="EY37">
        <v>0</v>
      </c>
      <c r="FQ37">
        <v>0</v>
      </c>
      <c r="FR37">
        <f t="shared" si="52"/>
        <v>0</v>
      </c>
      <c r="FS37">
        <v>0</v>
      </c>
      <c r="FX37">
        <v>70</v>
      </c>
      <c r="FY37">
        <v>10</v>
      </c>
      <c r="GA37" t="s">
        <v>4</v>
      </c>
      <c r="GD37">
        <v>0</v>
      </c>
      <c r="GF37">
        <v>1549732714</v>
      </c>
      <c r="GG37">
        <v>2</v>
      </c>
      <c r="GH37">
        <v>1</v>
      </c>
      <c r="GI37">
        <v>-2</v>
      </c>
      <c r="GJ37">
        <v>0</v>
      </c>
      <c r="GK37">
        <f>ROUND(R37*(R12)/100,2)</f>
        <v>45647.22</v>
      </c>
      <c r="GL37">
        <f t="shared" si="53"/>
        <v>0</v>
      </c>
      <c r="GM37">
        <f t="shared" si="54"/>
        <v>1128473.93</v>
      </c>
      <c r="GN37">
        <f t="shared" si="55"/>
        <v>0</v>
      </c>
      <c r="GO37">
        <f t="shared" si="56"/>
        <v>0</v>
      </c>
      <c r="GP37">
        <f t="shared" si="57"/>
        <v>1128473.93</v>
      </c>
      <c r="GR37">
        <v>0</v>
      </c>
      <c r="GS37">
        <v>3</v>
      </c>
      <c r="GT37">
        <v>0</v>
      </c>
      <c r="GU37" t="s">
        <v>4</v>
      </c>
      <c r="GV37">
        <f t="shared" si="58"/>
        <v>0</v>
      </c>
      <c r="GW37">
        <v>1</v>
      </c>
      <c r="GX37">
        <f t="shared" si="59"/>
        <v>0</v>
      </c>
      <c r="HA37">
        <v>0</v>
      </c>
      <c r="HB37">
        <v>0</v>
      </c>
      <c r="HC37">
        <f t="shared" si="60"/>
        <v>0</v>
      </c>
      <c r="HE37" t="s">
        <v>4</v>
      </c>
      <c r="HF37" t="s">
        <v>4</v>
      </c>
      <c r="IK37">
        <v>0</v>
      </c>
    </row>
    <row r="38" spans="1:245" x14ac:dyDescent="0.25">
      <c r="A38">
        <v>18</v>
      </c>
      <c r="B38">
        <v>1</v>
      </c>
      <c r="C38">
        <v>34</v>
      </c>
      <c r="E38" t="s">
        <v>57</v>
      </c>
      <c r="F38" t="s">
        <v>58</v>
      </c>
      <c r="G38" t="s">
        <v>59</v>
      </c>
      <c r="H38" t="s">
        <v>35</v>
      </c>
      <c r="I38">
        <f>I37*J38</f>
        <v>-21.277200000000001</v>
      </c>
      <c r="J38">
        <v>-0.14899999999999999</v>
      </c>
      <c r="O38">
        <f t="shared" si="21"/>
        <v>-798693.75</v>
      </c>
      <c r="P38">
        <f t="shared" si="22"/>
        <v>-798693.75</v>
      </c>
      <c r="Q38">
        <f t="shared" si="23"/>
        <v>0</v>
      </c>
      <c r="R38">
        <f t="shared" si="24"/>
        <v>0</v>
      </c>
      <c r="S38">
        <f t="shared" si="25"/>
        <v>0</v>
      </c>
      <c r="T38">
        <f t="shared" si="26"/>
        <v>0</v>
      </c>
      <c r="U38">
        <f t="shared" si="27"/>
        <v>0</v>
      </c>
      <c r="V38">
        <f t="shared" si="28"/>
        <v>0</v>
      </c>
      <c r="W38">
        <f t="shared" si="29"/>
        <v>0</v>
      </c>
      <c r="X38">
        <f t="shared" si="30"/>
        <v>0</v>
      </c>
      <c r="Y38">
        <f t="shared" si="31"/>
        <v>0</v>
      </c>
      <c r="AA38">
        <v>51820365</v>
      </c>
      <c r="AB38">
        <f t="shared" si="32"/>
        <v>37537.54</v>
      </c>
      <c r="AC38">
        <f t="shared" si="33"/>
        <v>37537.54</v>
      </c>
      <c r="AD38">
        <f t="shared" si="34"/>
        <v>0</v>
      </c>
      <c r="AE38">
        <f t="shared" si="35"/>
        <v>0</v>
      </c>
      <c r="AF38">
        <f t="shared" si="36"/>
        <v>0</v>
      </c>
      <c r="AG38">
        <f t="shared" si="37"/>
        <v>0</v>
      </c>
      <c r="AH38">
        <f t="shared" si="38"/>
        <v>0</v>
      </c>
      <c r="AI38">
        <f t="shared" si="39"/>
        <v>0</v>
      </c>
      <c r="AJ38">
        <f t="shared" si="40"/>
        <v>0</v>
      </c>
      <c r="AK38">
        <v>37537.54</v>
      </c>
      <c r="AL38">
        <v>37537.54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4</v>
      </c>
      <c r="BE38" t="s">
        <v>4</v>
      </c>
      <c r="BF38" t="s">
        <v>4</v>
      </c>
      <c r="BG38" t="s">
        <v>4</v>
      </c>
      <c r="BH38">
        <v>3</v>
      </c>
      <c r="BI38">
        <v>4</v>
      </c>
      <c r="BJ38" t="s">
        <v>60</v>
      </c>
      <c r="BM38">
        <v>0</v>
      </c>
      <c r="BN38">
        <v>0</v>
      </c>
      <c r="BO38" t="s">
        <v>4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4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4</v>
      </c>
      <c r="CO38">
        <v>0</v>
      </c>
      <c r="CP38">
        <f t="shared" si="41"/>
        <v>-798693.75</v>
      </c>
      <c r="CQ38">
        <f t="shared" si="42"/>
        <v>37537.54</v>
      </c>
      <c r="CR38">
        <f t="shared" si="43"/>
        <v>0</v>
      </c>
      <c r="CS38">
        <f t="shared" si="44"/>
        <v>0</v>
      </c>
      <c r="CT38">
        <f t="shared" si="45"/>
        <v>0</v>
      </c>
      <c r="CU38">
        <f t="shared" si="46"/>
        <v>0</v>
      </c>
      <c r="CV38">
        <f t="shared" si="47"/>
        <v>0</v>
      </c>
      <c r="CW38">
        <f t="shared" si="48"/>
        <v>0</v>
      </c>
      <c r="CX38">
        <f t="shared" si="49"/>
        <v>0</v>
      </c>
      <c r="CY38">
        <f t="shared" si="50"/>
        <v>0</v>
      </c>
      <c r="CZ38">
        <f t="shared" si="51"/>
        <v>0</v>
      </c>
      <c r="DC38" t="s">
        <v>4</v>
      </c>
      <c r="DD38" t="s">
        <v>4</v>
      </c>
      <c r="DE38" t="s">
        <v>4</v>
      </c>
      <c r="DF38" t="s">
        <v>4</v>
      </c>
      <c r="DG38" t="s">
        <v>4</v>
      </c>
      <c r="DH38" t="s">
        <v>4</v>
      </c>
      <c r="DI38" t="s">
        <v>4</v>
      </c>
      <c r="DJ38" t="s">
        <v>4</v>
      </c>
      <c r="DK38" t="s">
        <v>4</v>
      </c>
      <c r="DL38" t="s">
        <v>4</v>
      </c>
      <c r="DM38" t="s">
        <v>4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35</v>
      </c>
      <c r="DW38" t="s">
        <v>35</v>
      </c>
      <c r="DX38">
        <v>1000</v>
      </c>
      <c r="DZ38" t="s">
        <v>4</v>
      </c>
      <c r="EA38" t="s">
        <v>4</v>
      </c>
      <c r="EB38" t="s">
        <v>4</v>
      </c>
      <c r="EC38" t="s">
        <v>4</v>
      </c>
      <c r="EE38">
        <v>50667548</v>
      </c>
      <c r="EF38">
        <v>1</v>
      </c>
      <c r="EG38" t="s">
        <v>20</v>
      </c>
      <c r="EH38">
        <v>0</v>
      </c>
      <c r="EI38" t="s">
        <v>4</v>
      </c>
      <c r="EJ38">
        <v>4</v>
      </c>
      <c r="EK38">
        <v>0</v>
      </c>
      <c r="EL38" t="s">
        <v>21</v>
      </c>
      <c r="EM38" t="s">
        <v>22</v>
      </c>
      <c r="EO38" t="s">
        <v>4</v>
      </c>
      <c r="EQ38">
        <v>0</v>
      </c>
      <c r="ER38">
        <v>37537.54</v>
      </c>
      <c r="ES38">
        <v>37537.54</v>
      </c>
      <c r="ET38">
        <v>0</v>
      </c>
      <c r="EU38">
        <v>0</v>
      </c>
      <c r="EV38">
        <v>0</v>
      </c>
      <c r="EW38">
        <v>0</v>
      </c>
      <c r="EX38">
        <v>0</v>
      </c>
      <c r="FQ38">
        <v>0</v>
      </c>
      <c r="FR38">
        <f t="shared" si="52"/>
        <v>0</v>
      </c>
      <c r="FS38">
        <v>0</v>
      </c>
      <c r="FX38">
        <v>70</v>
      </c>
      <c r="FY38">
        <v>10</v>
      </c>
      <c r="GA38" t="s">
        <v>4</v>
      </c>
      <c r="GD38">
        <v>0</v>
      </c>
      <c r="GF38">
        <v>-2126876791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53"/>
        <v>0</v>
      </c>
      <c r="GM38">
        <f t="shared" si="54"/>
        <v>-798693.75</v>
      </c>
      <c r="GN38">
        <f t="shared" si="55"/>
        <v>0</v>
      </c>
      <c r="GO38">
        <f t="shared" si="56"/>
        <v>0</v>
      </c>
      <c r="GP38">
        <f t="shared" si="57"/>
        <v>-798693.75</v>
      </c>
      <c r="GR38">
        <v>0</v>
      </c>
      <c r="GS38">
        <v>3</v>
      </c>
      <c r="GT38">
        <v>0</v>
      </c>
      <c r="GU38" t="s">
        <v>4</v>
      </c>
      <c r="GV38">
        <f t="shared" si="58"/>
        <v>0</v>
      </c>
      <c r="GW38">
        <v>1</v>
      </c>
      <c r="GX38">
        <f t="shared" si="59"/>
        <v>0</v>
      </c>
      <c r="HA38">
        <v>0</v>
      </c>
      <c r="HB38">
        <v>0</v>
      </c>
      <c r="HC38">
        <f t="shared" si="60"/>
        <v>0</v>
      </c>
      <c r="HE38" t="s">
        <v>4</v>
      </c>
      <c r="HF38" t="s">
        <v>4</v>
      </c>
      <c r="IK38">
        <v>0</v>
      </c>
    </row>
    <row r="39" spans="1:245" x14ac:dyDescent="0.25">
      <c r="A39">
        <v>18</v>
      </c>
      <c r="B39">
        <v>1</v>
      </c>
      <c r="C39">
        <v>35</v>
      </c>
      <c r="E39" t="s">
        <v>61</v>
      </c>
      <c r="F39" t="s">
        <v>62</v>
      </c>
      <c r="G39" t="s">
        <v>63</v>
      </c>
      <c r="H39" t="s">
        <v>35</v>
      </c>
      <c r="I39">
        <f>I37*J39</f>
        <v>1.7281660000000001</v>
      </c>
      <c r="J39">
        <v>1.2102002801120448E-2</v>
      </c>
      <c r="O39">
        <f t="shared" si="21"/>
        <v>70159.31</v>
      </c>
      <c r="P39">
        <f t="shared" si="22"/>
        <v>70159.31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51820365</v>
      </c>
      <c r="AB39">
        <f t="shared" si="32"/>
        <v>40597.550000000003</v>
      </c>
      <c r="AC39">
        <f t="shared" si="33"/>
        <v>40597.550000000003</v>
      </c>
      <c r="AD39">
        <f t="shared" si="34"/>
        <v>0</v>
      </c>
      <c r="AE39">
        <f t="shared" si="35"/>
        <v>0</v>
      </c>
      <c r="AF39">
        <f t="shared" si="36"/>
        <v>0</v>
      </c>
      <c r="AG39">
        <f t="shared" si="37"/>
        <v>0</v>
      </c>
      <c r="AH39">
        <f t="shared" si="38"/>
        <v>0</v>
      </c>
      <c r="AI39">
        <f t="shared" si="39"/>
        <v>0</v>
      </c>
      <c r="AJ39">
        <f t="shared" si="40"/>
        <v>0</v>
      </c>
      <c r="AK39">
        <v>40597.550000000003</v>
      </c>
      <c r="AL39">
        <v>40597.550000000003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4</v>
      </c>
      <c r="BE39" t="s">
        <v>4</v>
      </c>
      <c r="BF39" t="s">
        <v>4</v>
      </c>
      <c r="BG39" t="s">
        <v>4</v>
      </c>
      <c r="BH39">
        <v>3</v>
      </c>
      <c r="BI39">
        <v>4</v>
      </c>
      <c r="BJ39" t="s">
        <v>64</v>
      </c>
      <c r="BM39">
        <v>0</v>
      </c>
      <c r="BN39">
        <v>0</v>
      </c>
      <c r="BO39" t="s">
        <v>4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4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4</v>
      </c>
      <c r="CO39">
        <v>0</v>
      </c>
      <c r="CP39">
        <f t="shared" si="41"/>
        <v>70159.31</v>
      </c>
      <c r="CQ39">
        <f t="shared" si="42"/>
        <v>40597.550000000003</v>
      </c>
      <c r="CR39">
        <f t="shared" si="43"/>
        <v>0</v>
      </c>
      <c r="CS39">
        <f t="shared" si="44"/>
        <v>0</v>
      </c>
      <c r="CT39">
        <f t="shared" si="45"/>
        <v>0</v>
      </c>
      <c r="CU39">
        <f t="shared" si="46"/>
        <v>0</v>
      </c>
      <c r="CV39">
        <f t="shared" si="47"/>
        <v>0</v>
      </c>
      <c r="CW39">
        <f t="shared" si="48"/>
        <v>0</v>
      </c>
      <c r="CX39">
        <f t="shared" si="49"/>
        <v>0</v>
      </c>
      <c r="CY39">
        <f t="shared" si="50"/>
        <v>0</v>
      </c>
      <c r="CZ39">
        <f t="shared" si="51"/>
        <v>0</v>
      </c>
      <c r="DC39" t="s">
        <v>4</v>
      </c>
      <c r="DD39" t="s">
        <v>4</v>
      </c>
      <c r="DE39" t="s">
        <v>4</v>
      </c>
      <c r="DF39" t="s">
        <v>4</v>
      </c>
      <c r="DG39" t="s">
        <v>4</v>
      </c>
      <c r="DH39" t="s">
        <v>4</v>
      </c>
      <c r="DI39" t="s">
        <v>4</v>
      </c>
      <c r="DJ39" t="s">
        <v>4</v>
      </c>
      <c r="DK39" t="s">
        <v>4</v>
      </c>
      <c r="DL39" t="s">
        <v>4</v>
      </c>
      <c r="DM39" t="s">
        <v>4</v>
      </c>
      <c r="DN39">
        <v>0</v>
      </c>
      <c r="DO39">
        <v>0</v>
      </c>
      <c r="DP39">
        <v>1</v>
      </c>
      <c r="DQ39">
        <v>1</v>
      </c>
      <c r="DU39">
        <v>1009</v>
      </c>
      <c r="DV39" t="s">
        <v>35</v>
      </c>
      <c r="DW39" t="s">
        <v>35</v>
      </c>
      <c r="DX39">
        <v>1000</v>
      </c>
      <c r="DZ39" t="s">
        <v>4</v>
      </c>
      <c r="EA39" t="s">
        <v>4</v>
      </c>
      <c r="EB39" t="s">
        <v>4</v>
      </c>
      <c r="EC39" t="s">
        <v>4</v>
      </c>
      <c r="EE39">
        <v>50667548</v>
      </c>
      <c r="EF39">
        <v>1</v>
      </c>
      <c r="EG39" t="s">
        <v>20</v>
      </c>
      <c r="EH39">
        <v>0</v>
      </c>
      <c r="EI39" t="s">
        <v>4</v>
      </c>
      <c r="EJ39">
        <v>4</v>
      </c>
      <c r="EK39">
        <v>0</v>
      </c>
      <c r="EL39" t="s">
        <v>21</v>
      </c>
      <c r="EM39" t="s">
        <v>22</v>
      </c>
      <c r="EO39" t="s">
        <v>4</v>
      </c>
      <c r="EQ39">
        <v>0</v>
      </c>
      <c r="ER39">
        <v>40597.550000000003</v>
      </c>
      <c r="ES39">
        <v>40597.550000000003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52"/>
        <v>0</v>
      </c>
      <c r="FS39">
        <v>0</v>
      </c>
      <c r="FX39">
        <v>70</v>
      </c>
      <c r="FY39">
        <v>10</v>
      </c>
      <c r="GA39" t="s">
        <v>4</v>
      </c>
      <c r="GD39">
        <v>0</v>
      </c>
      <c r="GF39">
        <v>-992296457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53"/>
        <v>0</v>
      </c>
      <c r="GM39">
        <f t="shared" si="54"/>
        <v>70159.31</v>
      </c>
      <c r="GN39">
        <f t="shared" si="55"/>
        <v>0</v>
      </c>
      <c r="GO39">
        <f t="shared" si="56"/>
        <v>0</v>
      </c>
      <c r="GP39">
        <f t="shared" si="57"/>
        <v>70159.31</v>
      </c>
      <c r="GR39">
        <v>0</v>
      </c>
      <c r="GS39">
        <v>3</v>
      </c>
      <c r="GT39">
        <v>0</v>
      </c>
      <c r="GU39" t="s">
        <v>4</v>
      </c>
      <c r="GV39">
        <f t="shared" si="58"/>
        <v>0</v>
      </c>
      <c r="GW39">
        <v>1</v>
      </c>
      <c r="GX39">
        <f t="shared" si="59"/>
        <v>0</v>
      </c>
      <c r="HA39">
        <v>0</v>
      </c>
      <c r="HB39">
        <v>0</v>
      </c>
      <c r="HC39">
        <f t="shared" si="60"/>
        <v>0</v>
      </c>
      <c r="HE39" t="s">
        <v>4</v>
      </c>
      <c r="HF39" t="s">
        <v>4</v>
      </c>
      <c r="IK39">
        <v>0</v>
      </c>
    </row>
    <row r="40" spans="1:245" x14ac:dyDescent="0.25">
      <c r="A40">
        <v>17</v>
      </c>
      <c r="B40">
        <v>1</v>
      </c>
      <c r="C40">
        <f>ROW(SmtRes!A43)</f>
        <v>43</v>
      </c>
      <c r="D40">
        <f>ROW(EtalonRes!A39)</f>
        <v>39</v>
      </c>
      <c r="E40" t="s">
        <v>65</v>
      </c>
      <c r="F40" t="s">
        <v>66</v>
      </c>
      <c r="G40" t="s">
        <v>67</v>
      </c>
      <c r="H40" t="s">
        <v>68</v>
      </c>
      <c r="I40">
        <f>ROUND(38.37/100,9)</f>
        <v>0.38369999999999999</v>
      </c>
      <c r="J40">
        <v>0</v>
      </c>
      <c r="O40">
        <f t="shared" si="21"/>
        <v>1085.29</v>
      </c>
      <c r="P40">
        <f t="shared" si="22"/>
        <v>392.18</v>
      </c>
      <c r="Q40">
        <f t="shared" si="23"/>
        <v>55.36</v>
      </c>
      <c r="R40">
        <f t="shared" si="24"/>
        <v>19.190000000000001</v>
      </c>
      <c r="S40">
        <f t="shared" si="25"/>
        <v>637.75</v>
      </c>
      <c r="T40">
        <f t="shared" si="26"/>
        <v>0</v>
      </c>
      <c r="U40">
        <f t="shared" si="27"/>
        <v>2.3444069999999999</v>
      </c>
      <c r="V40">
        <f t="shared" si="28"/>
        <v>0</v>
      </c>
      <c r="W40">
        <f t="shared" si="29"/>
        <v>0</v>
      </c>
      <c r="X40">
        <f t="shared" si="30"/>
        <v>446.43</v>
      </c>
      <c r="Y40">
        <f t="shared" si="31"/>
        <v>63.78</v>
      </c>
      <c r="AA40">
        <v>51820365</v>
      </c>
      <c r="AB40">
        <f t="shared" si="32"/>
        <v>2828.49</v>
      </c>
      <c r="AC40">
        <f t="shared" si="33"/>
        <v>1022.11</v>
      </c>
      <c r="AD40">
        <f t="shared" si="34"/>
        <v>144.28</v>
      </c>
      <c r="AE40">
        <f t="shared" si="35"/>
        <v>50</v>
      </c>
      <c r="AF40">
        <f t="shared" si="36"/>
        <v>1662.1</v>
      </c>
      <c r="AG40">
        <f t="shared" si="37"/>
        <v>0</v>
      </c>
      <c r="AH40">
        <f t="shared" si="38"/>
        <v>6.11</v>
      </c>
      <c r="AI40">
        <f t="shared" si="39"/>
        <v>0</v>
      </c>
      <c r="AJ40">
        <f t="shared" si="40"/>
        <v>0</v>
      </c>
      <c r="AK40">
        <v>2828.49</v>
      </c>
      <c r="AL40">
        <v>1022.11</v>
      </c>
      <c r="AM40">
        <v>144.28</v>
      </c>
      <c r="AN40">
        <v>50</v>
      </c>
      <c r="AO40">
        <v>1662.1</v>
      </c>
      <c r="AP40">
        <v>0</v>
      </c>
      <c r="AQ40">
        <v>6.11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4</v>
      </c>
      <c r="BE40" t="s">
        <v>4</v>
      </c>
      <c r="BF40" t="s">
        <v>4</v>
      </c>
      <c r="BG40" t="s">
        <v>4</v>
      </c>
      <c r="BH40">
        <v>0</v>
      </c>
      <c r="BI40">
        <v>4</v>
      </c>
      <c r="BJ40" t="s">
        <v>69</v>
      </c>
      <c r="BM40">
        <v>0</v>
      </c>
      <c r="BN40">
        <v>0</v>
      </c>
      <c r="BO40" t="s">
        <v>4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4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4</v>
      </c>
      <c r="CO40">
        <v>0</v>
      </c>
      <c r="CP40">
        <f t="shared" si="41"/>
        <v>1085.29</v>
      </c>
      <c r="CQ40">
        <f t="shared" si="42"/>
        <v>1022.11</v>
      </c>
      <c r="CR40">
        <f t="shared" si="43"/>
        <v>144.28</v>
      </c>
      <c r="CS40">
        <f t="shared" si="44"/>
        <v>50</v>
      </c>
      <c r="CT40">
        <f t="shared" si="45"/>
        <v>1662.1</v>
      </c>
      <c r="CU40">
        <f t="shared" si="46"/>
        <v>0</v>
      </c>
      <c r="CV40">
        <f t="shared" si="47"/>
        <v>6.11</v>
      </c>
      <c r="CW40">
        <f t="shared" si="48"/>
        <v>0</v>
      </c>
      <c r="CX40">
        <f t="shared" si="49"/>
        <v>0</v>
      </c>
      <c r="CY40">
        <f t="shared" si="50"/>
        <v>446.42500000000001</v>
      </c>
      <c r="CZ40">
        <f t="shared" si="51"/>
        <v>63.774999999999999</v>
      </c>
      <c r="DC40" t="s">
        <v>4</v>
      </c>
      <c r="DD40" t="s">
        <v>4</v>
      </c>
      <c r="DE40" t="s">
        <v>4</v>
      </c>
      <c r="DF40" t="s">
        <v>4</v>
      </c>
      <c r="DG40" t="s">
        <v>4</v>
      </c>
      <c r="DH40" t="s">
        <v>4</v>
      </c>
      <c r="DI40" t="s">
        <v>4</v>
      </c>
      <c r="DJ40" t="s">
        <v>4</v>
      </c>
      <c r="DK40" t="s">
        <v>4</v>
      </c>
      <c r="DL40" t="s">
        <v>4</v>
      </c>
      <c r="DM40" t="s">
        <v>4</v>
      </c>
      <c r="DN40">
        <v>0</v>
      </c>
      <c r="DO40">
        <v>0</v>
      </c>
      <c r="DP40">
        <v>1</v>
      </c>
      <c r="DQ40">
        <v>1</v>
      </c>
      <c r="DU40">
        <v>1005</v>
      </c>
      <c r="DV40" t="s">
        <v>68</v>
      </c>
      <c r="DW40" t="s">
        <v>68</v>
      </c>
      <c r="DX40">
        <v>100</v>
      </c>
      <c r="DZ40" t="s">
        <v>4</v>
      </c>
      <c r="EA40" t="s">
        <v>4</v>
      </c>
      <c r="EB40" t="s">
        <v>4</v>
      </c>
      <c r="EC40" t="s">
        <v>4</v>
      </c>
      <c r="EE40">
        <v>50667548</v>
      </c>
      <c r="EF40">
        <v>1</v>
      </c>
      <c r="EG40" t="s">
        <v>20</v>
      </c>
      <c r="EH40">
        <v>0</v>
      </c>
      <c r="EI40" t="s">
        <v>4</v>
      </c>
      <c r="EJ40">
        <v>4</v>
      </c>
      <c r="EK40">
        <v>0</v>
      </c>
      <c r="EL40" t="s">
        <v>21</v>
      </c>
      <c r="EM40" t="s">
        <v>22</v>
      </c>
      <c r="EO40" t="s">
        <v>4</v>
      </c>
      <c r="EQ40">
        <v>0</v>
      </c>
      <c r="ER40">
        <v>2828.49</v>
      </c>
      <c r="ES40">
        <v>1022.11</v>
      </c>
      <c r="ET40">
        <v>144.28</v>
      </c>
      <c r="EU40">
        <v>50</v>
      </c>
      <c r="EV40">
        <v>1662.1</v>
      </c>
      <c r="EW40">
        <v>6.11</v>
      </c>
      <c r="EX40">
        <v>0</v>
      </c>
      <c r="EY40">
        <v>0</v>
      </c>
      <c r="FQ40">
        <v>0</v>
      </c>
      <c r="FR40">
        <f t="shared" si="52"/>
        <v>0</v>
      </c>
      <c r="FS40">
        <v>0</v>
      </c>
      <c r="FX40">
        <v>70</v>
      </c>
      <c r="FY40">
        <v>10</v>
      </c>
      <c r="GA40" t="s">
        <v>4</v>
      </c>
      <c r="GD40">
        <v>0</v>
      </c>
      <c r="GF40">
        <v>-337143685</v>
      </c>
      <c r="GG40">
        <v>2</v>
      </c>
      <c r="GH40">
        <v>1</v>
      </c>
      <c r="GI40">
        <v>-2</v>
      </c>
      <c r="GJ40">
        <v>0</v>
      </c>
      <c r="GK40">
        <f>ROUND(R40*(R12)/100,2)</f>
        <v>20.73</v>
      </c>
      <c r="GL40">
        <f t="shared" si="53"/>
        <v>0</v>
      </c>
      <c r="GM40">
        <f t="shared" si="54"/>
        <v>1616.23</v>
      </c>
      <c r="GN40">
        <f t="shared" si="55"/>
        <v>0</v>
      </c>
      <c r="GO40">
        <f t="shared" si="56"/>
        <v>0</v>
      </c>
      <c r="GP40">
        <f t="shared" si="57"/>
        <v>1616.23</v>
      </c>
      <c r="GR40">
        <v>0</v>
      </c>
      <c r="GS40">
        <v>3</v>
      </c>
      <c r="GT40">
        <v>0</v>
      </c>
      <c r="GU40" t="s">
        <v>4</v>
      </c>
      <c r="GV40">
        <f t="shared" si="58"/>
        <v>0</v>
      </c>
      <c r="GW40">
        <v>1</v>
      </c>
      <c r="GX40">
        <f t="shared" si="59"/>
        <v>0</v>
      </c>
      <c r="HA40">
        <v>0</v>
      </c>
      <c r="HB40">
        <v>0</v>
      </c>
      <c r="HC40">
        <f t="shared" si="60"/>
        <v>0</v>
      </c>
      <c r="HE40" t="s">
        <v>4</v>
      </c>
      <c r="HF40" t="s">
        <v>4</v>
      </c>
      <c r="IK40">
        <v>0</v>
      </c>
    </row>
    <row r="41" spans="1:245" x14ac:dyDescent="0.25">
      <c r="A41">
        <v>17</v>
      </c>
      <c r="B41">
        <v>1</v>
      </c>
      <c r="C41">
        <f>ROW(SmtRes!A47)</f>
        <v>47</v>
      </c>
      <c r="D41">
        <f>ROW(EtalonRes!A43)</f>
        <v>43</v>
      </c>
      <c r="E41" t="s">
        <v>70</v>
      </c>
      <c r="F41" t="s">
        <v>71</v>
      </c>
      <c r="G41" t="s">
        <v>72</v>
      </c>
      <c r="H41" t="s">
        <v>68</v>
      </c>
      <c r="I41">
        <f>ROUND(38.37/100,9)</f>
        <v>0.38369999999999999</v>
      </c>
      <c r="J41">
        <v>0</v>
      </c>
      <c r="O41">
        <f t="shared" si="21"/>
        <v>613</v>
      </c>
      <c r="P41">
        <f t="shared" si="22"/>
        <v>399.59</v>
      </c>
      <c r="Q41">
        <f t="shared" si="23"/>
        <v>2.62</v>
      </c>
      <c r="R41">
        <f t="shared" si="24"/>
        <v>1.42</v>
      </c>
      <c r="S41">
        <f t="shared" si="25"/>
        <v>210.79</v>
      </c>
      <c r="T41">
        <f t="shared" si="26"/>
        <v>0</v>
      </c>
      <c r="U41">
        <f t="shared" si="27"/>
        <v>0.94006500000000004</v>
      </c>
      <c r="V41">
        <f t="shared" si="28"/>
        <v>0</v>
      </c>
      <c r="W41">
        <f t="shared" si="29"/>
        <v>0</v>
      </c>
      <c r="X41">
        <f t="shared" si="30"/>
        <v>147.55000000000001</v>
      </c>
      <c r="Y41">
        <f t="shared" si="31"/>
        <v>21.08</v>
      </c>
      <c r="AA41">
        <v>51820365</v>
      </c>
      <c r="AB41">
        <f t="shared" si="32"/>
        <v>1597.61</v>
      </c>
      <c r="AC41">
        <f t="shared" si="33"/>
        <v>1041.4100000000001</v>
      </c>
      <c r="AD41">
        <f t="shared" si="34"/>
        <v>6.84</v>
      </c>
      <c r="AE41">
        <f t="shared" si="35"/>
        <v>3.71</v>
      </c>
      <c r="AF41">
        <f t="shared" si="36"/>
        <v>549.36</v>
      </c>
      <c r="AG41">
        <f t="shared" si="37"/>
        <v>0</v>
      </c>
      <c r="AH41">
        <f t="shared" si="38"/>
        <v>2.4500000000000002</v>
      </c>
      <c r="AI41">
        <f t="shared" si="39"/>
        <v>0</v>
      </c>
      <c r="AJ41">
        <f t="shared" si="40"/>
        <v>0</v>
      </c>
      <c r="AK41">
        <v>1597.61</v>
      </c>
      <c r="AL41">
        <v>1041.4100000000001</v>
      </c>
      <c r="AM41">
        <v>6.84</v>
      </c>
      <c r="AN41">
        <v>3.71</v>
      </c>
      <c r="AO41">
        <v>549.36</v>
      </c>
      <c r="AP41">
        <v>0</v>
      </c>
      <c r="AQ41">
        <v>2.4500000000000002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4</v>
      </c>
      <c r="BE41" t="s">
        <v>4</v>
      </c>
      <c r="BF41" t="s">
        <v>4</v>
      </c>
      <c r="BG41" t="s">
        <v>4</v>
      </c>
      <c r="BH41">
        <v>0</v>
      </c>
      <c r="BI41">
        <v>4</v>
      </c>
      <c r="BJ41" t="s">
        <v>73</v>
      </c>
      <c r="BM41">
        <v>0</v>
      </c>
      <c r="BN41">
        <v>0</v>
      </c>
      <c r="BO41" t="s">
        <v>4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4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4</v>
      </c>
      <c r="CO41">
        <v>0</v>
      </c>
      <c r="CP41">
        <f t="shared" si="41"/>
        <v>613</v>
      </c>
      <c r="CQ41">
        <f t="shared" si="42"/>
        <v>1041.4100000000001</v>
      </c>
      <c r="CR41">
        <f t="shared" si="43"/>
        <v>6.84</v>
      </c>
      <c r="CS41">
        <f t="shared" si="44"/>
        <v>3.71</v>
      </c>
      <c r="CT41">
        <f t="shared" si="45"/>
        <v>549.36</v>
      </c>
      <c r="CU41">
        <f t="shared" si="46"/>
        <v>0</v>
      </c>
      <c r="CV41">
        <f t="shared" si="47"/>
        <v>2.4500000000000002</v>
      </c>
      <c r="CW41">
        <f t="shared" si="48"/>
        <v>0</v>
      </c>
      <c r="CX41">
        <f t="shared" si="49"/>
        <v>0</v>
      </c>
      <c r="CY41">
        <f t="shared" si="50"/>
        <v>147.553</v>
      </c>
      <c r="CZ41">
        <f t="shared" si="51"/>
        <v>21.079000000000001</v>
      </c>
      <c r="DC41" t="s">
        <v>4</v>
      </c>
      <c r="DD41" t="s">
        <v>4</v>
      </c>
      <c r="DE41" t="s">
        <v>4</v>
      </c>
      <c r="DF41" t="s">
        <v>4</v>
      </c>
      <c r="DG41" t="s">
        <v>4</v>
      </c>
      <c r="DH41" t="s">
        <v>4</v>
      </c>
      <c r="DI41" t="s">
        <v>4</v>
      </c>
      <c r="DJ41" t="s">
        <v>4</v>
      </c>
      <c r="DK41" t="s">
        <v>4</v>
      </c>
      <c r="DL41" t="s">
        <v>4</v>
      </c>
      <c r="DM41" t="s">
        <v>4</v>
      </c>
      <c r="DN41">
        <v>0</v>
      </c>
      <c r="DO41">
        <v>0</v>
      </c>
      <c r="DP41">
        <v>1</v>
      </c>
      <c r="DQ41">
        <v>1</v>
      </c>
      <c r="DU41">
        <v>1005</v>
      </c>
      <c r="DV41" t="s">
        <v>68</v>
      </c>
      <c r="DW41" t="s">
        <v>68</v>
      </c>
      <c r="DX41">
        <v>100</v>
      </c>
      <c r="DZ41" t="s">
        <v>4</v>
      </c>
      <c r="EA41" t="s">
        <v>4</v>
      </c>
      <c r="EB41" t="s">
        <v>4</v>
      </c>
      <c r="EC41" t="s">
        <v>4</v>
      </c>
      <c r="EE41">
        <v>50667548</v>
      </c>
      <c r="EF41">
        <v>1</v>
      </c>
      <c r="EG41" t="s">
        <v>20</v>
      </c>
      <c r="EH41">
        <v>0</v>
      </c>
      <c r="EI41" t="s">
        <v>4</v>
      </c>
      <c r="EJ41">
        <v>4</v>
      </c>
      <c r="EK41">
        <v>0</v>
      </c>
      <c r="EL41" t="s">
        <v>21</v>
      </c>
      <c r="EM41" t="s">
        <v>22</v>
      </c>
      <c r="EO41" t="s">
        <v>4</v>
      </c>
      <c r="EQ41">
        <v>0</v>
      </c>
      <c r="ER41">
        <v>1597.61</v>
      </c>
      <c r="ES41">
        <v>1041.4100000000001</v>
      </c>
      <c r="ET41">
        <v>6.84</v>
      </c>
      <c r="EU41">
        <v>3.71</v>
      </c>
      <c r="EV41">
        <v>549.36</v>
      </c>
      <c r="EW41">
        <v>2.4500000000000002</v>
      </c>
      <c r="EX41">
        <v>0</v>
      </c>
      <c r="EY41">
        <v>0</v>
      </c>
      <c r="FQ41">
        <v>0</v>
      </c>
      <c r="FR41">
        <f t="shared" si="52"/>
        <v>0</v>
      </c>
      <c r="FS41">
        <v>0</v>
      </c>
      <c r="FX41">
        <v>70</v>
      </c>
      <c r="FY41">
        <v>10</v>
      </c>
      <c r="GA41" t="s">
        <v>4</v>
      </c>
      <c r="GD41">
        <v>0</v>
      </c>
      <c r="GF41">
        <v>1574871893</v>
      </c>
      <c r="GG41">
        <v>2</v>
      </c>
      <c r="GH41">
        <v>1</v>
      </c>
      <c r="GI41">
        <v>-2</v>
      </c>
      <c r="GJ41">
        <v>0</v>
      </c>
      <c r="GK41">
        <f>ROUND(R41*(R12)/100,2)</f>
        <v>1.53</v>
      </c>
      <c r="GL41">
        <f t="shared" si="53"/>
        <v>0</v>
      </c>
      <c r="GM41">
        <f t="shared" si="54"/>
        <v>783.16</v>
      </c>
      <c r="GN41">
        <f t="shared" si="55"/>
        <v>0</v>
      </c>
      <c r="GO41">
        <f t="shared" si="56"/>
        <v>0</v>
      </c>
      <c r="GP41">
        <f t="shared" si="57"/>
        <v>783.16</v>
      </c>
      <c r="GR41">
        <v>0</v>
      </c>
      <c r="GS41">
        <v>3</v>
      </c>
      <c r="GT41">
        <v>0</v>
      </c>
      <c r="GU41" t="s">
        <v>4</v>
      </c>
      <c r="GV41">
        <f t="shared" si="58"/>
        <v>0</v>
      </c>
      <c r="GW41">
        <v>1</v>
      </c>
      <c r="GX41">
        <f t="shared" si="59"/>
        <v>0</v>
      </c>
      <c r="HA41">
        <v>0</v>
      </c>
      <c r="HB41">
        <v>0</v>
      </c>
      <c r="HC41">
        <f t="shared" si="60"/>
        <v>0</v>
      </c>
      <c r="HE41" t="s">
        <v>4</v>
      </c>
      <c r="HF41" t="s">
        <v>4</v>
      </c>
      <c r="IK41">
        <v>0</v>
      </c>
    </row>
    <row r="42" spans="1:245" x14ac:dyDescent="0.25">
      <c r="A42">
        <v>17</v>
      </c>
      <c r="B42">
        <v>1</v>
      </c>
      <c r="C42">
        <f>ROW(SmtRes!A56)</f>
        <v>56</v>
      </c>
      <c r="D42">
        <f>ROW(EtalonRes!A51)</f>
        <v>51</v>
      </c>
      <c r="E42" t="s">
        <v>74</v>
      </c>
      <c r="F42" t="s">
        <v>53</v>
      </c>
      <c r="G42" t="s">
        <v>75</v>
      </c>
      <c r="H42" t="s">
        <v>55</v>
      </c>
      <c r="I42">
        <v>2.1</v>
      </c>
      <c r="J42">
        <v>0</v>
      </c>
      <c r="O42">
        <f t="shared" si="21"/>
        <v>14588.16</v>
      </c>
      <c r="P42">
        <f t="shared" si="22"/>
        <v>11943.48</v>
      </c>
      <c r="Q42">
        <f t="shared" si="23"/>
        <v>974.97</v>
      </c>
      <c r="R42">
        <f t="shared" si="24"/>
        <v>621.55999999999995</v>
      </c>
      <c r="S42">
        <f t="shared" si="25"/>
        <v>1669.71</v>
      </c>
      <c r="T42">
        <f t="shared" si="26"/>
        <v>0</v>
      </c>
      <c r="U42">
        <f t="shared" si="27"/>
        <v>6.237000000000001</v>
      </c>
      <c r="V42">
        <f t="shared" si="28"/>
        <v>0</v>
      </c>
      <c r="W42">
        <f t="shared" si="29"/>
        <v>0</v>
      </c>
      <c r="X42">
        <f t="shared" si="30"/>
        <v>1168.8</v>
      </c>
      <c r="Y42">
        <f t="shared" si="31"/>
        <v>166.97</v>
      </c>
      <c r="AA42">
        <v>51820365</v>
      </c>
      <c r="AB42">
        <f t="shared" si="32"/>
        <v>6946.74</v>
      </c>
      <c r="AC42">
        <f t="shared" si="33"/>
        <v>5687.37</v>
      </c>
      <c r="AD42">
        <f t="shared" si="34"/>
        <v>464.27</v>
      </c>
      <c r="AE42">
        <f t="shared" si="35"/>
        <v>295.98</v>
      </c>
      <c r="AF42">
        <f t="shared" si="36"/>
        <v>795.1</v>
      </c>
      <c r="AG42">
        <f t="shared" si="37"/>
        <v>0</v>
      </c>
      <c r="AH42">
        <f t="shared" si="38"/>
        <v>2.97</v>
      </c>
      <c r="AI42">
        <f t="shared" si="39"/>
        <v>0</v>
      </c>
      <c r="AJ42">
        <f t="shared" si="40"/>
        <v>0</v>
      </c>
      <c r="AK42">
        <v>6946.74</v>
      </c>
      <c r="AL42">
        <v>5687.37</v>
      </c>
      <c r="AM42">
        <v>464.27</v>
      </c>
      <c r="AN42">
        <v>295.98</v>
      </c>
      <c r="AO42">
        <v>795.1</v>
      </c>
      <c r="AP42">
        <v>0</v>
      </c>
      <c r="AQ42">
        <v>2.97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4</v>
      </c>
      <c r="BE42" t="s">
        <v>4</v>
      </c>
      <c r="BF42" t="s">
        <v>4</v>
      </c>
      <c r="BG42" t="s">
        <v>4</v>
      </c>
      <c r="BH42">
        <v>0</v>
      </c>
      <c r="BI42">
        <v>4</v>
      </c>
      <c r="BJ42" t="s">
        <v>56</v>
      </c>
      <c r="BM42">
        <v>0</v>
      </c>
      <c r="BN42">
        <v>0</v>
      </c>
      <c r="BO42" t="s">
        <v>4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4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4</v>
      </c>
      <c r="CO42">
        <v>0</v>
      </c>
      <c r="CP42">
        <f t="shared" si="41"/>
        <v>14588.16</v>
      </c>
      <c r="CQ42">
        <f t="shared" si="42"/>
        <v>5687.37</v>
      </c>
      <c r="CR42">
        <f t="shared" si="43"/>
        <v>464.27</v>
      </c>
      <c r="CS42">
        <f t="shared" si="44"/>
        <v>295.98</v>
      </c>
      <c r="CT42">
        <f t="shared" si="45"/>
        <v>795.1</v>
      </c>
      <c r="CU42">
        <f t="shared" si="46"/>
        <v>0</v>
      </c>
      <c r="CV42">
        <f t="shared" si="47"/>
        <v>2.97</v>
      </c>
      <c r="CW42">
        <f t="shared" si="48"/>
        <v>0</v>
      </c>
      <c r="CX42">
        <f t="shared" si="49"/>
        <v>0</v>
      </c>
      <c r="CY42">
        <f t="shared" si="50"/>
        <v>1168.797</v>
      </c>
      <c r="CZ42">
        <f t="shared" si="51"/>
        <v>166.97099999999998</v>
      </c>
      <c r="DC42" t="s">
        <v>4</v>
      </c>
      <c r="DD42" t="s">
        <v>4</v>
      </c>
      <c r="DE42" t="s">
        <v>4</v>
      </c>
      <c r="DF42" t="s">
        <v>4</v>
      </c>
      <c r="DG42" t="s">
        <v>4</v>
      </c>
      <c r="DH42" t="s">
        <v>4</v>
      </c>
      <c r="DI42" t="s">
        <v>4</v>
      </c>
      <c r="DJ42" t="s">
        <v>4</v>
      </c>
      <c r="DK42" t="s">
        <v>4</v>
      </c>
      <c r="DL42" t="s">
        <v>4</v>
      </c>
      <c r="DM42" t="s">
        <v>4</v>
      </c>
      <c r="DN42">
        <v>0</v>
      </c>
      <c r="DO42">
        <v>0</v>
      </c>
      <c r="DP42">
        <v>1</v>
      </c>
      <c r="DQ42">
        <v>1</v>
      </c>
      <c r="DU42">
        <v>1005</v>
      </c>
      <c r="DV42" t="s">
        <v>55</v>
      </c>
      <c r="DW42" t="s">
        <v>55</v>
      </c>
      <c r="DX42">
        <v>1</v>
      </c>
      <c r="DZ42" t="s">
        <v>4</v>
      </c>
      <c r="EA42" t="s">
        <v>4</v>
      </c>
      <c r="EB42" t="s">
        <v>4</v>
      </c>
      <c r="EC42" t="s">
        <v>4</v>
      </c>
      <c r="EE42">
        <v>50667548</v>
      </c>
      <c r="EF42">
        <v>1</v>
      </c>
      <c r="EG42" t="s">
        <v>20</v>
      </c>
      <c r="EH42">
        <v>0</v>
      </c>
      <c r="EI42" t="s">
        <v>4</v>
      </c>
      <c r="EJ42">
        <v>4</v>
      </c>
      <c r="EK42">
        <v>0</v>
      </c>
      <c r="EL42" t="s">
        <v>21</v>
      </c>
      <c r="EM42" t="s">
        <v>22</v>
      </c>
      <c r="EO42" t="s">
        <v>4</v>
      </c>
      <c r="EQ42">
        <v>0</v>
      </c>
      <c r="ER42">
        <v>6946.74</v>
      </c>
      <c r="ES42">
        <v>5687.37</v>
      </c>
      <c r="ET42">
        <v>464.27</v>
      </c>
      <c r="EU42">
        <v>295.98</v>
      </c>
      <c r="EV42">
        <v>795.1</v>
      </c>
      <c r="EW42">
        <v>2.97</v>
      </c>
      <c r="EX42">
        <v>0</v>
      </c>
      <c r="EY42">
        <v>0</v>
      </c>
      <c r="FQ42">
        <v>0</v>
      </c>
      <c r="FR42">
        <f t="shared" si="52"/>
        <v>0</v>
      </c>
      <c r="FS42">
        <v>0</v>
      </c>
      <c r="FX42">
        <v>70</v>
      </c>
      <c r="FY42">
        <v>10</v>
      </c>
      <c r="GA42" t="s">
        <v>4</v>
      </c>
      <c r="GD42">
        <v>0</v>
      </c>
      <c r="GF42">
        <v>-890710587</v>
      </c>
      <c r="GG42">
        <v>2</v>
      </c>
      <c r="GH42">
        <v>1</v>
      </c>
      <c r="GI42">
        <v>-2</v>
      </c>
      <c r="GJ42">
        <v>0</v>
      </c>
      <c r="GK42">
        <f>ROUND(R42*(R12)/100,2)</f>
        <v>671.28</v>
      </c>
      <c r="GL42">
        <f t="shared" si="53"/>
        <v>0</v>
      </c>
      <c r="GM42">
        <f t="shared" si="54"/>
        <v>16595.21</v>
      </c>
      <c r="GN42">
        <f t="shared" si="55"/>
        <v>0</v>
      </c>
      <c r="GO42">
        <f t="shared" si="56"/>
        <v>0</v>
      </c>
      <c r="GP42">
        <f t="shared" si="57"/>
        <v>16595.21</v>
      </c>
      <c r="GR42">
        <v>0</v>
      </c>
      <c r="GS42">
        <v>3</v>
      </c>
      <c r="GT42">
        <v>0</v>
      </c>
      <c r="GU42" t="s">
        <v>4</v>
      </c>
      <c r="GV42">
        <f t="shared" si="58"/>
        <v>0</v>
      </c>
      <c r="GW42">
        <v>1</v>
      </c>
      <c r="GX42">
        <f t="shared" si="59"/>
        <v>0</v>
      </c>
      <c r="HA42">
        <v>0</v>
      </c>
      <c r="HB42">
        <v>0</v>
      </c>
      <c r="HC42">
        <f t="shared" si="60"/>
        <v>0</v>
      </c>
      <c r="HE42" t="s">
        <v>4</v>
      </c>
      <c r="HF42" t="s">
        <v>4</v>
      </c>
      <c r="IK42">
        <v>0</v>
      </c>
    </row>
    <row r="43" spans="1:245" x14ac:dyDescent="0.25">
      <c r="A43">
        <v>18</v>
      </c>
      <c r="B43">
        <v>1</v>
      </c>
      <c r="C43">
        <v>53</v>
      </c>
      <c r="E43" t="s">
        <v>76</v>
      </c>
      <c r="F43" t="s">
        <v>58</v>
      </c>
      <c r="G43" t="s">
        <v>59</v>
      </c>
      <c r="H43" t="s">
        <v>35</v>
      </c>
      <c r="I43">
        <f>I42*J43</f>
        <v>-0.31890000000000002</v>
      </c>
      <c r="J43">
        <v>-0.15185714285714286</v>
      </c>
      <c r="O43">
        <f t="shared" si="21"/>
        <v>-11970.72</v>
      </c>
      <c r="P43">
        <f t="shared" si="22"/>
        <v>-11970.72</v>
      </c>
      <c r="Q43">
        <f t="shared" si="23"/>
        <v>0</v>
      </c>
      <c r="R43">
        <f t="shared" si="24"/>
        <v>0</v>
      </c>
      <c r="S43">
        <f t="shared" si="25"/>
        <v>0</v>
      </c>
      <c r="T43">
        <f t="shared" si="26"/>
        <v>0</v>
      </c>
      <c r="U43">
        <f t="shared" si="27"/>
        <v>0</v>
      </c>
      <c r="V43">
        <f t="shared" si="28"/>
        <v>0</v>
      </c>
      <c r="W43">
        <f t="shared" si="29"/>
        <v>0</v>
      </c>
      <c r="X43">
        <f t="shared" si="30"/>
        <v>0</v>
      </c>
      <c r="Y43">
        <f t="shared" si="31"/>
        <v>0</v>
      </c>
      <c r="AA43">
        <v>51820365</v>
      </c>
      <c r="AB43">
        <f t="shared" si="32"/>
        <v>37537.54</v>
      </c>
      <c r="AC43">
        <f t="shared" si="33"/>
        <v>37537.54</v>
      </c>
      <c r="AD43">
        <f t="shared" si="34"/>
        <v>0</v>
      </c>
      <c r="AE43">
        <f t="shared" si="35"/>
        <v>0</v>
      </c>
      <c r="AF43">
        <f t="shared" si="36"/>
        <v>0</v>
      </c>
      <c r="AG43">
        <f t="shared" si="37"/>
        <v>0</v>
      </c>
      <c r="AH43">
        <f t="shared" si="38"/>
        <v>0</v>
      </c>
      <c r="AI43">
        <f t="shared" si="39"/>
        <v>0</v>
      </c>
      <c r="AJ43">
        <f t="shared" si="40"/>
        <v>0</v>
      </c>
      <c r="AK43">
        <v>37537.54</v>
      </c>
      <c r="AL43">
        <v>37537.54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4</v>
      </c>
      <c r="BE43" t="s">
        <v>4</v>
      </c>
      <c r="BF43" t="s">
        <v>4</v>
      </c>
      <c r="BG43" t="s">
        <v>4</v>
      </c>
      <c r="BH43">
        <v>3</v>
      </c>
      <c r="BI43">
        <v>4</v>
      </c>
      <c r="BJ43" t="s">
        <v>60</v>
      </c>
      <c r="BM43">
        <v>0</v>
      </c>
      <c r="BN43">
        <v>0</v>
      </c>
      <c r="BO43" t="s">
        <v>4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4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4</v>
      </c>
      <c r="CO43">
        <v>0</v>
      </c>
      <c r="CP43">
        <f t="shared" si="41"/>
        <v>-11970.72</v>
      </c>
      <c r="CQ43">
        <f t="shared" si="42"/>
        <v>37537.54</v>
      </c>
      <c r="CR43">
        <f t="shared" si="43"/>
        <v>0</v>
      </c>
      <c r="CS43">
        <f t="shared" si="44"/>
        <v>0</v>
      </c>
      <c r="CT43">
        <f t="shared" si="45"/>
        <v>0</v>
      </c>
      <c r="CU43">
        <f t="shared" si="46"/>
        <v>0</v>
      </c>
      <c r="CV43">
        <f t="shared" si="47"/>
        <v>0</v>
      </c>
      <c r="CW43">
        <f t="shared" si="48"/>
        <v>0</v>
      </c>
      <c r="CX43">
        <f t="shared" si="49"/>
        <v>0</v>
      </c>
      <c r="CY43">
        <f t="shared" si="50"/>
        <v>0</v>
      </c>
      <c r="CZ43">
        <f t="shared" si="51"/>
        <v>0</v>
      </c>
      <c r="DC43" t="s">
        <v>4</v>
      </c>
      <c r="DD43" t="s">
        <v>4</v>
      </c>
      <c r="DE43" t="s">
        <v>4</v>
      </c>
      <c r="DF43" t="s">
        <v>4</v>
      </c>
      <c r="DG43" t="s">
        <v>4</v>
      </c>
      <c r="DH43" t="s">
        <v>4</v>
      </c>
      <c r="DI43" t="s">
        <v>4</v>
      </c>
      <c r="DJ43" t="s">
        <v>4</v>
      </c>
      <c r="DK43" t="s">
        <v>4</v>
      </c>
      <c r="DL43" t="s">
        <v>4</v>
      </c>
      <c r="DM43" t="s">
        <v>4</v>
      </c>
      <c r="DN43">
        <v>0</v>
      </c>
      <c r="DO43">
        <v>0</v>
      </c>
      <c r="DP43">
        <v>1</v>
      </c>
      <c r="DQ43">
        <v>1</v>
      </c>
      <c r="DU43">
        <v>1009</v>
      </c>
      <c r="DV43" t="s">
        <v>35</v>
      </c>
      <c r="DW43" t="s">
        <v>35</v>
      </c>
      <c r="DX43">
        <v>1000</v>
      </c>
      <c r="DZ43" t="s">
        <v>4</v>
      </c>
      <c r="EA43" t="s">
        <v>4</v>
      </c>
      <c r="EB43" t="s">
        <v>4</v>
      </c>
      <c r="EC43" t="s">
        <v>4</v>
      </c>
      <c r="EE43">
        <v>50667548</v>
      </c>
      <c r="EF43">
        <v>1</v>
      </c>
      <c r="EG43" t="s">
        <v>20</v>
      </c>
      <c r="EH43">
        <v>0</v>
      </c>
      <c r="EI43" t="s">
        <v>4</v>
      </c>
      <c r="EJ43">
        <v>4</v>
      </c>
      <c r="EK43">
        <v>0</v>
      </c>
      <c r="EL43" t="s">
        <v>21</v>
      </c>
      <c r="EM43" t="s">
        <v>22</v>
      </c>
      <c r="EO43" t="s">
        <v>4</v>
      </c>
      <c r="EQ43">
        <v>0</v>
      </c>
      <c r="ER43">
        <v>37537.54</v>
      </c>
      <c r="ES43">
        <v>37537.54</v>
      </c>
      <c r="ET43">
        <v>0</v>
      </c>
      <c r="EU43">
        <v>0</v>
      </c>
      <c r="EV43">
        <v>0</v>
      </c>
      <c r="EW43">
        <v>0</v>
      </c>
      <c r="EX43">
        <v>0</v>
      </c>
      <c r="FQ43">
        <v>0</v>
      </c>
      <c r="FR43">
        <f t="shared" si="52"/>
        <v>0</v>
      </c>
      <c r="FS43">
        <v>0</v>
      </c>
      <c r="FX43">
        <v>70</v>
      </c>
      <c r="FY43">
        <v>10</v>
      </c>
      <c r="GA43" t="s">
        <v>4</v>
      </c>
      <c r="GD43">
        <v>0</v>
      </c>
      <c r="GF43">
        <v>-2126876791</v>
      </c>
      <c r="GG43">
        <v>2</v>
      </c>
      <c r="GH43">
        <v>1</v>
      </c>
      <c r="GI43">
        <v>-2</v>
      </c>
      <c r="GJ43">
        <v>0</v>
      </c>
      <c r="GK43">
        <f>ROUND(R43*(R12)/100,2)</f>
        <v>0</v>
      </c>
      <c r="GL43">
        <f t="shared" si="53"/>
        <v>0</v>
      </c>
      <c r="GM43">
        <f t="shared" si="54"/>
        <v>-11970.72</v>
      </c>
      <c r="GN43">
        <f t="shared" si="55"/>
        <v>0</v>
      </c>
      <c r="GO43">
        <f t="shared" si="56"/>
        <v>0</v>
      </c>
      <c r="GP43">
        <f t="shared" si="57"/>
        <v>-11970.72</v>
      </c>
      <c r="GR43">
        <v>0</v>
      </c>
      <c r="GS43">
        <v>3</v>
      </c>
      <c r="GT43">
        <v>0</v>
      </c>
      <c r="GU43" t="s">
        <v>4</v>
      </c>
      <c r="GV43">
        <f t="shared" si="58"/>
        <v>0</v>
      </c>
      <c r="GW43">
        <v>1</v>
      </c>
      <c r="GX43">
        <f t="shared" si="59"/>
        <v>0</v>
      </c>
      <c r="HA43">
        <v>0</v>
      </c>
      <c r="HB43">
        <v>0</v>
      </c>
      <c r="HC43">
        <f t="shared" si="60"/>
        <v>0</v>
      </c>
      <c r="HE43" t="s">
        <v>4</v>
      </c>
      <c r="HF43" t="s">
        <v>4</v>
      </c>
      <c r="IK43">
        <v>0</v>
      </c>
    </row>
    <row r="44" spans="1:245" x14ac:dyDescent="0.25">
      <c r="A44">
        <v>18</v>
      </c>
      <c r="B44">
        <v>1</v>
      </c>
      <c r="C44">
        <v>54</v>
      </c>
      <c r="E44" t="s">
        <v>77</v>
      </c>
      <c r="F44" t="s">
        <v>62</v>
      </c>
      <c r="G44" t="s">
        <v>63</v>
      </c>
      <c r="H44" t="s">
        <v>35</v>
      </c>
      <c r="I44">
        <f>I42*J44</f>
        <v>3.1276999999999999E-2</v>
      </c>
      <c r="J44">
        <v>1.4893809523809523E-2</v>
      </c>
      <c r="O44">
        <f t="shared" si="21"/>
        <v>1269.77</v>
      </c>
      <c r="P44">
        <f t="shared" si="22"/>
        <v>1269.77</v>
      </c>
      <c r="Q44">
        <f t="shared" si="23"/>
        <v>0</v>
      </c>
      <c r="R44">
        <f t="shared" si="24"/>
        <v>0</v>
      </c>
      <c r="S44">
        <f t="shared" si="25"/>
        <v>0</v>
      </c>
      <c r="T44">
        <f t="shared" si="26"/>
        <v>0</v>
      </c>
      <c r="U44">
        <f t="shared" si="27"/>
        <v>0</v>
      </c>
      <c r="V44">
        <f t="shared" si="28"/>
        <v>0</v>
      </c>
      <c r="W44">
        <f t="shared" si="29"/>
        <v>0</v>
      </c>
      <c r="X44">
        <f t="shared" si="30"/>
        <v>0</v>
      </c>
      <c r="Y44">
        <f t="shared" si="31"/>
        <v>0</v>
      </c>
      <c r="AA44">
        <v>51820365</v>
      </c>
      <c r="AB44">
        <f t="shared" si="32"/>
        <v>40597.550000000003</v>
      </c>
      <c r="AC44">
        <f t="shared" si="33"/>
        <v>40597.550000000003</v>
      </c>
      <c r="AD44">
        <f t="shared" si="34"/>
        <v>0</v>
      </c>
      <c r="AE44">
        <f t="shared" si="35"/>
        <v>0</v>
      </c>
      <c r="AF44">
        <f t="shared" si="36"/>
        <v>0</v>
      </c>
      <c r="AG44">
        <f t="shared" si="37"/>
        <v>0</v>
      </c>
      <c r="AH44">
        <f t="shared" si="38"/>
        <v>0</v>
      </c>
      <c r="AI44">
        <f t="shared" si="39"/>
        <v>0</v>
      </c>
      <c r="AJ44">
        <f t="shared" si="40"/>
        <v>0</v>
      </c>
      <c r="AK44">
        <v>40597.550000000003</v>
      </c>
      <c r="AL44">
        <v>40597.550000000003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4</v>
      </c>
      <c r="BE44" t="s">
        <v>4</v>
      </c>
      <c r="BF44" t="s">
        <v>4</v>
      </c>
      <c r="BG44" t="s">
        <v>4</v>
      </c>
      <c r="BH44">
        <v>3</v>
      </c>
      <c r="BI44">
        <v>4</v>
      </c>
      <c r="BJ44" t="s">
        <v>64</v>
      </c>
      <c r="BM44">
        <v>0</v>
      </c>
      <c r="BN44">
        <v>0</v>
      </c>
      <c r="BO44" t="s">
        <v>4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4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4</v>
      </c>
      <c r="CO44">
        <v>0</v>
      </c>
      <c r="CP44">
        <f t="shared" si="41"/>
        <v>1269.77</v>
      </c>
      <c r="CQ44">
        <f t="shared" si="42"/>
        <v>40597.550000000003</v>
      </c>
      <c r="CR44">
        <f t="shared" si="43"/>
        <v>0</v>
      </c>
      <c r="CS44">
        <f t="shared" si="44"/>
        <v>0</v>
      </c>
      <c r="CT44">
        <f t="shared" si="45"/>
        <v>0</v>
      </c>
      <c r="CU44">
        <f t="shared" si="46"/>
        <v>0</v>
      </c>
      <c r="CV44">
        <f t="shared" si="47"/>
        <v>0</v>
      </c>
      <c r="CW44">
        <f t="shared" si="48"/>
        <v>0</v>
      </c>
      <c r="CX44">
        <f t="shared" si="49"/>
        <v>0</v>
      </c>
      <c r="CY44">
        <f t="shared" si="50"/>
        <v>0</v>
      </c>
      <c r="CZ44">
        <f t="shared" si="51"/>
        <v>0</v>
      </c>
      <c r="DC44" t="s">
        <v>4</v>
      </c>
      <c r="DD44" t="s">
        <v>4</v>
      </c>
      <c r="DE44" t="s">
        <v>4</v>
      </c>
      <c r="DF44" t="s">
        <v>4</v>
      </c>
      <c r="DG44" t="s">
        <v>4</v>
      </c>
      <c r="DH44" t="s">
        <v>4</v>
      </c>
      <c r="DI44" t="s">
        <v>4</v>
      </c>
      <c r="DJ44" t="s">
        <v>4</v>
      </c>
      <c r="DK44" t="s">
        <v>4</v>
      </c>
      <c r="DL44" t="s">
        <v>4</v>
      </c>
      <c r="DM44" t="s">
        <v>4</v>
      </c>
      <c r="DN44">
        <v>0</v>
      </c>
      <c r="DO44">
        <v>0</v>
      </c>
      <c r="DP44">
        <v>1</v>
      </c>
      <c r="DQ44">
        <v>1</v>
      </c>
      <c r="DU44">
        <v>1009</v>
      </c>
      <c r="DV44" t="s">
        <v>35</v>
      </c>
      <c r="DW44" t="s">
        <v>35</v>
      </c>
      <c r="DX44">
        <v>1000</v>
      </c>
      <c r="DZ44" t="s">
        <v>4</v>
      </c>
      <c r="EA44" t="s">
        <v>4</v>
      </c>
      <c r="EB44" t="s">
        <v>4</v>
      </c>
      <c r="EC44" t="s">
        <v>4</v>
      </c>
      <c r="EE44">
        <v>50667548</v>
      </c>
      <c r="EF44">
        <v>1</v>
      </c>
      <c r="EG44" t="s">
        <v>20</v>
      </c>
      <c r="EH44">
        <v>0</v>
      </c>
      <c r="EI44" t="s">
        <v>4</v>
      </c>
      <c r="EJ44">
        <v>4</v>
      </c>
      <c r="EK44">
        <v>0</v>
      </c>
      <c r="EL44" t="s">
        <v>21</v>
      </c>
      <c r="EM44" t="s">
        <v>22</v>
      </c>
      <c r="EO44" t="s">
        <v>4</v>
      </c>
      <c r="EQ44">
        <v>0</v>
      </c>
      <c r="ER44">
        <v>40597.550000000003</v>
      </c>
      <c r="ES44">
        <v>40597.550000000003</v>
      </c>
      <c r="ET44">
        <v>0</v>
      </c>
      <c r="EU44">
        <v>0</v>
      </c>
      <c r="EV44">
        <v>0</v>
      </c>
      <c r="EW44">
        <v>0</v>
      </c>
      <c r="EX44">
        <v>0</v>
      </c>
      <c r="FQ44">
        <v>0</v>
      </c>
      <c r="FR44">
        <f t="shared" si="52"/>
        <v>0</v>
      </c>
      <c r="FS44">
        <v>0</v>
      </c>
      <c r="FX44">
        <v>70</v>
      </c>
      <c r="FY44">
        <v>10</v>
      </c>
      <c r="GA44" t="s">
        <v>4</v>
      </c>
      <c r="GD44">
        <v>0</v>
      </c>
      <c r="GF44">
        <v>-992296457</v>
      </c>
      <c r="GG44">
        <v>2</v>
      </c>
      <c r="GH44">
        <v>1</v>
      </c>
      <c r="GI44">
        <v>-2</v>
      </c>
      <c r="GJ44">
        <v>0</v>
      </c>
      <c r="GK44">
        <f>ROUND(R44*(R12)/100,2)</f>
        <v>0</v>
      </c>
      <c r="GL44">
        <f t="shared" si="53"/>
        <v>0</v>
      </c>
      <c r="GM44">
        <f t="shared" si="54"/>
        <v>1269.77</v>
      </c>
      <c r="GN44">
        <f t="shared" si="55"/>
        <v>0</v>
      </c>
      <c r="GO44">
        <f t="shared" si="56"/>
        <v>0</v>
      </c>
      <c r="GP44">
        <f t="shared" si="57"/>
        <v>1269.77</v>
      </c>
      <c r="GR44">
        <v>0</v>
      </c>
      <c r="GS44">
        <v>3</v>
      </c>
      <c r="GT44">
        <v>0</v>
      </c>
      <c r="GU44" t="s">
        <v>4</v>
      </c>
      <c r="GV44">
        <f t="shared" si="58"/>
        <v>0</v>
      </c>
      <c r="GW44">
        <v>1</v>
      </c>
      <c r="GX44">
        <f t="shared" si="59"/>
        <v>0</v>
      </c>
      <c r="HA44">
        <v>0</v>
      </c>
      <c r="HB44">
        <v>0</v>
      </c>
      <c r="HC44">
        <f t="shared" si="60"/>
        <v>0</v>
      </c>
      <c r="HE44" t="s">
        <v>4</v>
      </c>
      <c r="HF44" t="s">
        <v>4</v>
      </c>
      <c r="IK44">
        <v>0</v>
      </c>
    </row>
    <row r="45" spans="1:245" x14ac:dyDescent="0.25">
      <c r="A45">
        <v>17</v>
      </c>
      <c r="B45">
        <v>1</v>
      </c>
      <c r="E45" t="s">
        <v>78</v>
      </c>
      <c r="F45" t="s">
        <v>4</v>
      </c>
      <c r="G45" t="s">
        <v>4</v>
      </c>
      <c r="H45" t="s">
        <v>4</v>
      </c>
      <c r="I45">
        <v>0</v>
      </c>
      <c r="J45">
        <v>0</v>
      </c>
      <c r="O45">
        <f t="shared" si="21"/>
        <v>0</v>
      </c>
      <c r="P45">
        <f t="shared" si="22"/>
        <v>0</v>
      </c>
      <c r="Q45">
        <f t="shared" si="23"/>
        <v>0</v>
      </c>
      <c r="R45">
        <f t="shared" si="24"/>
        <v>0</v>
      </c>
      <c r="S45">
        <f t="shared" si="25"/>
        <v>0</v>
      </c>
      <c r="T45">
        <f t="shared" si="26"/>
        <v>0</v>
      </c>
      <c r="U45">
        <f t="shared" si="27"/>
        <v>0</v>
      </c>
      <c r="V45">
        <f t="shared" si="28"/>
        <v>0</v>
      </c>
      <c r="W45">
        <f t="shared" si="29"/>
        <v>0</v>
      </c>
      <c r="X45">
        <f t="shared" si="30"/>
        <v>0</v>
      </c>
      <c r="Y45">
        <f t="shared" si="31"/>
        <v>0</v>
      </c>
      <c r="AA45">
        <v>51820365</v>
      </c>
      <c r="AB45">
        <f t="shared" si="32"/>
        <v>0</v>
      </c>
      <c r="AC45">
        <f t="shared" si="33"/>
        <v>0</v>
      </c>
      <c r="AD45">
        <f t="shared" si="34"/>
        <v>0</v>
      </c>
      <c r="AE45">
        <f t="shared" si="35"/>
        <v>0</v>
      </c>
      <c r="AF45">
        <f t="shared" si="36"/>
        <v>0</v>
      </c>
      <c r="AG45">
        <f t="shared" si="37"/>
        <v>0</v>
      </c>
      <c r="AH45">
        <f t="shared" si="38"/>
        <v>0</v>
      </c>
      <c r="AI45">
        <f t="shared" si="39"/>
        <v>0</v>
      </c>
      <c r="AJ45">
        <f t="shared" si="40"/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4</v>
      </c>
      <c r="BE45" t="s">
        <v>4</v>
      </c>
      <c r="BF45" t="s">
        <v>4</v>
      </c>
      <c r="BG45" t="s">
        <v>4</v>
      </c>
      <c r="BH45">
        <v>3</v>
      </c>
      <c r="BI45">
        <v>1</v>
      </c>
      <c r="BJ45" t="s">
        <v>4</v>
      </c>
      <c r="BM45">
        <v>6001</v>
      </c>
      <c r="BN45">
        <v>0</v>
      </c>
      <c r="BO45" t="s">
        <v>4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4</v>
      </c>
      <c r="BZ45">
        <v>0</v>
      </c>
      <c r="CA45">
        <v>0</v>
      </c>
      <c r="CE45">
        <v>0</v>
      </c>
      <c r="CF45">
        <v>0</v>
      </c>
      <c r="CG45">
        <v>0</v>
      </c>
      <c r="CM45">
        <v>0</v>
      </c>
      <c r="CN45" t="s">
        <v>4</v>
      </c>
      <c r="CO45">
        <v>0</v>
      </c>
      <c r="CP45">
        <f t="shared" si="41"/>
        <v>0</v>
      </c>
      <c r="CQ45">
        <f t="shared" si="42"/>
        <v>0</v>
      </c>
      <c r="CR45">
        <f t="shared" si="43"/>
        <v>0</v>
      </c>
      <c r="CS45">
        <f t="shared" si="44"/>
        <v>0</v>
      </c>
      <c r="CT45">
        <f t="shared" si="45"/>
        <v>0</v>
      </c>
      <c r="CU45">
        <f t="shared" si="46"/>
        <v>0</v>
      </c>
      <c r="CV45">
        <f t="shared" si="47"/>
        <v>0</v>
      </c>
      <c r="CW45">
        <f t="shared" si="48"/>
        <v>0</v>
      </c>
      <c r="CX45">
        <f t="shared" si="49"/>
        <v>0</v>
      </c>
      <c r="CY45">
        <f t="shared" si="50"/>
        <v>0</v>
      </c>
      <c r="CZ45">
        <f t="shared" si="51"/>
        <v>0</v>
      </c>
      <c r="DC45" t="s">
        <v>4</v>
      </c>
      <c r="DD45" t="s">
        <v>4</v>
      </c>
      <c r="DE45" t="s">
        <v>4</v>
      </c>
      <c r="DF45" t="s">
        <v>4</v>
      </c>
      <c r="DG45" t="s">
        <v>4</v>
      </c>
      <c r="DH45" t="s">
        <v>4</v>
      </c>
      <c r="DI45" t="s">
        <v>4</v>
      </c>
      <c r="DJ45" t="s">
        <v>4</v>
      </c>
      <c r="DK45" t="s">
        <v>4</v>
      </c>
      <c r="DL45" t="s">
        <v>4</v>
      </c>
      <c r="DM45" t="s">
        <v>4</v>
      </c>
      <c r="DN45">
        <v>0</v>
      </c>
      <c r="DO45">
        <v>0</v>
      </c>
      <c r="DP45">
        <v>1</v>
      </c>
      <c r="DQ45">
        <v>1</v>
      </c>
      <c r="DZ45" t="s">
        <v>4</v>
      </c>
      <c r="EA45" t="s">
        <v>4</v>
      </c>
      <c r="EB45" t="s">
        <v>4</v>
      </c>
      <c r="EC45" t="s">
        <v>4</v>
      </c>
      <c r="EE45">
        <v>51059144</v>
      </c>
      <c r="EF45">
        <v>0</v>
      </c>
      <c r="EG45" t="s">
        <v>45</v>
      </c>
      <c r="EH45">
        <v>0</v>
      </c>
      <c r="EI45" t="s">
        <v>4</v>
      </c>
      <c r="EJ45">
        <v>1</v>
      </c>
      <c r="EK45">
        <v>6001</v>
      </c>
      <c r="EL45" t="s">
        <v>46</v>
      </c>
      <c r="EM45" t="s">
        <v>45</v>
      </c>
      <c r="EO45" t="s">
        <v>4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FQ45">
        <v>0</v>
      </c>
      <c r="FR45">
        <f t="shared" si="52"/>
        <v>0</v>
      </c>
      <c r="FS45">
        <v>0</v>
      </c>
      <c r="FX45">
        <v>0</v>
      </c>
      <c r="FY45">
        <v>0</v>
      </c>
      <c r="GA45" t="s">
        <v>4</v>
      </c>
      <c r="GD45">
        <v>0</v>
      </c>
      <c r="GF45">
        <v>1218112172</v>
      </c>
      <c r="GG45">
        <v>2</v>
      </c>
      <c r="GH45">
        <v>0</v>
      </c>
      <c r="GI45">
        <v>-2</v>
      </c>
      <c r="GJ45">
        <v>0</v>
      </c>
      <c r="GK45">
        <f>ROUND(R45*(R12)/100,2)</f>
        <v>0</v>
      </c>
      <c r="GL45">
        <f t="shared" si="53"/>
        <v>0</v>
      </c>
      <c r="GM45">
        <f t="shared" si="54"/>
        <v>0</v>
      </c>
      <c r="GN45">
        <f t="shared" si="55"/>
        <v>0</v>
      </c>
      <c r="GO45">
        <f t="shared" si="56"/>
        <v>0</v>
      </c>
      <c r="GP45">
        <f t="shared" si="57"/>
        <v>0</v>
      </c>
      <c r="GR45">
        <v>0</v>
      </c>
      <c r="GS45">
        <v>3</v>
      </c>
      <c r="GT45">
        <v>0</v>
      </c>
      <c r="GU45" t="s">
        <v>4</v>
      </c>
      <c r="GV45">
        <f t="shared" si="58"/>
        <v>0</v>
      </c>
      <c r="GW45">
        <v>1</v>
      </c>
      <c r="GX45">
        <f t="shared" si="59"/>
        <v>0</v>
      </c>
      <c r="HA45">
        <v>0</v>
      </c>
      <c r="HB45">
        <v>0</v>
      </c>
      <c r="HC45">
        <f t="shared" si="60"/>
        <v>0</v>
      </c>
      <c r="HE45" t="s">
        <v>4</v>
      </c>
      <c r="HF45" t="s">
        <v>4</v>
      </c>
      <c r="IK45">
        <v>0</v>
      </c>
    </row>
    <row r="47" spans="1:245" x14ac:dyDescent="0.25">
      <c r="A47" s="2">
        <v>51</v>
      </c>
      <c r="B47" s="2">
        <f>B24</f>
        <v>1</v>
      </c>
      <c r="C47" s="2">
        <f>A24</f>
        <v>4</v>
      </c>
      <c r="D47" s="2">
        <f>ROW(A24)</f>
        <v>24</v>
      </c>
      <c r="E47" s="2"/>
      <c r="F47" s="2" t="str">
        <f>IF(F24&lt;&gt;"",F24,"")</f>
        <v>Новый раздел</v>
      </c>
      <c r="G47" s="2" t="str">
        <f>IF(G24&lt;&gt;"",G24,"")</f>
        <v>Монтажные работы</v>
      </c>
      <c r="H47" s="2">
        <v>0</v>
      </c>
      <c r="I47" s="2"/>
      <c r="J47" s="2"/>
      <c r="K47" s="2"/>
      <c r="L47" s="2"/>
      <c r="M47" s="2"/>
      <c r="N47" s="2"/>
      <c r="O47" s="2">
        <f t="shared" ref="O47:T47" si="61">ROUND(AB47,2)</f>
        <v>346304.35</v>
      </c>
      <c r="P47" s="2">
        <f t="shared" si="61"/>
        <v>143345.31</v>
      </c>
      <c r="Q47" s="2">
        <f t="shared" si="61"/>
        <v>73170.289999999994</v>
      </c>
      <c r="R47" s="2">
        <f t="shared" si="61"/>
        <v>46136.65</v>
      </c>
      <c r="S47" s="2">
        <f t="shared" si="61"/>
        <v>129788.75</v>
      </c>
      <c r="T47" s="2">
        <f t="shared" si="61"/>
        <v>0</v>
      </c>
      <c r="U47" s="2">
        <f>AH47</f>
        <v>495.12308080000003</v>
      </c>
      <c r="V47" s="2">
        <f>AI47</f>
        <v>0</v>
      </c>
      <c r="W47" s="2">
        <f>ROUND(AJ47,2)</f>
        <v>0</v>
      </c>
      <c r="X47" s="2">
        <f>ROUND(AK47,2)</f>
        <v>90852.13</v>
      </c>
      <c r="Y47" s="2">
        <f>ROUND(AL47,2)</f>
        <v>12978.88</v>
      </c>
      <c r="Z47" s="2"/>
      <c r="AA47" s="2"/>
      <c r="AB47" s="2">
        <f>ROUND(SUMIF(AA28:AA45,"=51820365",O28:O45),2)</f>
        <v>346304.35</v>
      </c>
      <c r="AC47" s="2">
        <f>ROUND(SUMIF(AA28:AA45,"=51820365",P28:P45),2)</f>
        <v>143345.31</v>
      </c>
      <c r="AD47" s="2">
        <f>ROUND(SUMIF(AA28:AA45,"=51820365",Q28:Q45),2)</f>
        <v>73170.289999999994</v>
      </c>
      <c r="AE47" s="2">
        <f>ROUND(SUMIF(AA28:AA45,"=51820365",R28:R45),2)</f>
        <v>46136.65</v>
      </c>
      <c r="AF47" s="2">
        <f>ROUND(SUMIF(AA28:AA45,"=51820365",S28:S45),2)</f>
        <v>129788.75</v>
      </c>
      <c r="AG47" s="2">
        <f>ROUND(SUMIF(AA28:AA45,"=51820365",T28:T45),2)</f>
        <v>0</v>
      </c>
      <c r="AH47" s="2">
        <f>SUMIF(AA28:AA45,"=51820365",U28:U45)</f>
        <v>495.12308080000003</v>
      </c>
      <c r="AI47" s="2">
        <f>SUMIF(AA28:AA45,"=51820365",V28:V45)</f>
        <v>0</v>
      </c>
      <c r="AJ47" s="2">
        <f>ROUND(SUMIF(AA28:AA45,"=51820365",W28:W45),2)</f>
        <v>0</v>
      </c>
      <c r="AK47" s="2">
        <f>ROUND(SUMIF(AA28:AA45,"=51820365",X28:X45),2)</f>
        <v>90852.13</v>
      </c>
      <c r="AL47" s="2">
        <f>ROUND(SUMIF(AA28:AA45,"=51820365",Y28:Y45),2)</f>
        <v>12978.88</v>
      </c>
      <c r="AM47" s="2"/>
      <c r="AN47" s="2"/>
      <c r="AO47" s="2">
        <f t="shared" ref="AO47:BD47" si="62">ROUND(BX47,2)</f>
        <v>0</v>
      </c>
      <c r="AP47" s="2">
        <f t="shared" si="62"/>
        <v>0</v>
      </c>
      <c r="AQ47" s="2">
        <f t="shared" si="62"/>
        <v>0</v>
      </c>
      <c r="AR47" s="2">
        <f t="shared" si="62"/>
        <v>499962.94</v>
      </c>
      <c r="AS47" s="2">
        <f t="shared" si="62"/>
        <v>4151.01</v>
      </c>
      <c r="AT47" s="2">
        <f t="shared" si="62"/>
        <v>0</v>
      </c>
      <c r="AU47" s="2">
        <f t="shared" si="62"/>
        <v>495811.93</v>
      </c>
      <c r="AV47" s="2">
        <f t="shared" si="62"/>
        <v>143345.31</v>
      </c>
      <c r="AW47" s="2">
        <f t="shared" si="62"/>
        <v>143345.31</v>
      </c>
      <c r="AX47" s="2">
        <f t="shared" si="62"/>
        <v>0</v>
      </c>
      <c r="AY47" s="2">
        <f t="shared" si="62"/>
        <v>143345.31</v>
      </c>
      <c r="AZ47" s="2">
        <f t="shared" si="62"/>
        <v>0</v>
      </c>
      <c r="BA47" s="2">
        <f t="shared" si="62"/>
        <v>0</v>
      </c>
      <c r="BB47" s="2">
        <f t="shared" si="62"/>
        <v>0</v>
      </c>
      <c r="BC47" s="2">
        <f t="shared" si="62"/>
        <v>0</v>
      </c>
      <c r="BD47" s="2">
        <f t="shared" si="62"/>
        <v>0</v>
      </c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>
        <f>ROUND(SUMIF(AA28:AA45,"=51820365",FQ28:FQ45),2)</f>
        <v>0</v>
      </c>
      <c r="BY47" s="2">
        <f>ROUND(SUMIF(AA28:AA45,"=51820365",FR28:FR45),2)</f>
        <v>0</v>
      </c>
      <c r="BZ47" s="2">
        <f>ROUND(SUMIF(AA28:AA45,"=51820365",GL28:GL45),2)</f>
        <v>0</v>
      </c>
      <c r="CA47" s="2">
        <f>ROUND(SUMIF(AA28:AA45,"=51820365",GM28:GM45),2)</f>
        <v>499962.94</v>
      </c>
      <c r="CB47" s="2">
        <f>ROUND(SUMIF(AA28:AA45,"=51820365",GN28:GN45),2)</f>
        <v>4151.01</v>
      </c>
      <c r="CC47" s="2">
        <f>ROUND(SUMIF(AA28:AA45,"=51820365",GO28:GO45),2)</f>
        <v>0</v>
      </c>
      <c r="CD47" s="2">
        <f>ROUND(SUMIF(AA28:AA45,"=51820365",GP28:GP45),2)</f>
        <v>495811.93</v>
      </c>
      <c r="CE47" s="2">
        <f>AC47-BX47</f>
        <v>143345.31</v>
      </c>
      <c r="CF47" s="2">
        <f>AC47-BY47</f>
        <v>143345.31</v>
      </c>
      <c r="CG47" s="2">
        <f>BX47-BZ47</f>
        <v>0</v>
      </c>
      <c r="CH47" s="2">
        <f>AC47-BX47-BY47+BZ47</f>
        <v>143345.31</v>
      </c>
      <c r="CI47" s="2">
        <f>BY47-BZ47</f>
        <v>0</v>
      </c>
      <c r="CJ47" s="2">
        <f>ROUND(SUMIF(AA28:AA45,"=51820365",GX28:GX45),2)</f>
        <v>0</v>
      </c>
      <c r="CK47" s="2">
        <f>ROUND(SUMIF(AA28:AA45,"=51820365",GY28:GY45),2)</f>
        <v>0</v>
      </c>
      <c r="CL47" s="2">
        <f>ROUND(SUMIF(AA28:AA45,"=51820365",GZ28:GZ45),2)</f>
        <v>0</v>
      </c>
      <c r="CM47" s="2">
        <f>ROUND(SUMIF(AA28:AA45,"=51820365",HD28:HD45),2)</f>
        <v>0</v>
      </c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>
        <v>0</v>
      </c>
    </row>
    <row r="49" spans="1:23" x14ac:dyDescent="0.25">
      <c r="A49" s="4">
        <v>50</v>
      </c>
      <c r="B49" s="4">
        <v>0</v>
      </c>
      <c r="C49" s="4">
        <v>0</v>
      </c>
      <c r="D49" s="4">
        <v>1</v>
      </c>
      <c r="E49" s="4">
        <v>201</v>
      </c>
      <c r="F49" s="4">
        <f>ROUND(Source!O47,O49)</f>
        <v>346304.35</v>
      </c>
      <c r="G49" s="4" t="s">
        <v>79</v>
      </c>
      <c r="H49" s="4" t="s">
        <v>80</v>
      </c>
      <c r="I49" s="4"/>
      <c r="J49" s="4"/>
      <c r="K49" s="4">
        <v>201</v>
      </c>
      <c r="L49" s="4">
        <v>1</v>
      </c>
      <c r="M49" s="4">
        <v>3</v>
      </c>
      <c r="N49" s="4" t="s">
        <v>4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5">
      <c r="A50" s="4">
        <v>50</v>
      </c>
      <c r="B50" s="4">
        <v>0</v>
      </c>
      <c r="C50" s="4">
        <v>0</v>
      </c>
      <c r="D50" s="4">
        <v>1</v>
      </c>
      <c r="E50" s="4">
        <v>202</v>
      </c>
      <c r="F50" s="4">
        <f>ROUND(Source!P47,O50)</f>
        <v>143345.31</v>
      </c>
      <c r="G50" s="4" t="s">
        <v>81</v>
      </c>
      <c r="H50" s="4" t="s">
        <v>82</v>
      </c>
      <c r="I50" s="4"/>
      <c r="J50" s="4"/>
      <c r="K50" s="4">
        <v>202</v>
      </c>
      <c r="L50" s="4">
        <v>2</v>
      </c>
      <c r="M50" s="4">
        <v>3</v>
      </c>
      <c r="N50" s="4" t="s">
        <v>4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>
        <v>50</v>
      </c>
      <c r="B51" s="4">
        <v>0</v>
      </c>
      <c r="C51" s="4">
        <v>0</v>
      </c>
      <c r="D51" s="4">
        <v>1</v>
      </c>
      <c r="E51" s="4">
        <v>222</v>
      </c>
      <c r="F51" s="4">
        <f>ROUND(Source!AO47,O51)</f>
        <v>0</v>
      </c>
      <c r="G51" s="4" t="s">
        <v>83</v>
      </c>
      <c r="H51" s="4" t="s">
        <v>84</v>
      </c>
      <c r="I51" s="4"/>
      <c r="J51" s="4"/>
      <c r="K51" s="4">
        <v>222</v>
      </c>
      <c r="L51" s="4">
        <v>3</v>
      </c>
      <c r="M51" s="4">
        <v>3</v>
      </c>
      <c r="N51" s="4" t="s">
        <v>4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>
        <v>50</v>
      </c>
      <c r="B52" s="4">
        <v>0</v>
      </c>
      <c r="C52" s="4">
        <v>0</v>
      </c>
      <c r="D52" s="4">
        <v>1</v>
      </c>
      <c r="E52" s="4">
        <v>225</v>
      </c>
      <c r="F52" s="4">
        <f>ROUND(Source!AV47,O52)</f>
        <v>143345.31</v>
      </c>
      <c r="G52" s="4" t="s">
        <v>85</v>
      </c>
      <c r="H52" s="4" t="s">
        <v>86</v>
      </c>
      <c r="I52" s="4"/>
      <c r="J52" s="4"/>
      <c r="K52" s="4">
        <v>225</v>
      </c>
      <c r="L52" s="4">
        <v>4</v>
      </c>
      <c r="M52" s="4">
        <v>3</v>
      </c>
      <c r="N52" s="4" t="s">
        <v>4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>
        <v>50</v>
      </c>
      <c r="B53" s="4">
        <v>0</v>
      </c>
      <c r="C53" s="4">
        <v>0</v>
      </c>
      <c r="D53" s="4">
        <v>1</v>
      </c>
      <c r="E53" s="4">
        <v>226</v>
      </c>
      <c r="F53" s="4">
        <f>ROUND(Source!AW47,O53)</f>
        <v>143345.31</v>
      </c>
      <c r="G53" s="4" t="s">
        <v>87</v>
      </c>
      <c r="H53" s="4" t="s">
        <v>88</v>
      </c>
      <c r="I53" s="4"/>
      <c r="J53" s="4"/>
      <c r="K53" s="4">
        <v>226</v>
      </c>
      <c r="L53" s="4">
        <v>5</v>
      </c>
      <c r="M53" s="4">
        <v>3</v>
      </c>
      <c r="N53" s="4" t="s">
        <v>4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>
        <v>50</v>
      </c>
      <c r="B54" s="4">
        <v>0</v>
      </c>
      <c r="C54" s="4">
        <v>0</v>
      </c>
      <c r="D54" s="4">
        <v>1</v>
      </c>
      <c r="E54" s="4">
        <v>227</v>
      </c>
      <c r="F54" s="4">
        <f>ROUND(Source!AX47,O54)</f>
        <v>0</v>
      </c>
      <c r="G54" s="4" t="s">
        <v>89</v>
      </c>
      <c r="H54" s="4" t="s">
        <v>90</v>
      </c>
      <c r="I54" s="4"/>
      <c r="J54" s="4"/>
      <c r="K54" s="4">
        <v>227</v>
      </c>
      <c r="L54" s="4">
        <v>6</v>
      </c>
      <c r="M54" s="4">
        <v>3</v>
      </c>
      <c r="N54" s="4" t="s">
        <v>4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>
        <v>50</v>
      </c>
      <c r="B55" s="4">
        <v>0</v>
      </c>
      <c r="C55" s="4">
        <v>0</v>
      </c>
      <c r="D55" s="4">
        <v>1</v>
      </c>
      <c r="E55" s="4">
        <v>228</v>
      </c>
      <c r="F55" s="4">
        <f>ROUND(Source!AY47,O55)</f>
        <v>143345.31</v>
      </c>
      <c r="G55" s="4" t="s">
        <v>91</v>
      </c>
      <c r="H55" s="4" t="s">
        <v>92</v>
      </c>
      <c r="I55" s="4"/>
      <c r="J55" s="4"/>
      <c r="K55" s="4">
        <v>228</v>
      </c>
      <c r="L55" s="4">
        <v>7</v>
      </c>
      <c r="M55" s="4">
        <v>3</v>
      </c>
      <c r="N55" s="4" t="s">
        <v>4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>
        <v>50</v>
      </c>
      <c r="B56" s="4">
        <v>0</v>
      </c>
      <c r="C56" s="4">
        <v>0</v>
      </c>
      <c r="D56" s="4">
        <v>1</v>
      </c>
      <c r="E56" s="4">
        <v>216</v>
      </c>
      <c r="F56" s="4">
        <f>ROUND(Source!AP47,O56)</f>
        <v>0</v>
      </c>
      <c r="G56" s="4" t="s">
        <v>93</v>
      </c>
      <c r="H56" s="4" t="s">
        <v>94</v>
      </c>
      <c r="I56" s="4"/>
      <c r="J56" s="4"/>
      <c r="K56" s="4">
        <v>216</v>
      </c>
      <c r="L56" s="4">
        <v>8</v>
      </c>
      <c r="M56" s="4">
        <v>3</v>
      </c>
      <c r="N56" s="4" t="s">
        <v>4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>
        <v>50</v>
      </c>
      <c r="B57" s="4">
        <v>0</v>
      </c>
      <c r="C57" s="4">
        <v>0</v>
      </c>
      <c r="D57" s="4">
        <v>1</v>
      </c>
      <c r="E57" s="4">
        <v>223</v>
      </c>
      <c r="F57" s="4">
        <f>ROUND(Source!AQ47,O57)</f>
        <v>0</v>
      </c>
      <c r="G57" s="4" t="s">
        <v>95</v>
      </c>
      <c r="H57" s="4" t="s">
        <v>96</v>
      </c>
      <c r="I57" s="4"/>
      <c r="J57" s="4"/>
      <c r="K57" s="4">
        <v>223</v>
      </c>
      <c r="L57" s="4">
        <v>9</v>
      </c>
      <c r="M57" s="4">
        <v>3</v>
      </c>
      <c r="N57" s="4" t="s">
        <v>4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>
        <v>50</v>
      </c>
      <c r="B58" s="4">
        <v>0</v>
      </c>
      <c r="C58" s="4">
        <v>0</v>
      </c>
      <c r="D58" s="4">
        <v>1</v>
      </c>
      <c r="E58" s="4">
        <v>229</v>
      </c>
      <c r="F58" s="4">
        <f>ROUND(Source!AZ47,O58)</f>
        <v>0</v>
      </c>
      <c r="G58" s="4" t="s">
        <v>97</v>
      </c>
      <c r="H58" s="4" t="s">
        <v>98</v>
      </c>
      <c r="I58" s="4"/>
      <c r="J58" s="4"/>
      <c r="K58" s="4">
        <v>229</v>
      </c>
      <c r="L58" s="4">
        <v>10</v>
      </c>
      <c r="M58" s="4">
        <v>3</v>
      </c>
      <c r="N58" s="4" t="s">
        <v>4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>
        <v>50</v>
      </c>
      <c r="B59" s="4">
        <v>0</v>
      </c>
      <c r="C59" s="4">
        <v>0</v>
      </c>
      <c r="D59" s="4">
        <v>1</v>
      </c>
      <c r="E59" s="4">
        <v>203</v>
      </c>
      <c r="F59" s="4">
        <f>ROUND(Source!Q47,O59)</f>
        <v>73170.289999999994</v>
      </c>
      <c r="G59" s="4" t="s">
        <v>99</v>
      </c>
      <c r="H59" s="4" t="s">
        <v>100</v>
      </c>
      <c r="I59" s="4"/>
      <c r="J59" s="4"/>
      <c r="K59" s="4">
        <v>203</v>
      </c>
      <c r="L59" s="4">
        <v>11</v>
      </c>
      <c r="M59" s="4">
        <v>3</v>
      </c>
      <c r="N59" s="4" t="s">
        <v>4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>
        <v>50</v>
      </c>
      <c r="B60" s="4">
        <v>0</v>
      </c>
      <c r="C60" s="4">
        <v>0</v>
      </c>
      <c r="D60" s="4">
        <v>1</v>
      </c>
      <c r="E60" s="4">
        <v>231</v>
      </c>
      <c r="F60" s="4">
        <f>ROUND(Source!BB47,O60)</f>
        <v>0</v>
      </c>
      <c r="G60" s="4" t="s">
        <v>101</v>
      </c>
      <c r="H60" s="4" t="s">
        <v>102</v>
      </c>
      <c r="I60" s="4"/>
      <c r="J60" s="4"/>
      <c r="K60" s="4">
        <v>231</v>
      </c>
      <c r="L60" s="4">
        <v>12</v>
      </c>
      <c r="M60" s="4">
        <v>3</v>
      </c>
      <c r="N60" s="4" t="s">
        <v>4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>
        <v>50</v>
      </c>
      <c r="B61" s="4">
        <v>0</v>
      </c>
      <c r="C61" s="4">
        <v>0</v>
      </c>
      <c r="D61" s="4">
        <v>1</v>
      </c>
      <c r="E61" s="4">
        <v>204</v>
      </c>
      <c r="F61" s="4">
        <f>ROUND(Source!R47,O61)</f>
        <v>46136.65</v>
      </c>
      <c r="G61" s="4" t="s">
        <v>103</v>
      </c>
      <c r="H61" s="4" t="s">
        <v>104</v>
      </c>
      <c r="I61" s="4"/>
      <c r="J61" s="4"/>
      <c r="K61" s="4">
        <v>204</v>
      </c>
      <c r="L61" s="4">
        <v>13</v>
      </c>
      <c r="M61" s="4">
        <v>3</v>
      </c>
      <c r="N61" s="4" t="s">
        <v>4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>
        <v>50</v>
      </c>
      <c r="B62" s="4">
        <v>0</v>
      </c>
      <c r="C62" s="4">
        <v>0</v>
      </c>
      <c r="D62" s="4">
        <v>1</v>
      </c>
      <c r="E62" s="4">
        <v>205</v>
      </c>
      <c r="F62" s="4">
        <f>ROUND(Source!S47,O62)</f>
        <v>129788.75</v>
      </c>
      <c r="G62" s="4" t="s">
        <v>105</v>
      </c>
      <c r="H62" s="4" t="s">
        <v>106</v>
      </c>
      <c r="I62" s="4"/>
      <c r="J62" s="4"/>
      <c r="K62" s="4">
        <v>205</v>
      </c>
      <c r="L62" s="4">
        <v>14</v>
      </c>
      <c r="M62" s="4">
        <v>3</v>
      </c>
      <c r="N62" s="4" t="s">
        <v>4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>
        <v>50</v>
      </c>
      <c r="B63" s="4">
        <v>0</v>
      </c>
      <c r="C63" s="4">
        <v>0</v>
      </c>
      <c r="D63" s="4">
        <v>1</v>
      </c>
      <c r="E63" s="4">
        <v>232</v>
      </c>
      <c r="F63" s="4">
        <f>ROUND(Source!BC47,O63)</f>
        <v>0</v>
      </c>
      <c r="G63" s="4" t="s">
        <v>107</v>
      </c>
      <c r="H63" s="4" t="s">
        <v>108</v>
      </c>
      <c r="I63" s="4"/>
      <c r="J63" s="4"/>
      <c r="K63" s="4">
        <v>232</v>
      </c>
      <c r="L63" s="4">
        <v>15</v>
      </c>
      <c r="M63" s="4">
        <v>3</v>
      </c>
      <c r="N63" s="4" t="s">
        <v>4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4">
        <v>50</v>
      </c>
      <c r="B64" s="4">
        <v>0</v>
      </c>
      <c r="C64" s="4">
        <v>0</v>
      </c>
      <c r="D64" s="4">
        <v>1</v>
      </c>
      <c r="E64" s="4">
        <v>214</v>
      </c>
      <c r="F64" s="4">
        <f>ROUND(Source!AS47,O64)</f>
        <v>4151.01</v>
      </c>
      <c r="G64" s="4" t="s">
        <v>109</v>
      </c>
      <c r="H64" s="4" t="s">
        <v>110</v>
      </c>
      <c r="I64" s="4"/>
      <c r="J64" s="4"/>
      <c r="K64" s="4">
        <v>214</v>
      </c>
      <c r="L64" s="4">
        <v>16</v>
      </c>
      <c r="M64" s="4">
        <v>3</v>
      </c>
      <c r="N64" s="4" t="s">
        <v>4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06" x14ac:dyDescent="0.25">
      <c r="A65" s="4">
        <v>50</v>
      </c>
      <c r="B65" s="4">
        <v>0</v>
      </c>
      <c r="C65" s="4">
        <v>0</v>
      </c>
      <c r="D65" s="4">
        <v>1</v>
      </c>
      <c r="E65" s="4">
        <v>215</v>
      </c>
      <c r="F65" s="4">
        <f>ROUND(Source!AT47,O65)</f>
        <v>0</v>
      </c>
      <c r="G65" s="4" t="s">
        <v>111</v>
      </c>
      <c r="H65" s="4" t="s">
        <v>112</v>
      </c>
      <c r="I65" s="4"/>
      <c r="J65" s="4"/>
      <c r="K65" s="4">
        <v>215</v>
      </c>
      <c r="L65" s="4">
        <v>17</v>
      </c>
      <c r="M65" s="4">
        <v>3</v>
      </c>
      <c r="N65" s="4" t="s">
        <v>4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06" x14ac:dyDescent="0.25">
      <c r="A66" s="4">
        <v>50</v>
      </c>
      <c r="B66" s="4">
        <v>0</v>
      </c>
      <c r="C66" s="4">
        <v>0</v>
      </c>
      <c r="D66" s="4">
        <v>1</v>
      </c>
      <c r="E66" s="4">
        <v>217</v>
      </c>
      <c r="F66" s="4">
        <f>ROUND(Source!AU47,O66)</f>
        <v>495811.93</v>
      </c>
      <c r="G66" s="4" t="s">
        <v>113</v>
      </c>
      <c r="H66" s="4" t="s">
        <v>114</v>
      </c>
      <c r="I66" s="4"/>
      <c r="J66" s="4"/>
      <c r="K66" s="4">
        <v>217</v>
      </c>
      <c r="L66" s="4">
        <v>18</v>
      </c>
      <c r="M66" s="4">
        <v>3</v>
      </c>
      <c r="N66" s="4" t="s">
        <v>4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06" x14ac:dyDescent="0.25">
      <c r="A67" s="4">
        <v>50</v>
      </c>
      <c r="B67" s="4">
        <v>0</v>
      </c>
      <c r="C67" s="4">
        <v>0</v>
      </c>
      <c r="D67" s="4">
        <v>1</v>
      </c>
      <c r="E67" s="4">
        <v>230</v>
      </c>
      <c r="F67" s="4">
        <f>ROUND(Source!BA47,O67)</f>
        <v>0</v>
      </c>
      <c r="G67" s="4" t="s">
        <v>115</v>
      </c>
      <c r="H67" s="4" t="s">
        <v>116</v>
      </c>
      <c r="I67" s="4"/>
      <c r="J67" s="4"/>
      <c r="K67" s="4">
        <v>230</v>
      </c>
      <c r="L67" s="4">
        <v>19</v>
      </c>
      <c r="M67" s="4">
        <v>3</v>
      </c>
      <c r="N67" s="4" t="s">
        <v>4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06" x14ac:dyDescent="0.25">
      <c r="A68" s="4">
        <v>50</v>
      </c>
      <c r="B68" s="4">
        <v>0</v>
      </c>
      <c r="C68" s="4">
        <v>0</v>
      </c>
      <c r="D68" s="4">
        <v>1</v>
      </c>
      <c r="E68" s="4">
        <v>206</v>
      </c>
      <c r="F68" s="4">
        <f>ROUND(Source!T47,O68)</f>
        <v>0</v>
      </c>
      <c r="G68" s="4" t="s">
        <v>117</v>
      </c>
      <c r="H68" s="4" t="s">
        <v>118</v>
      </c>
      <c r="I68" s="4"/>
      <c r="J68" s="4"/>
      <c r="K68" s="4">
        <v>206</v>
      </c>
      <c r="L68" s="4">
        <v>20</v>
      </c>
      <c r="M68" s="4">
        <v>3</v>
      </c>
      <c r="N68" s="4" t="s">
        <v>4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06" x14ac:dyDescent="0.25">
      <c r="A69" s="4">
        <v>50</v>
      </c>
      <c r="B69" s="4">
        <v>0</v>
      </c>
      <c r="C69" s="4">
        <v>0</v>
      </c>
      <c r="D69" s="4">
        <v>1</v>
      </c>
      <c r="E69" s="4">
        <v>207</v>
      </c>
      <c r="F69" s="4">
        <f>Source!U47</f>
        <v>495.12308080000003</v>
      </c>
      <c r="G69" s="4" t="s">
        <v>119</v>
      </c>
      <c r="H69" s="4" t="s">
        <v>120</v>
      </c>
      <c r="I69" s="4"/>
      <c r="J69" s="4"/>
      <c r="K69" s="4">
        <v>207</v>
      </c>
      <c r="L69" s="4">
        <v>21</v>
      </c>
      <c r="M69" s="4">
        <v>3</v>
      </c>
      <c r="N69" s="4" t="s">
        <v>4</v>
      </c>
      <c r="O69" s="4">
        <v>-1</v>
      </c>
      <c r="P69" s="4"/>
      <c r="Q69" s="4"/>
      <c r="R69" s="4"/>
      <c r="S69" s="4"/>
      <c r="T69" s="4"/>
      <c r="U69" s="4"/>
      <c r="V69" s="4"/>
      <c r="W69" s="4"/>
    </row>
    <row r="70" spans="1:206" x14ac:dyDescent="0.25">
      <c r="A70" s="4">
        <v>50</v>
      </c>
      <c r="B70" s="4">
        <v>0</v>
      </c>
      <c r="C70" s="4">
        <v>0</v>
      </c>
      <c r="D70" s="4">
        <v>1</v>
      </c>
      <c r="E70" s="4">
        <v>208</v>
      </c>
      <c r="F70" s="4">
        <f>Source!V47</f>
        <v>0</v>
      </c>
      <c r="G70" s="4" t="s">
        <v>121</v>
      </c>
      <c r="H70" s="4" t="s">
        <v>122</v>
      </c>
      <c r="I70" s="4"/>
      <c r="J70" s="4"/>
      <c r="K70" s="4">
        <v>208</v>
      </c>
      <c r="L70" s="4">
        <v>22</v>
      </c>
      <c r="M70" s="4">
        <v>3</v>
      </c>
      <c r="N70" s="4" t="s">
        <v>4</v>
      </c>
      <c r="O70" s="4">
        <v>-1</v>
      </c>
      <c r="P70" s="4"/>
      <c r="Q70" s="4"/>
      <c r="R70" s="4"/>
      <c r="S70" s="4"/>
      <c r="T70" s="4"/>
      <c r="U70" s="4"/>
      <c r="V70" s="4"/>
      <c r="W70" s="4"/>
    </row>
    <row r="71" spans="1:206" x14ac:dyDescent="0.25">
      <c r="A71" s="4">
        <v>50</v>
      </c>
      <c r="B71" s="4">
        <v>0</v>
      </c>
      <c r="C71" s="4">
        <v>0</v>
      </c>
      <c r="D71" s="4">
        <v>1</v>
      </c>
      <c r="E71" s="4">
        <v>209</v>
      </c>
      <c r="F71" s="4">
        <f>ROUND(Source!W47,O71)</f>
        <v>0</v>
      </c>
      <c r="G71" s="4" t="s">
        <v>123</v>
      </c>
      <c r="H71" s="4" t="s">
        <v>124</v>
      </c>
      <c r="I71" s="4"/>
      <c r="J71" s="4"/>
      <c r="K71" s="4">
        <v>209</v>
      </c>
      <c r="L71" s="4">
        <v>23</v>
      </c>
      <c r="M71" s="4">
        <v>3</v>
      </c>
      <c r="N71" s="4" t="s">
        <v>4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06" x14ac:dyDescent="0.25">
      <c r="A72" s="4">
        <v>50</v>
      </c>
      <c r="B72" s="4">
        <v>0</v>
      </c>
      <c r="C72" s="4">
        <v>0</v>
      </c>
      <c r="D72" s="4">
        <v>1</v>
      </c>
      <c r="E72" s="4">
        <v>233</v>
      </c>
      <c r="F72" s="4">
        <f>ROUND(Source!BD47,O72)</f>
        <v>0</v>
      </c>
      <c r="G72" s="4" t="s">
        <v>125</v>
      </c>
      <c r="H72" s="4" t="s">
        <v>126</v>
      </c>
      <c r="I72" s="4"/>
      <c r="J72" s="4"/>
      <c r="K72" s="4">
        <v>233</v>
      </c>
      <c r="L72" s="4">
        <v>24</v>
      </c>
      <c r="M72" s="4">
        <v>3</v>
      </c>
      <c r="N72" s="4" t="s">
        <v>4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06" x14ac:dyDescent="0.25">
      <c r="A73" s="4">
        <v>50</v>
      </c>
      <c r="B73" s="4">
        <v>0</v>
      </c>
      <c r="C73" s="4">
        <v>0</v>
      </c>
      <c r="D73" s="4">
        <v>1</v>
      </c>
      <c r="E73" s="4">
        <v>210</v>
      </c>
      <c r="F73" s="4">
        <f>ROUND(Source!X47,O73)</f>
        <v>90852.13</v>
      </c>
      <c r="G73" s="4" t="s">
        <v>127</v>
      </c>
      <c r="H73" s="4" t="s">
        <v>128</v>
      </c>
      <c r="I73" s="4"/>
      <c r="J73" s="4"/>
      <c r="K73" s="4">
        <v>210</v>
      </c>
      <c r="L73" s="4">
        <v>25</v>
      </c>
      <c r="M73" s="4">
        <v>3</v>
      </c>
      <c r="N73" s="4" t="s">
        <v>4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06" x14ac:dyDescent="0.25">
      <c r="A74" s="4">
        <v>50</v>
      </c>
      <c r="B74" s="4">
        <v>0</v>
      </c>
      <c r="C74" s="4">
        <v>0</v>
      </c>
      <c r="D74" s="4">
        <v>1</v>
      </c>
      <c r="E74" s="4">
        <v>211</v>
      </c>
      <c r="F74" s="4">
        <f>ROUND(Source!Y47,O74)</f>
        <v>12978.88</v>
      </c>
      <c r="G74" s="4" t="s">
        <v>129</v>
      </c>
      <c r="H74" s="4" t="s">
        <v>130</v>
      </c>
      <c r="I74" s="4"/>
      <c r="J74" s="4"/>
      <c r="K74" s="4">
        <v>211</v>
      </c>
      <c r="L74" s="4">
        <v>26</v>
      </c>
      <c r="M74" s="4">
        <v>3</v>
      </c>
      <c r="N74" s="4" t="s">
        <v>4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06" x14ac:dyDescent="0.25">
      <c r="A75" s="4">
        <v>50</v>
      </c>
      <c r="B75" s="4">
        <v>0</v>
      </c>
      <c r="C75" s="4">
        <v>0</v>
      </c>
      <c r="D75" s="4">
        <v>1</v>
      </c>
      <c r="E75" s="4">
        <v>224</v>
      </c>
      <c r="F75" s="4">
        <f>ROUND(Source!AR47,O75)</f>
        <v>499962.94</v>
      </c>
      <c r="G75" s="4" t="s">
        <v>131</v>
      </c>
      <c r="H75" s="4" t="s">
        <v>132</v>
      </c>
      <c r="I75" s="4"/>
      <c r="J75" s="4"/>
      <c r="K75" s="4">
        <v>224</v>
      </c>
      <c r="L75" s="4">
        <v>27</v>
      </c>
      <c r="M75" s="4">
        <v>3</v>
      </c>
      <c r="N75" s="4" t="s">
        <v>4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7" spans="1:206" x14ac:dyDescent="0.25">
      <c r="A77" s="2">
        <v>51</v>
      </c>
      <c r="B77" s="2">
        <f>B20</f>
        <v>1</v>
      </c>
      <c r="C77" s="2">
        <f>A20</f>
        <v>3</v>
      </c>
      <c r="D77" s="2">
        <f>ROW(A20)</f>
        <v>20</v>
      </c>
      <c r="E77" s="2"/>
      <c r="F77" s="2" t="str">
        <f>IF(F20&lt;&gt;"",F20,"")</f>
        <v>Новая локальная смета</v>
      </c>
      <c r="G77" s="2" t="str">
        <f>IF(G20&lt;&gt;"",G20,"")</f>
        <v>Новая локальная смета</v>
      </c>
      <c r="H77" s="2">
        <v>0</v>
      </c>
      <c r="I77" s="2"/>
      <c r="J77" s="2"/>
      <c r="K77" s="2"/>
      <c r="L77" s="2"/>
      <c r="M77" s="2"/>
      <c r="N77" s="2"/>
      <c r="O77" s="2">
        <f t="shared" ref="O77:T77" si="63">ROUND(O47+AB77,2)</f>
        <v>346304.35</v>
      </c>
      <c r="P77" s="2">
        <f t="shared" si="63"/>
        <v>143345.31</v>
      </c>
      <c r="Q77" s="2">
        <f t="shared" si="63"/>
        <v>73170.289999999994</v>
      </c>
      <c r="R77" s="2">
        <f t="shared" si="63"/>
        <v>46136.65</v>
      </c>
      <c r="S77" s="2">
        <f t="shared" si="63"/>
        <v>129788.75</v>
      </c>
      <c r="T77" s="2">
        <f t="shared" si="63"/>
        <v>0</v>
      </c>
      <c r="U77" s="2">
        <f>U47+AH77</f>
        <v>495.12308080000003</v>
      </c>
      <c r="V77" s="2">
        <f>V47+AI77</f>
        <v>0</v>
      </c>
      <c r="W77" s="2">
        <f>ROUND(W47+AJ77,2)</f>
        <v>0</v>
      </c>
      <c r="X77" s="2">
        <f>ROUND(X47+AK77,2)</f>
        <v>90852.13</v>
      </c>
      <c r="Y77" s="2">
        <f>ROUND(Y47+AL77,2)</f>
        <v>12978.88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>
        <f t="shared" ref="AO77:BD77" si="64">ROUND(AO47+BX77,2)</f>
        <v>0</v>
      </c>
      <c r="AP77" s="2">
        <f t="shared" si="64"/>
        <v>0</v>
      </c>
      <c r="AQ77" s="2">
        <f t="shared" si="64"/>
        <v>0</v>
      </c>
      <c r="AR77" s="2">
        <f t="shared" si="64"/>
        <v>499962.94</v>
      </c>
      <c r="AS77" s="2">
        <f t="shared" si="64"/>
        <v>4151.01</v>
      </c>
      <c r="AT77" s="2">
        <f t="shared" si="64"/>
        <v>0</v>
      </c>
      <c r="AU77" s="2">
        <f t="shared" si="64"/>
        <v>495811.93</v>
      </c>
      <c r="AV77" s="2">
        <f t="shared" si="64"/>
        <v>143345.31</v>
      </c>
      <c r="AW77" s="2">
        <f t="shared" si="64"/>
        <v>143345.31</v>
      </c>
      <c r="AX77" s="2">
        <f t="shared" si="64"/>
        <v>0</v>
      </c>
      <c r="AY77" s="2">
        <f t="shared" si="64"/>
        <v>143345.31</v>
      </c>
      <c r="AZ77" s="2">
        <f t="shared" si="64"/>
        <v>0</v>
      </c>
      <c r="BA77" s="2">
        <f t="shared" si="64"/>
        <v>0</v>
      </c>
      <c r="BB77" s="2">
        <f t="shared" si="64"/>
        <v>0</v>
      </c>
      <c r="BC77" s="2">
        <f t="shared" si="64"/>
        <v>0</v>
      </c>
      <c r="BD77" s="2">
        <f t="shared" si="64"/>
        <v>0</v>
      </c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>
        <v>0</v>
      </c>
    </row>
    <row r="79" spans="1:206" x14ac:dyDescent="0.25">
      <c r="A79" s="4">
        <v>50</v>
      </c>
      <c r="B79" s="4">
        <v>0</v>
      </c>
      <c r="C79" s="4">
        <v>0</v>
      </c>
      <c r="D79" s="4">
        <v>1</v>
      </c>
      <c r="E79" s="4">
        <v>201</v>
      </c>
      <c r="F79" s="4">
        <f>ROUND(Source!O77,O79)</f>
        <v>346304.35</v>
      </c>
      <c r="G79" s="4" t="s">
        <v>79</v>
      </c>
      <c r="H79" s="4" t="s">
        <v>80</v>
      </c>
      <c r="I79" s="4"/>
      <c r="J79" s="4"/>
      <c r="K79" s="4">
        <v>201</v>
      </c>
      <c r="L79" s="4">
        <v>1</v>
      </c>
      <c r="M79" s="4">
        <v>3</v>
      </c>
      <c r="N79" s="4" t="s">
        <v>4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06" x14ac:dyDescent="0.25">
      <c r="A80" s="4">
        <v>50</v>
      </c>
      <c r="B80" s="4">
        <v>0</v>
      </c>
      <c r="C80" s="4">
        <v>0</v>
      </c>
      <c r="D80" s="4">
        <v>1</v>
      </c>
      <c r="E80" s="4">
        <v>202</v>
      </c>
      <c r="F80" s="4">
        <f>ROUND(Source!P77,O80)</f>
        <v>143345.31</v>
      </c>
      <c r="G80" s="4" t="s">
        <v>81</v>
      </c>
      <c r="H80" s="4" t="s">
        <v>82</v>
      </c>
      <c r="I80" s="4"/>
      <c r="J80" s="4"/>
      <c r="K80" s="4">
        <v>202</v>
      </c>
      <c r="L80" s="4">
        <v>2</v>
      </c>
      <c r="M80" s="4">
        <v>3</v>
      </c>
      <c r="N80" s="4" t="s">
        <v>4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4">
        <v>50</v>
      </c>
      <c r="B81" s="4">
        <v>0</v>
      </c>
      <c r="C81" s="4">
        <v>0</v>
      </c>
      <c r="D81" s="4">
        <v>1</v>
      </c>
      <c r="E81" s="4">
        <v>222</v>
      </c>
      <c r="F81" s="4">
        <f>ROUND(Source!AO77,O81)</f>
        <v>0</v>
      </c>
      <c r="G81" s="4" t="s">
        <v>83</v>
      </c>
      <c r="H81" s="4" t="s">
        <v>84</v>
      </c>
      <c r="I81" s="4"/>
      <c r="J81" s="4"/>
      <c r="K81" s="4">
        <v>222</v>
      </c>
      <c r="L81" s="4">
        <v>3</v>
      </c>
      <c r="M81" s="4">
        <v>3</v>
      </c>
      <c r="N81" s="4" t="s">
        <v>4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4">
        <v>50</v>
      </c>
      <c r="B82" s="4">
        <v>0</v>
      </c>
      <c r="C82" s="4">
        <v>0</v>
      </c>
      <c r="D82" s="4">
        <v>1</v>
      </c>
      <c r="E82" s="4">
        <v>225</v>
      </c>
      <c r="F82" s="4">
        <f>ROUND(Source!AV77,O82)</f>
        <v>143345.31</v>
      </c>
      <c r="G82" s="4" t="s">
        <v>85</v>
      </c>
      <c r="H82" s="4" t="s">
        <v>86</v>
      </c>
      <c r="I82" s="4"/>
      <c r="J82" s="4"/>
      <c r="K82" s="4">
        <v>225</v>
      </c>
      <c r="L82" s="4">
        <v>4</v>
      </c>
      <c r="M82" s="4">
        <v>3</v>
      </c>
      <c r="N82" s="4" t="s">
        <v>4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5">
      <c r="A83" s="4">
        <v>50</v>
      </c>
      <c r="B83" s="4">
        <v>0</v>
      </c>
      <c r="C83" s="4">
        <v>0</v>
      </c>
      <c r="D83" s="4">
        <v>1</v>
      </c>
      <c r="E83" s="4">
        <v>226</v>
      </c>
      <c r="F83" s="4">
        <f>ROUND(Source!AW77,O83)</f>
        <v>143345.31</v>
      </c>
      <c r="G83" s="4" t="s">
        <v>87</v>
      </c>
      <c r="H83" s="4" t="s">
        <v>88</v>
      </c>
      <c r="I83" s="4"/>
      <c r="J83" s="4"/>
      <c r="K83" s="4">
        <v>226</v>
      </c>
      <c r="L83" s="4">
        <v>5</v>
      </c>
      <c r="M83" s="4">
        <v>3</v>
      </c>
      <c r="N83" s="4" t="s">
        <v>4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>
        <v>50</v>
      </c>
      <c r="B84" s="4">
        <v>0</v>
      </c>
      <c r="C84" s="4">
        <v>0</v>
      </c>
      <c r="D84" s="4">
        <v>1</v>
      </c>
      <c r="E84" s="4">
        <v>227</v>
      </c>
      <c r="F84" s="4">
        <f>ROUND(Source!AX77,O84)</f>
        <v>0</v>
      </c>
      <c r="G84" s="4" t="s">
        <v>89</v>
      </c>
      <c r="H84" s="4" t="s">
        <v>90</v>
      </c>
      <c r="I84" s="4"/>
      <c r="J84" s="4"/>
      <c r="K84" s="4">
        <v>227</v>
      </c>
      <c r="L84" s="4">
        <v>6</v>
      </c>
      <c r="M84" s="4">
        <v>3</v>
      </c>
      <c r="N84" s="4" t="s">
        <v>4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 x14ac:dyDescent="0.25">
      <c r="A85" s="4">
        <v>50</v>
      </c>
      <c r="B85" s="4">
        <v>0</v>
      </c>
      <c r="C85" s="4">
        <v>0</v>
      </c>
      <c r="D85" s="4">
        <v>1</v>
      </c>
      <c r="E85" s="4">
        <v>228</v>
      </c>
      <c r="F85" s="4">
        <f>ROUND(Source!AY77,O85)</f>
        <v>143345.31</v>
      </c>
      <c r="G85" s="4" t="s">
        <v>91</v>
      </c>
      <c r="H85" s="4" t="s">
        <v>92</v>
      </c>
      <c r="I85" s="4"/>
      <c r="J85" s="4"/>
      <c r="K85" s="4">
        <v>228</v>
      </c>
      <c r="L85" s="4">
        <v>7</v>
      </c>
      <c r="M85" s="4">
        <v>3</v>
      </c>
      <c r="N85" s="4" t="s">
        <v>4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>
        <v>50</v>
      </c>
      <c r="B86" s="4">
        <v>0</v>
      </c>
      <c r="C86" s="4">
        <v>0</v>
      </c>
      <c r="D86" s="4">
        <v>1</v>
      </c>
      <c r="E86" s="4">
        <v>216</v>
      </c>
      <c r="F86" s="4">
        <f>ROUND(Source!AP77,O86)</f>
        <v>0</v>
      </c>
      <c r="G86" s="4" t="s">
        <v>93</v>
      </c>
      <c r="H86" s="4" t="s">
        <v>94</v>
      </c>
      <c r="I86" s="4"/>
      <c r="J86" s="4"/>
      <c r="K86" s="4">
        <v>216</v>
      </c>
      <c r="L86" s="4">
        <v>8</v>
      </c>
      <c r="M86" s="4">
        <v>3</v>
      </c>
      <c r="N86" s="4" t="s">
        <v>4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4">
        <v>50</v>
      </c>
      <c r="B87" s="4">
        <v>0</v>
      </c>
      <c r="C87" s="4">
        <v>0</v>
      </c>
      <c r="D87" s="4">
        <v>1</v>
      </c>
      <c r="E87" s="4">
        <v>223</v>
      </c>
      <c r="F87" s="4">
        <f>ROUND(Source!AQ77,O87)</f>
        <v>0</v>
      </c>
      <c r="G87" s="4" t="s">
        <v>95</v>
      </c>
      <c r="H87" s="4" t="s">
        <v>96</v>
      </c>
      <c r="I87" s="4"/>
      <c r="J87" s="4"/>
      <c r="K87" s="4">
        <v>223</v>
      </c>
      <c r="L87" s="4">
        <v>9</v>
      </c>
      <c r="M87" s="4">
        <v>3</v>
      </c>
      <c r="N87" s="4" t="s">
        <v>4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4">
        <v>50</v>
      </c>
      <c r="B88" s="4">
        <v>0</v>
      </c>
      <c r="C88" s="4">
        <v>0</v>
      </c>
      <c r="D88" s="4">
        <v>1</v>
      </c>
      <c r="E88" s="4">
        <v>229</v>
      </c>
      <c r="F88" s="4">
        <f>ROUND(Source!AZ77,O88)</f>
        <v>0</v>
      </c>
      <c r="G88" s="4" t="s">
        <v>97</v>
      </c>
      <c r="H88" s="4" t="s">
        <v>98</v>
      </c>
      <c r="I88" s="4"/>
      <c r="J88" s="4"/>
      <c r="K88" s="4">
        <v>229</v>
      </c>
      <c r="L88" s="4">
        <v>10</v>
      </c>
      <c r="M88" s="4">
        <v>3</v>
      </c>
      <c r="N88" s="4" t="s">
        <v>4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>
        <v>50</v>
      </c>
      <c r="B89" s="4">
        <v>0</v>
      </c>
      <c r="C89" s="4">
        <v>0</v>
      </c>
      <c r="D89" s="4">
        <v>1</v>
      </c>
      <c r="E89" s="4">
        <v>203</v>
      </c>
      <c r="F89" s="4">
        <f>ROUND(Source!Q77,O89)</f>
        <v>73170.289999999994</v>
      </c>
      <c r="G89" s="4" t="s">
        <v>99</v>
      </c>
      <c r="H89" s="4" t="s">
        <v>100</v>
      </c>
      <c r="I89" s="4"/>
      <c r="J89" s="4"/>
      <c r="K89" s="4">
        <v>203</v>
      </c>
      <c r="L89" s="4">
        <v>11</v>
      </c>
      <c r="M89" s="4">
        <v>3</v>
      </c>
      <c r="N89" s="4" t="s">
        <v>4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>
        <v>50</v>
      </c>
      <c r="B90" s="4">
        <v>0</v>
      </c>
      <c r="C90" s="4">
        <v>0</v>
      </c>
      <c r="D90" s="4">
        <v>1</v>
      </c>
      <c r="E90" s="4">
        <v>231</v>
      </c>
      <c r="F90" s="4">
        <f>ROUND(Source!BB77,O90)</f>
        <v>0</v>
      </c>
      <c r="G90" s="4" t="s">
        <v>101</v>
      </c>
      <c r="H90" s="4" t="s">
        <v>102</v>
      </c>
      <c r="I90" s="4"/>
      <c r="J90" s="4"/>
      <c r="K90" s="4">
        <v>231</v>
      </c>
      <c r="L90" s="4">
        <v>12</v>
      </c>
      <c r="M90" s="4">
        <v>3</v>
      </c>
      <c r="N90" s="4" t="s">
        <v>4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>
        <v>50</v>
      </c>
      <c r="B91" s="4">
        <v>0</v>
      </c>
      <c r="C91" s="4">
        <v>0</v>
      </c>
      <c r="D91" s="4">
        <v>1</v>
      </c>
      <c r="E91" s="4">
        <v>204</v>
      </c>
      <c r="F91" s="4">
        <f>ROUND(Source!R77,O91)</f>
        <v>46136.65</v>
      </c>
      <c r="G91" s="4" t="s">
        <v>103</v>
      </c>
      <c r="H91" s="4" t="s">
        <v>104</v>
      </c>
      <c r="I91" s="4"/>
      <c r="J91" s="4"/>
      <c r="K91" s="4">
        <v>204</v>
      </c>
      <c r="L91" s="4">
        <v>13</v>
      </c>
      <c r="M91" s="4">
        <v>3</v>
      </c>
      <c r="N91" s="4" t="s">
        <v>4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3" x14ac:dyDescent="0.25">
      <c r="A92" s="4">
        <v>50</v>
      </c>
      <c r="B92" s="4">
        <v>0</v>
      </c>
      <c r="C92" s="4">
        <v>0</v>
      </c>
      <c r="D92" s="4">
        <v>1</v>
      </c>
      <c r="E92" s="4">
        <v>205</v>
      </c>
      <c r="F92" s="4">
        <f>ROUND(Source!S77,O92)</f>
        <v>129788.75</v>
      </c>
      <c r="G92" s="4" t="s">
        <v>105</v>
      </c>
      <c r="H92" s="4" t="s">
        <v>106</v>
      </c>
      <c r="I92" s="4"/>
      <c r="J92" s="4"/>
      <c r="K92" s="4">
        <v>205</v>
      </c>
      <c r="L92" s="4">
        <v>14</v>
      </c>
      <c r="M92" s="4">
        <v>3</v>
      </c>
      <c r="N92" s="4" t="s">
        <v>4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3" x14ac:dyDescent="0.25">
      <c r="A93" s="4">
        <v>50</v>
      </c>
      <c r="B93" s="4">
        <v>0</v>
      </c>
      <c r="C93" s="4">
        <v>0</v>
      </c>
      <c r="D93" s="4">
        <v>1</v>
      </c>
      <c r="E93" s="4">
        <v>232</v>
      </c>
      <c r="F93" s="4">
        <f>ROUND(Source!BC77,O93)</f>
        <v>0</v>
      </c>
      <c r="G93" s="4" t="s">
        <v>107</v>
      </c>
      <c r="H93" s="4" t="s">
        <v>108</v>
      </c>
      <c r="I93" s="4"/>
      <c r="J93" s="4"/>
      <c r="K93" s="4">
        <v>232</v>
      </c>
      <c r="L93" s="4">
        <v>15</v>
      </c>
      <c r="M93" s="4">
        <v>3</v>
      </c>
      <c r="N93" s="4" t="s">
        <v>4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4">
        <v>50</v>
      </c>
      <c r="B94" s="4">
        <v>0</v>
      </c>
      <c r="C94" s="4">
        <v>0</v>
      </c>
      <c r="D94" s="4">
        <v>1</v>
      </c>
      <c r="E94" s="4">
        <v>214</v>
      </c>
      <c r="F94" s="4">
        <f>ROUND(Source!AS77,O94)</f>
        <v>4151.01</v>
      </c>
      <c r="G94" s="4" t="s">
        <v>109</v>
      </c>
      <c r="H94" s="4" t="s">
        <v>110</v>
      </c>
      <c r="I94" s="4"/>
      <c r="J94" s="4"/>
      <c r="K94" s="4">
        <v>214</v>
      </c>
      <c r="L94" s="4">
        <v>16</v>
      </c>
      <c r="M94" s="4">
        <v>3</v>
      </c>
      <c r="N94" s="4" t="s">
        <v>4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3" x14ac:dyDescent="0.25">
      <c r="A95" s="4">
        <v>50</v>
      </c>
      <c r="B95" s="4">
        <v>0</v>
      </c>
      <c r="C95" s="4">
        <v>0</v>
      </c>
      <c r="D95" s="4">
        <v>1</v>
      </c>
      <c r="E95" s="4">
        <v>215</v>
      </c>
      <c r="F95" s="4">
        <f>ROUND(Source!AT77,O95)</f>
        <v>0</v>
      </c>
      <c r="G95" s="4" t="s">
        <v>111</v>
      </c>
      <c r="H95" s="4" t="s">
        <v>112</v>
      </c>
      <c r="I95" s="4"/>
      <c r="J95" s="4"/>
      <c r="K95" s="4">
        <v>215</v>
      </c>
      <c r="L95" s="4">
        <v>17</v>
      </c>
      <c r="M95" s="4">
        <v>3</v>
      </c>
      <c r="N95" s="4" t="s">
        <v>4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4">
        <v>50</v>
      </c>
      <c r="B96" s="4">
        <v>0</v>
      </c>
      <c r="C96" s="4">
        <v>0</v>
      </c>
      <c r="D96" s="4">
        <v>1</v>
      </c>
      <c r="E96" s="4">
        <v>217</v>
      </c>
      <c r="F96" s="4">
        <f>ROUND(Source!AU77,O96)</f>
        <v>495811.93</v>
      </c>
      <c r="G96" s="4" t="s">
        <v>113</v>
      </c>
      <c r="H96" s="4" t="s">
        <v>114</v>
      </c>
      <c r="I96" s="4"/>
      <c r="J96" s="4"/>
      <c r="K96" s="4">
        <v>217</v>
      </c>
      <c r="L96" s="4">
        <v>18</v>
      </c>
      <c r="M96" s="4">
        <v>3</v>
      </c>
      <c r="N96" s="4" t="s">
        <v>4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06" x14ac:dyDescent="0.25">
      <c r="A97" s="4">
        <v>50</v>
      </c>
      <c r="B97" s="4">
        <v>0</v>
      </c>
      <c r="C97" s="4">
        <v>0</v>
      </c>
      <c r="D97" s="4">
        <v>1</v>
      </c>
      <c r="E97" s="4">
        <v>230</v>
      </c>
      <c r="F97" s="4">
        <f>ROUND(Source!BA77,O97)</f>
        <v>0</v>
      </c>
      <c r="G97" s="4" t="s">
        <v>115</v>
      </c>
      <c r="H97" s="4" t="s">
        <v>116</v>
      </c>
      <c r="I97" s="4"/>
      <c r="J97" s="4"/>
      <c r="K97" s="4">
        <v>230</v>
      </c>
      <c r="L97" s="4">
        <v>19</v>
      </c>
      <c r="M97" s="4">
        <v>3</v>
      </c>
      <c r="N97" s="4" t="s">
        <v>4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06" x14ac:dyDescent="0.25">
      <c r="A98" s="4">
        <v>50</v>
      </c>
      <c r="B98" s="4">
        <v>0</v>
      </c>
      <c r="C98" s="4">
        <v>0</v>
      </c>
      <c r="D98" s="4">
        <v>1</v>
      </c>
      <c r="E98" s="4">
        <v>206</v>
      </c>
      <c r="F98" s="4">
        <f>ROUND(Source!T77,O98)</f>
        <v>0</v>
      </c>
      <c r="G98" s="4" t="s">
        <v>117</v>
      </c>
      <c r="H98" s="4" t="s">
        <v>118</v>
      </c>
      <c r="I98" s="4"/>
      <c r="J98" s="4"/>
      <c r="K98" s="4">
        <v>206</v>
      </c>
      <c r="L98" s="4">
        <v>20</v>
      </c>
      <c r="M98" s="4">
        <v>3</v>
      </c>
      <c r="N98" s="4" t="s">
        <v>4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06" x14ac:dyDescent="0.25">
      <c r="A99" s="4">
        <v>50</v>
      </c>
      <c r="B99" s="4">
        <v>0</v>
      </c>
      <c r="C99" s="4">
        <v>0</v>
      </c>
      <c r="D99" s="4">
        <v>1</v>
      </c>
      <c r="E99" s="4">
        <v>207</v>
      </c>
      <c r="F99" s="4">
        <f>Source!U77</f>
        <v>495.12308080000003</v>
      </c>
      <c r="G99" s="4" t="s">
        <v>119</v>
      </c>
      <c r="H99" s="4" t="s">
        <v>120</v>
      </c>
      <c r="I99" s="4"/>
      <c r="J99" s="4"/>
      <c r="K99" s="4">
        <v>207</v>
      </c>
      <c r="L99" s="4">
        <v>21</v>
      </c>
      <c r="M99" s="4">
        <v>3</v>
      </c>
      <c r="N99" s="4" t="s">
        <v>4</v>
      </c>
      <c r="O99" s="4">
        <v>-1</v>
      </c>
      <c r="P99" s="4"/>
      <c r="Q99" s="4"/>
      <c r="R99" s="4"/>
      <c r="S99" s="4"/>
      <c r="T99" s="4"/>
      <c r="U99" s="4"/>
      <c r="V99" s="4"/>
      <c r="W99" s="4"/>
    </row>
    <row r="100" spans="1:206" x14ac:dyDescent="0.25">
      <c r="A100" s="4">
        <v>50</v>
      </c>
      <c r="B100" s="4">
        <v>0</v>
      </c>
      <c r="C100" s="4">
        <v>0</v>
      </c>
      <c r="D100" s="4">
        <v>1</v>
      </c>
      <c r="E100" s="4">
        <v>208</v>
      </c>
      <c r="F100" s="4">
        <f>Source!V77</f>
        <v>0</v>
      </c>
      <c r="G100" s="4" t="s">
        <v>121</v>
      </c>
      <c r="H100" s="4" t="s">
        <v>122</v>
      </c>
      <c r="I100" s="4"/>
      <c r="J100" s="4"/>
      <c r="K100" s="4">
        <v>208</v>
      </c>
      <c r="L100" s="4">
        <v>22</v>
      </c>
      <c r="M100" s="4">
        <v>3</v>
      </c>
      <c r="N100" s="4" t="s">
        <v>4</v>
      </c>
      <c r="O100" s="4">
        <v>-1</v>
      </c>
      <c r="P100" s="4"/>
      <c r="Q100" s="4"/>
      <c r="R100" s="4"/>
      <c r="S100" s="4"/>
      <c r="T100" s="4"/>
      <c r="U100" s="4"/>
      <c r="V100" s="4"/>
      <c r="W100" s="4"/>
    </row>
    <row r="101" spans="1:206" x14ac:dyDescent="0.25">
      <c r="A101" s="4">
        <v>50</v>
      </c>
      <c r="B101" s="4">
        <v>0</v>
      </c>
      <c r="C101" s="4">
        <v>0</v>
      </c>
      <c r="D101" s="4">
        <v>1</v>
      </c>
      <c r="E101" s="4">
        <v>209</v>
      </c>
      <c r="F101" s="4">
        <f>ROUND(Source!W77,O101)</f>
        <v>0</v>
      </c>
      <c r="G101" s="4" t="s">
        <v>123</v>
      </c>
      <c r="H101" s="4" t="s">
        <v>124</v>
      </c>
      <c r="I101" s="4"/>
      <c r="J101" s="4"/>
      <c r="K101" s="4">
        <v>209</v>
      </c>
      <c r="L101" s="4">
        <v>23</v>
      </c>
      <c r="M101" s="4">
        <v>3</v>
      </c>
      <c r="N101" s="4" t="s">
        <v>4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06" x14ac:dyDescent="0.25">
      <c r="A102" s="4">
        <v>50</v>
      </c>
      <c r="B102" s="4">
        <v>0</v>
      </c>
      <c r="C102" s="4">
        <v>0</v>
      </c>
      <c r="D102" s="4">
        <v>1</v>
      </c>
      <c r="E102" s="4">
        <v>233</v>
      </c>
      <c r="F102" s="4">
        <f>ROUND(Source!BD77,O102)</f>
        <v>0</v>
      </c>
      <c r="G102" s="4" t="s">
        <v>125</v>
      </c>
      <c r="H102" s="4" t="s">
        <v>126</v>
      </c>
      <c r="I102" s="4"/>
      <c r="J102" s="4"/>
      <c r="K102" s="4">
        <v>233</v>
      </c>
      <c r="L102" s="4">
        <v>24</v>
      </c>
      <c r="M102" s="4">
        <v>3</v>
      </c>
      <c r="N102" s="4" t="s">
        <v>4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06" x14ac:dyDescent="0.25">
      <c r="A103" s="4">
        <v>50</v>
      </c>
      <c r="B103" s="4">
        <v>0</v>
      </c>
      <c r="C103" s="4">
        <v>0</v>
      </c>
      <c r="D103" s="4">
        <v>1</v>
      </c>
      <c r="E103" s="4">
        <v>210</v>
      </c>
      <c r="F103" s="4">
        <f>ROUND(Source!X77,O103)</f>
        <v>90852.13</v>
      </c>
      <c r="G103" s="4" t="s">
        <v>127</v>
      </c>
      <c r="H103" s="4" t="s">
        <v>128</v>
      </c>
      <c r="I103" s="4"/>
      <c r="J103" s="4"/>
      <c r="K103" s="4">
        <v>210</v>
      </c>
      <c r="L103" s="4">
        <v>25</v>
      </c>
      <c r="M103" s="4">
        <v>3</v>
      </c>
      <c r="N103" s="4" t="s">
        <v>4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06" x14ac:dyDescent="0.25">
      <c r="A104" s="4">
        <v>50</v>
      </c>
      <c r="B104" s="4">
        <v>0</v>
      </c>
      <c r="C104" s="4">
        <v>0</v>
      </c>
      <c r="D104" s="4">
        <v>1</v>
      </c>
      <c r="E104" s="4">
        <v>211</v>
      </c>
      <c r="F104" s="4">
        <f>ROUND(Source!Y77,O104)</f>
        <v>12978.88</v>
      </c>
      <c r="G104" s="4" t="s">
        <v>129</v>
      </c>
      <c r="H104" s="4" t="s">
        <v>130</v>
      </c>
      <c r="I104" s="4"/>
      <c r="J104" s="4"/>
      <c r="K104" s="4">
        <v>211</v>
      </c>
      <c r="L104" s="4">
        <v>26</v>
      </c>
      <c r="M104" s="4">
        <v>3</v>
      </c>
      <c r="N104" s="4" t="s">
        <v>4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06" x14ac:dyDescent="0.25">
      <c r="A105" s="4">
        <v>50</v>
      </c>
      <c r="B105" s="4">
        <v>0</v>
      </c>
      <c r="C105" s="4">
        <v>0</v>
      </c>
      <c r="D105" s="4">
        <v>1</v>
      </c>
      <c r="E105" s="4">
        <v>224</v>
      </c>
      <c r="F105" s="4">
        <f>ROUND(Source!AR77,O105)</f>
        <v>499962.94</v>
      </c>
      <c r="G105" s="4" t="s">
        <v>131</v>
      </c>
      <c r="H105" s="4" t="s">
        <v>132</v>
      </c>
      <c r="I105" s="4"/>
      <c r="J105" s="4"/>
      <c r="K105" s="4">
        <v>224</v>
      </c>
      <c r="L105" s="4">
        <v>27</v>
      </c>
      <c r="M105" s="4">
        <v>3</v>
      </c>
      <c r="N105" s="4" t="s">
        <v>4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06" x14ac:dyDescent="0.25">
      <c r="A106" s="4">
        <v>50</v>
      </c>
      <c r="B106" s="4">
        <v>1</v>
      </c>
      <c r="C106" s="4">
        <v>0</v>
      </c>
      <c r="D106" s="4">
        <v>2</v>
      </c>
      <c r="E106" s="4">
        <v>0</v>
      </c>
      <c r="F106" s="4">
        <f>ROUND(F105*0.2,O106)</f>
        <v>99992.59</v>
      </c>
      <c r="G106" s="4" t="s">
        <v>133</v>
      </c>
      <c r="H106" s="4" t="s">
        <v>134</v>
      </c>
      <c r="I106" s="4"/>
      <c r="J106" s="4"/>
      <c r="K106" s="4">
        <v>212</v>
      </c>
      <c r="L106" s="4">
        <v>28</v>
      </c>
      <c r="M106" s="4">
        <v>0</v>
      </c>
      <c r="N106" s="4" t="s">
        <v>4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06" x14ac:dyDescent="0.25">
      <c r="A107" s="4">
        <v>50</v>
      </c>
      <c r="B107" s="4">
        <v>1</v>
      </c>
      <c r="C107" s="4">
        <v>0</v>
      </c>
      <c r="D107" s="4">
        <v>2</v>
      </c>
      <c r="E107" s="4">
        <v>0</v>
      </c>
      <c r="F107" s="4">
        <f>ROUND(F105+F106,O107)</f>
        <v>599955.53</v>
      </c>
      <c r="G107" s="4" t="s">
        <v>135</v>
      </c>
      <c r="H107" s="4" t="s">
        <v>136</v>
      </c>
      <c r="I107" s="4"/>
      <c r="J107" s="4"/>
      <c r="K107" s="4">
        <v>212</v>
      </c>
      <c r="L107" s="4">
        <v>29</v>
      </c>
      <c r="M107" s="4">
        <v>0</v>
      </c>
      <c r="N107" s="4" t="s">
        <v>4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9" spans="1:206" x14ac:dyDescent="0.25">
      <c r="A109" s="2">
        <v>51</v>
      </c>
      <c r="B109" s="2">
        <f>B12</f>
        <v>144</v>
      </c>
      <c r="C109" s="2">
        <f>A12</f>
        <v>1</v>
      </c>
      <c r="D109" s="2">
        <f>ROW(A12)</f>
        <v>12</v>
      </c>
      <c r="E109" s="2"/>
      <c r="F109" s="2" t="str">
        <f>IF(F12&lt;&gt;"",F12,"")</f>
        <v/>
      </c>
      <c r="G109" s="2" t="str">
        <f>IF(G12&lt;&gt;"",G12,"")</f>
        <v>Выполнение работ по текущему ремонту территории в ГБУ ПНИ №16 по адресу:   город Москва, улица Трофимова, дом 26.</v>
      </c>
      <c r="H109" s="2">
        <v>0</v>
      </c>
      <c r="I109" s="2"/>
      <c r="J109" s="2"/>
      <c r="K109" s="2"/>
      <c r="L109" s="2"/>
      <c r="M109" s="2"/>
      <c r="N109" s="2"/>
      <c r="O109" s="2">
        <f t="shared" ref="O109:T109" si="65">ROUND(O77,2)</f>
        <v>346304.35</v>
      </c>
      <c r="P109" s="2">
        <f t="shared" si="65"/>
        <v>143345.31</v>
      </c>
      <c r="Q109" s="2">
        <f t="shared" si="65"/>
        <v>73170.289999999994</v>
      </c>
      <c r="R109" s="2">
        <f t="shared" si="65"/>
        <v>46136.65</v>
      </c>
      <c r="S109" s="2">
        <f t="shared" si="65"/>
        <v>129788.75</v>
      </c>
      <c r="T109" s="2">
        <f t="shared" si="65"/>
        <v>0</v>
      </c>
      <c r="U109" s="2">
        <f>U77</f>
        <v>495.12308080000003</v>
      </c>
      <c r="V109" s="2">
        <f>V77</f>
        <v>0</v>
      </c>
      <c r="W109" s="2">
        <f>ROUND(W77,2)</f>
        <v>0</v>
      </c>
      <c r="X109" s="2">
        <f>ROUND(X77,2)</f>
        <v>90852.13</v>
      </c>
      <c r="Y109" s="2">
        <f>ROUND(Y77,2)</f>
        <v>12978.88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>
        <f t="shared" ref="AO109:BD109" si="66">ROUND(AO77,2)</f>
        <v>0</v>
      </c>
      <c r="AP109" s="2">
        <f t="shared" si="66"/>
        <v>0</v>
      </c>
      <c r="AQ109" s="2">
        <f t="shared" si="66"/>
        <v>0</v>
      </c>
      <c r="AR109" s="2">
        <f t="shared" si="66"/>
        <v>499962.94</v>
      </c>
      <c r="AS109" s="2">
        <f t="shared" si="66"/>
        <v>4151.01</v>
      </c>
      <c r="AT109" s="2">
        <f t="shared" si="66"/>
        <v>0</v>
      </c>
      <c r="AU109" s="2">
        <f t="shared" si="66"/>
        <v>495811.93</v>
      </c>
      <c r="AV109" s="2">
        <f t="shared" si="66"/>
        <v>143345.31</v>
      </c>
      <c r="AW109" s="2">
        <f t="shared" si="66"/>
        <v>143345.31</v>
      </c>
      <c r="AX109" s="2">
        <f t="shared" si="66"/>
        <v>0</v>
      </c>
      <c r="AY109" s="2">
        <f t="shared" si="66"/>
        <v>143345.31</v>
      </c>
      <c r="AZ109" s="2">
        <f t="shared" si="66"/>
        <v>0</v>
      </c>
      <c r="BA109" s="2">
        <f t="shared" si="66"/>
        <v>0</v>
      </c>
      <c r="BB109" s="2">
        <f t="shared" si="66"/>
        <v>0</v>
      </c>
      <c r="BC109" s="2">
        <f t="shared" si="66"/>
        <v>0</v>
      </c>
      <c r="BD109" s="2">
        <f t="shared" si="66"/>
        <v>0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>
        <v>0</v>
      </c>
    </row>
    <row r="111" spans="1:206" x14ac:dyDescent="0.25">
      <c r="A111" s="4">
        <v>50</v>
      </c>
      <c r="B111" s="4">
        <v>0</v>
      </c>
      <c r="C111" s="4">
        <v>0</v>
      </c>
      <c r="D111" s="4">
        <v>1</v>
      </c>
      <c r="E111" s="4">
        <v>201</v>
      </c>
      <c r="F111" s="4">
        <f>ROUND(Source!O109,O111)</f>
        <v>346304.35</v>
      </c>
      <c r="G111" s="4" t="s">
        <v>79</v>
      </c>
      <c r="H111" s="4" t="s">
        <v>80</v>
      </c>
      <c r="I111" s="4"/>
      <c r="J111" s="4"/>
      <c r="K111" s="4">
        <v>201</v>
      </c>
      <c r="L111" s="4">
        <v>1</v>
      </c>
      <c r="M111" s="4">
        <v>3</v>
      </c>
      <c r="N111" s="4" t="s">
        <v>4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06" x14ac:dyDescent="0.25">
      <c r="A112" s="4">
        <v>50</v>
      </c>
      <c r="B112" s="4">
        <v>0</v>
      </c>
      <c r="C112" s="4">
        <v>0</v>
      </c>
      <c r="D112" s="4">
        <v>1</v>
      </c>
      <c r="E112" s="4">
        <v>202</v>
      </c>
      <c r="F112" s="4">
        <f>ROUND(Source!P109,O112)</f>
        <v>143345.31</v>
      </c>
      <c r="G112" s="4" t="s">
        <v>81</v>
      </c>
      <c r="H112" s="4" t="s">
        <v>82</v>
      </c>
      <c r="I112" s="4"/>
      <c r="J112" s="4"/>
      <c r="K112" s="4">
        <v>202</v>
      </c>
      <c r="L112" s="4">
        <v>2</v>
      </c>
      <c r="M112" s="4">
        <v>3</v>
      </c>
      <c r="N112" s="4" t="s">
        <v>4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>
        <v>50</v>
      </c>
      <c r="B113" s="4">
        <v>0</v>
      </c>
      <c r="C113" s="4">
        <v>0</v>
      </c>
      <c r="D113" s="4">
        <v>1</v>
      </c>
      <c r="E113" s="4">
        <v>222</v>
      </c>
      <c r="F113" s="4">
        <f>ROUND(Source!AO109,O113)</f>
        <v>0</v>
      </c>
      <c r="G113" s="4" t="s">
        <v>83</v>
      </c>
      <c r="H113" s="4" t="s">
        <v>84</v>
      </c>
      <c r="I113" s="4"/>
      <c r="J113" s="4"/>
      <c r="K113" s="4">
        <v>222</v>
      </c>
      <c r="L113" s="4">
        <v>3</v>
      </c>
      <c r="M113" s="4">
        <v>3</v>
      </c>
      <c r="N113" s="4" t="s">
        <v>4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>
        <v>50</v>
      </c>
      <c r="B114" s="4">
        <v>0</v>
      </c>
      <c r="C114" s="4">
        <v>0</v>
      </c>
      <c r="D114" s="4">
        <v>1</v>
      </c>
      <c r="E114" s="4">
        <v>225</v>
      </c>
      <c r="F114" s="4">
        <f>ROUND(Source!AV109,O114)</f>
        <v>143345.31</v>
      </c>
      <c r="G114" s="4" t="s">
        <v>85</v>
      </c>
      <c r="H114" s="4" t="s">
        <v>86</v>
      </c>
      <c r="I114" s="4"/>
      <c r="J114" s="4"/>
      <c r="K114" s="4">
        <v>225</v>
      </c>
      <c r="L114" s="4">
        <v>4</v>
      </c>
      <c r="M114" s="4">
        <v>3</v>
      </c>
      <c r="N114" s="4" t="s">
        <v>4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5">
      <c r="A115" s="4">
        <v>50</v>
      </c>
      <c r="B115" s="4">
        <v>0</v>
      </c>
      <c r="C115" s="4">
        <v>0</v>
      </c>
      <c r="D115" s="4">
        <v>1</v>
      </c>
      <c r="E115" s="4">
        <v>226</v>
      </c>
      <c r="F115" s="4">
        <f>ROUND(Source!AW109,O115)</f>
        <v>143345.31</v>
      </c>
      <c r="G115" s="4" t="s">
        <v>87</v>
      </c>
      <c r="H115" s="4" t="s">
        <v>88</v>
      </c>
      <c r="I115" s="4"/>
      <c r="J115" s="4"/>
      <c r="K115" s="4">
        <v>226</v>
      </c>
      <c r="L115" s="4">
        <v>5</v>
      </c>
      <c r="M115" s="4">
        <v>3</v>
      </c>
      <c r="N115" s="4" t="s">
        <v>4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>
        <v>50</v>
      </c>
      <c r="B116" s="4">
        <v>0</v>
      </c>
      <c r="C116" s="4">
        <v>0</v>
      </c>
      <c r="D116" s="4">
        <v>1</v>
      </c>
      <c r="E116" s="4">
        <v>227</v>
      </c>
      <c r="F116" s="4">
        <f>ROUND(Source!AX109,O116)</f>
        <v>0</v>
      </c>
      <c r="G116" s="4" t="s">
        <v>89</v>
      </c>
      <c r="H116" s="4" t="s">
        <v>90</v>
      </c>
      <c r="I116" s="4"/>
      <c r="J116" s="4"/>
      <c r="K116" s="4">
        <v>227</v>
      </c>
      <c r="L116" s="4">
        <v>6</v>
      </c>
      <c r="M116" s="4">
        <v>3</v>
      </c>
      <c r="N116" s="4" t="s">
        <v>4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>
        <v>50</v>
      </c>
      <c r="B117" s="4">
        <v>0</v>
      </c>
      <c r="C117" s="4">
        <v>0</v>
      </c>
      <c r="D117" s="4">
        <v>1</v>
      </c>
      <c r="E117" s="4">
        <v>228</v>
      </c>
      <c r="F117" s="4">
        <f>ROUND(Source!AY109,O117)</f>
        <v>143345.31</v>
      </c>
      <c r="G117" s="4" t="s">
        <v>91</v>
      </c>
      <c r="H117" s="4" t="s">
        <v>92</v>
      </c>
      <c r="I117" s="4"/>
      <c r="J117" s="4"/>
      <c r="K117" s="4">
        <v>228</v>
      </c>
      <c r="L117" s="4">
        <v>7</v>
      </c>
      <c r="M117" s="4">
        <v>3</v>
      </c>
      <c r="N117" s="4" t="s">
        <v>4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4">
        <v>50</v>
      </c>
      <c r="B118" s="4">
        <v>0</v>
      </c>
      <c r="C118" s="4">
        <v>0</v>
      </c>
      <c r="D118" s="4">
        <v>1</v>
      </c>
      <c r="E118" s="4">
        <v>216</v>
      </c>
      <c r="F118" s="4">
        <f>ROUND(Source!AP109,O118)</f>
        <v>0</v>
      </c>
      <c r="G118" s="4" t="s">
        <v>93</v>
      </c>
      <c r="H118" s="4" t="s">
        <v>94</v>
      </c>
      <c r="I118" s="4"/>
      <c r="J118" s="4"/>
      <c r="K118" s="4">
        <v>216</v>
      </c>
      <c r="L118" s="4">
        <v>8</v>
      </c>
      <c r="M118" s="4">
        <v>3</v>
      </c>
      <c r="N118" s="4" t="s">
        <v>4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5">
      <c r="A119" s="4">
        <v>50</v>
      </c>
      <c r="B119" s="4">
        <v>0</v>
      </c>
      <c r="C119" s="4">
        <v>0</v>
      </c>
      <c r="D119" s="4">
        <v>1</v>
      </c>
      <c r="E119" s="4">
        <v>223</v>
      </c>
      <c r="F119" s="4">
        <f>ROUND(Source!AQ109,O119)</f>
        <v>0</v>
      </c>
      <c r="G119" s="4" t="s">
        <v>95</v>
      </c>
      <c r="H119" s="4" t="s">
        <v>96</v>
      </c>
      <c r="I119" s="4"/>
      <c r="J119" s="4"/>
      <c r="K119" s="4">
        <v>223</v>
      </c>
      <c r="L119" s="4">
        <v>9</v>
      </c>
      <c r="M119" s="4">
        <v>3</v>
      </c>
      <c r="N119" s="4" t="s">
        <v>4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5">
      <c r="A120" s="4">
        <v>50</v>
      </c>
      <c r="B120" s="4">
        <v>0</v>
      </c>
      <c r="C120" s="4">
        <v>0</v>
      </c>
      <c r="D120" s="4">
        <v>1</v>
      </c>
      <c r="E120" s="4">
        <v>229</v>
      </c>
      <c r="F120" s="4">
        <f>ROUND(Source!AZ109,O120)</f>
        <v>0</v>
      </c>
      <c r="G120" s="4" t="s">
        <v>97</v>
      </c>
      <c r="H120" s="4" t="s">
        <v>98</v>
      </c>
      <c r="I120" s="4"/>
      <c r="J120" s="4"/>
      <c r="K120" s="4">
        <v>229</v>
      </c>
      <c r="L120" s="4">
        <v>10</v>
      </c>
      <c r="M120" s="4">
        <v>3</v>
      </c>
      <c r="N120" s="4" t="s">
        <v>4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>
        <v>50</v>
      </c>
      <c r="B121" s="4">
        <v>0</v>
      </c>
      <c r="C121" s="4">
        <v>0</v>
      </c>
      <c r="D121" s="4">
        <v>1</v>
      </c>
      <c r="E121" s="4">
        <v>203</v>
      </c>
      <c r="F121" s="4">
        <f>ROUND(Source!Q109,O121)</f>
        <v>73170.289999999994</v>
      </c>
      <c r="G121" s="4" t="s">
        <v>99</v>
      </c>
      <c r="H121" s="4" t="s">
        <v>100</v>
      </c>
      <c r="I121" s="4"/>
      <c r="J121" s="4"/>
      <c r="K121" s="4">
        <v>203</v>
      </c>
      <c r="L121" s="4">
        <v>11</v>
      </c>
      <c r="M121" s="4">
        <v>3</v>
      </c>
      <c r="N121" s="4" t="s">
        <v>4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>
        <v>50</v>
      </c>
      <c r="B122" s="4">
        <v>0</v>
      </c>
      <c r="C122" s="4">
        <v>0</v>
      </c>
      <c r="D122" s="4">
        <v>1</v>
      </c>
      <c r="E122" s="4">
        <v>231</v>
      </c>
      <c r="F122" s="4">
        <f>ROUND(Source!BB109,O122)</f>
        <v>0</v>
      </c>
      <c r="G122" s="4" t="s">
        <v>101</v>
      </c>
      <c r="H122" s="4" t="s">
        <v>102</v>
      </c>
      <c r="I122" s="4"/>
      <c r="J122" s="4"/>
      <c r="K122" s="4">
        <v>231</v>
      </c>
      <c r="L122" s="4">
        <v>12</v>
      </c>
      <c r="M122" s="4">
        <v>3</v>
      </c>
      <c r="N122" s="4" t="s">
        <v>4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>
        <v>50</v>
      </c>
      <c r="B123" s="4">
        <v>0</v>
      </c>
      <c r="C123" s="4">
        <v>0</v>
      </c>
      <c r="D123" s="4">
        <v>1</v>
      </c>
      <c r="E123" s="4">
        <v>204</v>
      </c>
      <c r="F123" s="4">
        <f>ROUND(Source!R109,O123)</f>
        <v>46136.65</v>
      </c>
      <c r="G123" s="4" t="s">
        <v>103</v>
      </c>
      <c r="H123" s="4" t="s">
        <v>104</v>
      </c>
      <c r="I123" s="4"/>
      <c r="J123" s="4"/>
      <c r="K123" s="4">
        <v>204</v>
      </c>
      <c r="L123" s="4">
        <v>13</v>
      </c>
      <c r="M123" s="4">
        <v>3</v>
      </c>
      <c r="N123" s="4" t="s">
        <v>4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4">
        <v>50</v>
      </c>
      <c r="B124" s="4">
        <v>0</v>
      </c>
      <c r="C124" s="4">
        <v>0</v>
      </c>
      <c r="D124" s="4">
        <v>1</v>
      </c>
      <c r="E124" s="4">
        <v>205</v>
      </c>
      <c r="F124" s="4">
        <f>ROUND(Source!S109,O124)</f>
        <v>129788.75</v>
      </c>
      <c r="G124" s="4" t="s">
        <v>105</v>
      </c>
      <c r="H124" s="4" t="s">
        <v>106</v>
      </c>
      <c r="I124" s="4"/>
      <c r="J124" s="4"/>
      <c r="K124" s="4">
        <v>205</v>
      </c>
      <c r="L124" s="4">
        <v>14</v>
      </c>
      <c r="M124" s="4">
        <v>3</v>
      </c>
      <c r="N124" s="4" t="s">
        <v>4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>
        <v>50</v>
      </c>
      <c r="B125" s="4">
        <v>0</v>
      </c>
      <c r="C125" s="4">
        <v>0</v>
      </c>
      <c r="D125" s="4">
        <v>1</v>
      </c>
      <c r="E125" s="4">
        <v>232</v>
      </c>
      <c r="F125" s="4">
        <f>ROUND(Source!BC109,O125)</f>
        <v>0</v>
      </c>
      <c r="G125" s="4" t="s">
        <v>107</v>
      </c>
      <c r="H125" s="4" t="s">
        <v>108</v>
      </c>
      <c r="I125" s="4"/>
      <c r="J125" s="4"/>
      <c r="K125" s="4">
        <v>232</v>
      </c>
      <c r="L125" s="4">
        <v>15</v>
      </c>
      <c r="M125" s="4">
        <v>3</v>
      </c>
      <c r="N125" s="4" t="s">
        <v>4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>
        <v>50</v>
      </c>
      <c r="B126" s="4">
        <v>0</v>
      </c>
      <c r="C126" s="4">
        <v>0</v>
      </c>
      <c r="D126" s="4">
        <v>1</v>
      </c>
      <c r="E126" s="4">
        <v>214</v>
      </c>
      <c r="F126" s="4">
        <f>ROUND(Source!AS109,O126)</f>
        <v>4151.01</v>
      </c>
      <c r="G126" s="4" t="s">
        <v>109</v>
      </c>
      <c r="H126" s="4" t="s">
        <v>110</v>
      </c>
      <c r="I126" s="4"/>
      <c r="J126" s="4"/>
      <c r="K126" s="4">
        <v>214</v>
      </c>
      <c r="L126" s="4">
        <v>16</v>
      </c>
      <c r="M126" s="4">
        <v>3</v>
      </c>
      <c r="N126" s="4" t="s">
        <v>4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5">
      <c r="A127" s="4">
        <v>50</v>
      </c>
      <c r="B127" s="4">
        <v>0</v>
      </c>
      <c r="C127" s="4">
        <v>0</v>
      </c>
      <c r="D127" s="4">
        <v>1</v>
      </c>
      <c r="E127" s="4">
        <v>215</v>
      </c>
      <c r="F127" s="4">
        <f>ROUND(Source!AT109,O127)</f>
        <v>0</v>
      </c>
      <c r="G127" s="4" t="s">
        <v>111</v>
      </c>
      <c r="H127" s="4" t="s">
        <v>112</v>
      </c>
      <c r="I127" s="4"/>
      <c r="J127" s="4"/>
      <c r="K127" s="4">
        <v>215</v>
      </c>
      <c r="L127" s="4">
        <v>17</v>
      </c>
      <c r="M127" s="4">
        <v>3</v>
      </c>
      <c r="N127" s="4" t="s">
        <v>4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25">
      <c r="A128" s="4">
        <v>50</v>
      </c>
      <c r="B128" s="4">
        <v>0</v>
      </c>
      <c r="C128" s="4">
        <v>0</v>
      </c>
      <c r="D128" s="4">
        <v>1</v>
      </c>
      <c r="E128" s="4">
        <v>217</v>
      </c>
      <c r="F128" s="4">
        <f>ROUND(Source!AU109,O128)</f>
        <v>495811.93</v>
      </c>
      <c r="G128" s="4" t="s">
        <v>113</v>
      </c>
      <c r="H128" s="4" t="s">
        <v>114</v>
      </c>
      <c r="I128" s="4"/>
      <c r="J128" s="4"/>
      <c r="K128" s="4">
        <v>217</v>
      </c>
      <c r="L128" s="4">
        <v>18</v>
      </c>
      <c r="M128" s="4">
        <v>3</v>
      </c>
      <c r="N128" s="4" t="s">
        <v>4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3" x14ac:dyDescent="0.25">
      <c r="A129" s="4">
        <v>50</v>
      </c>
      <c r="B129" s="4">
        <v>0</v>
      </c>
      <c r="C129" s="4">
        <v>0</v>
      </c>
      <c r="D129" s="4">
        <v>1</v>
      </c>
      <c r="E129" s="4">
        <v>230</v>
      </c>
      <c r="F129" s="4">
        <f>ROUND(Source!BA109,O129)</f>
        <v>0</v>
      </c>
      <c r="G129" s="4" t="s">
        <v>115</v>
      </c>
      <c r="H129" s="4" t="s">
        <v>116</v>
      </c>
      <c r="I129" s="4"/>
      <c r="J129" s="4"/>
      <c r="K129" s="4">
        <v>230</v>
      </c>
      <c r="L129" s="4">
        <v>19</v>
      </c>
      <c r="M129" s="4">
        <v>3</v>
      </c>
      <c r="N129" s="4" t="s">
        <v>4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5">
      <c r="A130" s="4">
        <v>50</v>
      </c>
      <c r="B130" s="4">
        <v>0</v>
      </c>
      <c r="C130" s="4">
        <v>0</v>
      </c>
      <c r="D130" s="4">
        <v>1</v>
      </c>
      <c r="E130" s="4">
        <v>206</v>
      </c>
      <c r="F130" s="4">
        <f>ROUND(Source!T109,O130)</f>
        <v>0</v>
      </c>
      <c r="G130" s="4" t="s">
        <v>117</v>
      </c>
      <c r="H130" s="4" t="s">
        <v>118</v>
      </c>
      <c r="I130" s="4"/>
      <c r="J130" s="4"/>
      <c r="K130" s="4">
        <v>206</v>
      </c>
      <c r="L130" s="4">
        <v>20</v>
      </c>
      <c r="M130" s="4">
        <v>3</v>
      </c>
      <c r="N130" s="4" t="s">
        <v>4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5">
      <c r="A131" s="4">
        <v>50</v>
      </c>
      <c r="B131" s="4">
        <v>0</v>
      </c>
      <c r="C131" s="4">
        <v>0</v>
      </c>
      <c r="D131" s="4">
        <v>1</v>
      </c>
      <c r="E131" s="4">
        <v>207</v>
      </c>
      <c r="F131" s="4">
        <f>Source!U109</f>
        <v>495.12308080000003</v>
      </c>
      <c r="G131" s="4" t="s">
        <v>119</v>
      </c>
      <c r="H131" s="4" t="s">
        <v>120</v>
      </c>
      <c r="I131" s="4"/>
      <c r="J131" s="4"/>
      <c r="K131" s="4">
        <v>207</v>
      </c>
      <c r="L131" s="4">
        <v>21</v>
      </c>
      <c r="M131" s="4">
        <v>3</v>
      </c>
      <c r="N131" s="4" t="s">
        <v>4</v>
      </c>
      <c r="O131" s="4">
        <v>-1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5">
      <c r="A132" s="4">
        <v>50</v>
      </c>
      <c r="B132" s="4">
        <v>0</v>
      </c>
      <c r="C132" s="4">
        <v>0</v>
      </c>
      <c r="D132" s="4">
        <v>1</v>
      </c>
      <c r="E132" s="4">
        <v>208</v>
      </c>
      <c r="F132" s="4">
        <f>Source!V109</f>
        <v>0</v>
      </c>
      <c r="G132" s="4" t="s">
        <v>121</v>
      </c>
      <c r="H132" s="4" t="s">
        <v>122</v>
      </c>
      <c r="I132" s="4"/>
      <c r="J132" s="4"/>
      <c r="K132" s="4">
        <v>208</v>
      </c>
      <c r="L132" s="4">
        <v>22</v>
      </c>
      <c r="M132" s="4">
        <v>3</v>
      </c>
      <c r="N132" s="4" t="s">
        <v>4</v>
      </c>
      <c r="O132" s="4">
        <v>-1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5">
      <c r="A133" s="4">
        <v>50</v>
      </c>
      <c r="B133" s="4">
        <v>0</v>
      </c>
      <c r="C133" s="4">
        <v>0</v>
      </c>
      <c r="D133" s="4">
        <v>1</v>
      </c>
      <c r="E133" s="4">
        <v>209</v>
      </c>
      <c r="F133" s="4">
        <f>ROUND(Source!W109,O133)</f>
        <v>0</v>
      </c>
      <c r="G133" s="4" t="s">
        <v>123</v>
      </c>
      <c r="H133" s="4" t="s">
        <v>124</v>
      </c>
      <c r="I133" s="4"/>
      <c r="J133" s="4"/>
      <c r="K133" s="4">
        <v>209</v>
      </c>
      <c r="L133" s="4">
        <v>23</v>
      </c>
      <c r="M133" s="4">
        <v>3</v>
      </c>
      <c r="N133" s="4" t="s">
        <v>4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5">
      <c r="A134" s="4">
        <v>50</v>
      </c>
      <c r="B134" s="4">
        <v>0</v>
      </c>
      <c r="C134" s="4">
        <v>0</v>
      </c>
      <c r="D134" s="4">
        <v>1</v>
      </c>
      <c r="E134" s="4">
        <v>233</v>
      </c>
      <c r="F134" s="4">
        <f>ROUND(Source!BD109,O134)</f>
        <v>0</v>
      </c>
      <c r="G134" s="4" t="s">
        <v>125</v>
      </c>
      <c r="H134" s="4" t="s">
        <v>126</v>
      </c>
      <c r="I134" s="4"/>
      <c r="J134" s="4"/>
      <c r="K134" s="4">
        <v>233</v>
      </c>
      <c r="L134" s="4">
        <v>24</v>
      </c>
      <c r="M134" s="4">
        <v>3</v>
      </c>
      <c r="N134" s="4" t="s">
        <v>4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5">
      <c r="A135" s="4">
        <v>50</v>
      </c>
      <c r="B135" s="4">
        <v>0</v>
      </c>
      <c r="C135" s="4">
        <v>0</v>
      </c>
      <c r="D135" s="4">
        <v>1</v>
      </c>
      <c r="E135" s="4">
        <v>210</v>
      </c>
      <c r="F135" s="4">
        <f>ROUND(Source!X109,O135)</f>
        <v>90852.13</v>
      </c>
      <c r="G135" s="4" t="s">
        <v>127</v>
      </c>
      <c r="H135" s="4" t="s">
        <v>128</v>
      </c>
      <c r="I135" s="4"/>
      <c r="J135" s="4"/>
      <c r="K135" s="4">
        <v>210</v>
      </c>
      <c r="L135" s="4">
        <v>25</v>
      </c>
      <c r="M135" s="4">
        <v>3</v>
      </c>
      <c r="N135" s="4" t="s">
        <v>4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5">
      <c r="A136" s="4">
        <v>50</v>
      </c>
      <c r="B136" s="4">
        <v>0</v>
      </c>
      <c r="C136" s="4">
        <v>0</v>
      </c>
      <c r="D136" s="4">
        <v>1</v>
      </c>
      <c r="E136" s="4">
        <v>211</v>
      </c>
      <c r="F136" s="4">
        <f>ROUND(Source!Y109,O136)</f>
        <v>12978.88</v>
      </c>
      <c r="G136" s="4" t="s">
        <v>129</v>
      </c>
      <c r="H136" s="4" t="s">
        <v>130</v>
      </c>
      <c r="I136" s="4"/>
      <c r="J136" s="4"/>
      <c r="K136" s="4">
        <v>211</v>
      </c>
      <c r="L136" s="4">
        <v>26</v>
      </c>
      <c r="M136" s="4">
        <v>3</v>
      </c>
      <c r="N136" s="4" t="s">
        <v>4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5">
      <c r="A137" s="4">
        <v>50</v>
      </c>
      <c r="B137" s="4">
        <v>0</v>
      </c>
      <c r="C137" s="4">
        <v>0</v>
      </c>
      <c r="D137" s="4">
        <v>1</v>
      </c>
      <c r="E137" s="4">
        <v>224</v>
      </c>
      <c r="F137" s="4">
        <f>ROUND(Source!AR109,O137)</f>
        <v>499962.94</v>
      </c>
      <c r="G137" s="4" t="s">
        <v>131</v>
      </c>
      <c r="H137" s="4" t="s">
        <v>132</v>
      </c>
      <c r="I137" s="4"/>
      <c r="J137" s="4"/>
      <c r="K137" s="4">
        <v>224</v>
      </c>
      <c r="L137" s="4">
        <v>27</v>
      </c>
      <c r="M137" s="4">
        <v>3</v>
      </c>
      <c r="N137" s="4" t="s">
        <v>4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5">
      <c r="A138" s="4">
        <v>50</v>
      </c>
      <c r="B138" s="4">
        <v>1</v>
      </c>
      <c r="C138" s="4">
        <v>0</v>
      </c>
      <c r="D138" s="4">
        <v>2</v>
      </c>
      <c r="E138" s="4">
        <v>0</v>
      </c>
      <c r="F138" s="4">
        <f>ROUND(F137*0.2,O138)</f>
        <v>99992.59</v>
      </c>
      <c r="G138" s="4" t="s">
        <v>134</v>
      </c>
      <c r="H138" s="4" t="s">
        <v>137</v>
      </c>
      <c r="I138" s="4"/>
      <c r="J138" s="4"/>
      <c r="K138" s="4">
        <v>212</v>
      </c>
      <c r="L138" s="4">
        <v>28</v>
      </c>
      <c r="M138" s="4">
        <v>0</v>
      </c>
      <c r="N138" s="4" t="s">
        <v>4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5">
      <c r="A139" s="4">
        <v>50</v>
      </c>
      <c r="B139" s="4">
        <v>1</v>
      </c>
      <c r="C139" s="4">
        <v>0</v>
      </c>
      <c r="D139" s="4">
        <v>2</v>
      </c>
      <c r="E139" s="4">
        <v>213</v>
      </c>
      <c r="F139" s="4">
        <f>F137+F138</f>
        <v>599955.53</v>
      </c>
      <c r="G139" s="4" t="s">
        <v>136</v>
      </c>
      <c r="H139" s="4" t="s">
        <v>136</v>
      </c>
      <c r="I139" s="4"/>
      <c r="J139" s="4"/>
      <c r="K139" s="4">
        <v>212</v>
      </c>
      <c r="L139" s="4">
        <v>29</v>
      </c>
      <c r="M139" s="4">
        <v>0</v>
      </c>
      <c r="N139" s="4" t="s">
        <v>4</v>
      </c>
      <c r="O139" s="4">
        <v>-1</v>
      </c>
      <c r="P139" s="4"/>
      <c r="Q139" s="4"/>
      <c r="R139" s="4"/>
      <c r="S139" s="4"/>
      <c r="T139" s="4"/>
      <c r="U139" s="4"/>
      <c r="V139" s="4"/>
      <c r="W139" s="4"/>
    </row>
    <row r="142" spans="1:23" x14ac:dyDescent="0.25">
      <c r="A142">
        <v>-1</v>
      </c>
    </row>
    <row r="144" spans="1:23" x14ac:dyDescent="0.25">
      <c r="A144" s="3">
        <v>75</v>
      </c>
      <c r="B144" s="3" t="s">
        <v>138</v>
      </c>
      <c r="C144" s="3">
        <v>2020</v>
      </c>
      <c r="D144" s="3">
        <v>0</v>
      </c>
      <c r="E144" s="3">
        <v>10</v>
      </c>
      <c r="F144" s="3">
        <v>0</v>
      </c>
      <c r="G144" s="3">
        <v>0</v>
      </c>
      <c r="H144" s="3">
        <v>1</v>
      </c>
      <c r="I144" s="3">
        <v>0</v>
      </c>
      <c r="J144" s="3">
        <v>1</v>
      </c>
      <c r="K144" s="3">
        <v>78</v>
      </c>
      <c r="L144" s="3">
        <v>30</v>
      </c>
      <c r="M144" s="3">
        <v>0</v>
      </c>
      <c r="N144" s="3">
        <v>51820365</v>
      </c>
      <c r="O144" s="3">
        <v>1</v>
      </c>
    </row>
    <row r="148" spans="1:5" x14ac:dyDescent="0.25">
      <c r="A148">
        <v>65</v>
      </c>
      <c r="C148">
        <v>1</v>
      </c>
      <c r="D148">
        <v>0</v>
      </c>
      <c r="E148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3"/>
  <sheetViews>
    <sheetView workbookViewId="0"/>
  </sheetViews>
  <sheetFormatPr defaultColWidth="9.109375" defaultRowHeight="13.2" x14ac:dyDescent="0.25"/>
  <cols>
    <col min="1" max="256" width="9.109375" customWidth="1"/>
  </cols>
  <sheetData>
    <row r="1" spans="1:133" x14ac:dyDescent="0.25">
      <c r="A1">
        <v>0</v>
      </c>
      <c r="B1" t="s">
        <v>0</v>
      </c>
      <c r="D1" t="s">
        <v>139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37572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5">
      <c r="A12" s="1">
        <v>1</v>
      </c>
      <c r="B12" s="1">
        <v>53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4</v>
      </c>
      <c r="I12" s="1">
        <v>0</v>
      </c>
      <c r="J12" s="1" t="s">
        <v>4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4</v>
      </c>
      <c r="V12" s="1">
        <v>0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/>
      <c r="AL12" s="1" t="s">
        <v>4</v>
      </c>
      <c r="AM12" s="1" t="s">
        <v>4</v>
      </c>
      <c r="AN12" s="1" t="s">
        <v>4</v>
      </c>
      <c r="AO12" s="1"/>
      <c r="AP12" s="1" t="s">
        <v>4</v>
      </c>
      <c r="AQ12" s="1" t="s">
        <v>4</v>
      </c>
      <c r="AR12" s="1" t="s">
        <v>4</v>
      </c>
      <c r="AS12" s="1"/>
      <c r="AT12" s="1"/>
      <c r="AU12" s="1"/>
      <c r="AV12" s="1"/>
      <c r="AW12" s="1"/>
      <c r="AX12" s="1" t="s">
        <v>4</v>
      </c>
      <c r="AY12" s="1" t="s">
        <v>4</v>
      </c>
      <c r="AZ12" s="1" t="s">
        <v>4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4</v>
      </c>
      <c r="CJ12" s="1" t="s">
        <v>4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5">
      <c r="A14" s="1">
        <v>22</v>
      </c>
      <c r="B14" s="1">
        <v>0</v>
      </c>
      <c r="C14" s="1">
        <v>0</v>
      </c>
      <c r="D14" s="1">
        <v>51820365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5">
      <c r="A16" s="5">
        <v>3</v>
      </c>
      <c r="B16" s="5">
        <v>1</v>
      </c>
      <c r="C16" s="5" t="s">
        <v>12</v>
      </c>
      <c r="D16" s="5" t="s">
        <v>12</v>
      </c>
      <c r="E16" s="6">
        <f>(Source!F94)/1000</f>
        <v>4.1510100000000003</v>
      </c>
      <c r="F16" s="6">
        <f>(Source!F95)/1000</f>
        <v>0</v>
      </c>
      <c r="G16" s="6">
        <f>(Source!F86)/1000</f>
        <v>0</v>
      </c>
      <c r="H16" s="6">
        <f>(Source!F96)/1000+(Source!F97)/1000</f>
        <v>495.81193000000002</v>
      </c>
      <c r="I16" s="6">
        <f>E16+F16+G16+H16</f>
        <v>499.96294</v>
      </c>
      <c r="J16" s="6">
        <f>(Source!F92)/1000</f>
        <v>129.78874999999999</v>
      </c>
      <c r="AI16" s="5">
        <v>0</v>
      </c>
      <c r="AJ16" s="5">
        <v>0</v>
      </c>
      <c r="AK16" s="5" t="s">
        <v>4</v>
      </c>
      <c r="AL16" s="5" t="s">
        <v>4</v>
      </c>
      <c r="AM16" s="5" t="s">
        <v>4</v>
      </c>
      <c r="AN16" s="5">
        <v>0</v>
      </c>
      <c r="AO16" s="5" t="s">
        <v>4</v>
      </c>
      <c r="AP16" s="5" t="s">
        <v>4</v>
      </c>
      <c r="AT16" s="6">
        <v>346304.35</v>
      </c>
      <c r="AU16" s="6">
        <v>143345.31</v>
      </c>
      <c r="AV16" s="6">
        <v>0</v>
      </c>
      <c r="AW16" s="6">
        <v>0</v>
      </c>
      <c r="AX16" s="6">
        <v>0</v>
      </c>
      <c r="AY16" s="6">
        <v>73170.289999999994</v>
      </c>
      <c r="AZ16" s="6">
        <v>46136.65</v>
      </c>
      <c r="BA16" s="6">
        <v>129788.75</v>
      </c>
      <c r="BB16" s="6">
        <v>4151.01</v>
      </c>
      <c r="BC16" s="6">
        <v>0</v>
      </c>
      <c r="BD16" s="6">
        <v>495811.93</v>
      </c>
      <c r="BE16" s="6">
        <v>0</v>
      </c>
      <c r="BF16" s="6">
        <v>495.12308080000003</v>
      </c>
      <c r="BG16" s="6">
        <v>0</v>
      </c>
      <c r="BH16" s="6">
        <v>0</v>
      </c>
      <c r="BI16" s="6">
        <v>90852.13</v>
      </c>
      <c r="BJ16" s="6">
        <v>12978.88</v>
      </c>
      <c r="BK16" s="6">
        <v>499962.94</v>
      </c>
    </row>
    <row r="18" spans="1:19" x14ac:dyDescent="0.25">
      <c r="A18">
        <v>51</v>
      </c>
      <c r="E18" s="7">
        <f>SUMIF(A16:A17,3,E16:E17)</f>
        <v>4.1510100000000003</v>
      </c>
      <c r="F18" s="7">
        <f>SUMIF(A16:A17,3,F16:F17)</f>
        <v>0</v>
      </c>
      <c r="G18" s="7">
        <f>SUMIF(A16:A17,3,G16:G17)</f>
        <v>0</v>
      </c>
      <c r="H18" s="7">
        <f>SUMIF(A16:A17,3,H16:H17)</f>
        <v>495.81193000000002</v>
      </c>
      <c r="I18" s="7">
        <f>SUMIF(A16:A17,3,I16:I17)</f>
        <v>499.96294</v>
      </c>
      <c r="J18" s="7">
        <f>SUMIF(A16:A17,3,J16:J17)</f>
        <v>129.78874999999999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5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346304.35</v>
      </c>
      <c r="G20" s="4" t="s">
        <v>79</v>
      </c>
      <c r="H20" s="4" t="s">
        <v>80</v>
      </c>
      <c r="I20" s="4"/>
      <c r="J20" s="4"/>
      <c r="K20" s="4">
        <v>201</v>
      </c>
      <c r="L20" s="4">
        <v>1</v>
      </c>
      <c r="M20" s="4">
        <v>3</v>
      </c>
      <c r="N20" s="4" t="s">
        <v>4</v>
      </c>
      <c r="O20" s="4">
        <v>2</v>
      </c>
      <c r="P20" s="4"/>
    </row>
    <row r="21" spans="1:19" x14ac:dyDescent="0.25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143345.31</v>
      </c>
      <c r="G21" s="4" t="s">
        <v>81</v>
      </c>
      <c r="H21" s="4" t="s">
        <v>82</v>
      </c>
      <c r="I21" s="4"/>
      <c r="J21" s="4"/>
      <c r="K21" s="4">
        <v>202</v>
      </c>
      <c r="L21" s="4">
        <v>2</v>
      </c>
      <c r="M21" s="4">
        <v>3</v>
      </c>
      <c r="N21" s="4" t="s">
        <v>4</v>
      </c>
      <c r="O21" s="4">
        <v>2</v>
      </c>
      <c r="P21" s="4"/>
    </row>
    <row r="22" spans="1:19" x14ac:dyDescent="0.25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83</v>
      </c>
      <c r="H22" s="4" t="s">
        <v>84</v>
      </c>
      <c r="I22" s="4"/>
      <c r="J22" s="4"/>
      <c r="K22" s="4">
        <v>222</v>
      </c>
      <c r="L22" s="4">
        <v>3</v>
      </c>
      <c r="M22" s="4">
        <v>3</v>
      </c>
      <c r="N22" s="4" t="s">
        <v>4</v>
      </c>
      <c r="O22" s="4">
        <v>2</v>
      </c>
      <c r="P22" s="4"/>
    </row>
    <row r="23" spans="1:19" x14ac:dyDescent="0.25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143345.31</v>
      </c>
      <c r="G23" s="4" t="s">
        <v>85</v>
      </c>
      <c r="H23" s="4" t="s">
        <v>86</v>
      </c>
      <c r="I23" s="4"/>
      <c r="J23" s="4"/>
      <c r="K23" s="4">
        <v>225</v>
      </c>
      <c r="L23" s="4">
        <v>4</v>
      </c>
      <c r="M23" s="4">
        <v>3</v>
      </c>
      <c r="N23" s="4" t="s">
        <v>4</v>
      </c>
      <c r="O23" s="4">
        <v>2</v>
      </c>
      <c r="P23" s="4"/>
    </row>
    <row r="24" spans="1:19" x14ac:dyDescent="0.25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143345.31</v>
      </c>
      <c r="G24" s="4" t="s">
        <v>87</v>
      </c>
      <c r="H24" s="4" t="s">
        <v>88</v>
      </c>
      <c r="I24" s="4"/>
      <c r="J24" s="4"/>
      <c r="K24" s="4">
        <v>226</v>
      </c>
      <c r="L24" s="4">
        <v>5</v>
      </c>
      <c r="M24" s="4">
        <v>3</v>
      </c>
      <c r="N24" s="4" t="s">
        <v>4</v>
      </c>
      <c r="O24" s="4">
        <v>2</v>
      </c>
      <c r="P24" s="4"/>
    </row>
    <row r="25" spans="1:19" x14ac:dyDescent="0.25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89</v>
      </c>
      <c r="H25" s="4" t="s">
        <v>90</v>
      </c>
      <c r="I25" s="4"/>
      <c r="J25" s="4"/>
      <c r="K25" s="4">
        <v>227</v>
      </c>
      <c r="L25" s="4">
        <v>6</v>
      </c>
      <c r="M25" s="4">
        <v>3</v>
      </c>
      <c r="N25" s="4" t="s">
        <v>4</v>
      </c>
      <c r="O25" s="4">
        <v>2</v>
      </c>
      <c r="P25" s="4"/>
    </row>
    <row r="26" spans="1:19" x14ac:dyDescent="0.25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143345.31</v>
      </c>
      <c r="G26" s="4" t="s">
        <v>91</v>
      </c>
      <c r="H26" s="4" t="s">
        <v>92</v>
      </c>
      <c r="I26" s="4"/>
      <c r="J26" s="4"/>
      <c r="K26" s="4">
        <v>228</v>
      </c>
      <c r="L26" s="4">
        <v>7</v>
      </c>
      <c r="M26" s="4">
        <v>3</v>
      </c>
      <c r="N26" s="4" t="s">
        <v>4</v>
      </c>
      <c r="O26" s="4">
        <v>2</v>
      </c>
      <c r="P26" s="4"/>
    </row>
    <row r="27" spans="1:19" x14ac:dyDescent="0.25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93</v>
      </c>
      <c r="H27" s="4" t="s">
        <v>94</v>
      </c>
      <c r="I27" s="4"/>
      <c r="J27" s="4"/>
      <c r="K27" s="4">
        <v>216</v>
      </c>
      <c r="L27" s="4">
        <v>8</v>
      </c>
      <c r="M27" s="4">
        <v>3</v>
      </c>
      <c r="N27" s="4" t="s">
        <v>4</v>
      </c>
      <c r="O27" s="4">
        <v>2</v>
      </c>
      <c r="P27" s="4"/>
    </row>
    <row r="28" spans="1:19" x14ac:dyDescent="0.25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95</v>
      </c>
      <c r="H28" s="4" t="s">
        <v>96</v>
      </c>
      <c r="I28" s="4"/>
      <c r="J28" s="4"/>
      <c r="K28" s="4">
        <v>223</v>
      </c>
      <c r="L28" s="4">
        <v>9</v>
      </c>
      <c r="M28" s="4">
        <v>3</v>
      </c>
      <c r="N28" s="4" t="s">
        <v>4</v>
      </c>
      <c r="O28" s="4">
        <v>2</v>
      </c>
      <c r="P28" s="4"/>
    </row>
    <row r="29" spans="1:19" x14ac:dyDescent="0.25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97</v>
      </c>
      <c r="H29" s="4" t="s">
        <v>98</v>
      </c>
      <c r="I29" s="4"/>
      <c r="J29" s="4"/>
      <c r="K29" s="4">
        <v>229</v>
      </c>
      <c r="L29" s="4">
        <v>10</v>
      </c>
      <c r="M29" s="4">
        <v>3</v>
      </c>
      <c r="N29" s="4" t="s">
        <v>4</v>
      </c>
      <c r="O29" s="4">
        <v>2</v>
      </c>
      <c r="P29" s="4"/>
    </row>
    <row r="30" spans="1:19" x14ac:dyDescent="0.25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73170.289999999994</v>
      </c>
      <c r="G30" s="4" t="s">
        <v>99</v>
      </c>
      <c r="H30" s="4" t="s">
        <v>100</v>
      </c>
      <c r="I30" s="4"/>
      <c r="J30" s="4"/>
      <c r="K30" s="4">
        <v>203</v>
      </c>
      <c r="L30" s="4">
        <v>11</v>
      </c>
      <c r="M30" s="4">
        <v>3</v>
      </c>
      <c r="N30" s="4" t="s">
        <v>4</v>
      </c>
      <c r="O30" s="4">
        <v>2</v>
      </c>
      <c r="P30" s="4"/>
    </row>
    <row r="31" spans="1:19" x14ac:dyDescent="0.25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101</v>
      </c>
      <c r="H31" s="4" t="s">
        <v>102</v>
      </c>
      <c r="I31" s="4"/>
      <c r="J31" s="4"/>
      <c r="K31" s="4">
        <v>231</v>
      </c>
      <c r="L31" s="4">
        <v>12</v>
      </c>
      <c r="M31" s="4">
        <v>3</v>
      </c>
      <c r="N31" s="4" t="s">
        <v>4</v>
      </c>
      <c r="O31" s="4">
        <v>2</v>
      </c>
      <c r="P31" s="4"/>
    </row>
    <row r="32" spans="1:19" x14ac:dyDescent="0.25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46136.65</v>
      </c>
      <c r="G32" s="4" t="s">
        <v>103</v>
      </c>
      <c r="H32" s="4" t="s">
        <v>104</v>
      </c>
      <c r="I32" s="4"/>
      <c r="J32" s="4"/>
      <c r="K32" s="4">
        <v>204</v>
      </c>
      <c r="L32" s="4">
        <v>13</v>
      </c>
      <c r="M32" s="4">
        <v>3</v>
      </c>
      <c r="N32" s="4" t="s">
        <v>4</v>
      </c>
      <c r="O32" s="4">
        <v>2</v>
      </c>
      <c r="P32" s="4"/>
    </row>
    <row r="33" spans="1:16" x14ac:dyDescent="0.25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129788.75</v>
      </c>
      <c r="G33" s="4" t="s">
        <v>105</v>
      </c>
      <c r="H33" s="4" t="s">
        <v>106</v>
      </c>
      <c r="I33" s="4"/>
      <c r="J33" s="4"/>
      <c r="K33" s="4">
        <v>205</v>
      </c>
      <c r="L33" s="4">
        <v>14</v>
      </c>
      <c r="M33" s="4">
        <v>3</v>
      </c>
      <c r="N33" s="4" t="s">
        <v>4</v>
      </c>
      <c r="O33" s="4">
        <v>2</v>
      </c>
      <c r="P33" s="4"/>
    </row>
    <row r="34" spans="1:16" x14ac:dyDescent="0.25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107</v>
      </c>
      <c r="H34" s="4" t="s">
        <v>108</v>
      </c>
      <c r="I34" s="4"/>
      <c r="J34" s="4"/>
      <c r="K34" s="4">
        <v>232</v>
      </c>
      <c r="L34" s="4">
        <v>15</v>
      </c>
      <c r="M34" s="4">
        <v>3</v>
      </c>
      <c r="N34" s="4" t="s">
        <v>4</v>
      </c>
      <c r="O34" s="4">
        <v>2</v>
      </c>
      <c r="P34" s="4"/>
    </row>
    <row r="35" spans="1:16" x14ac:dyDescent="0.25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4151.01</v>
      </c>
      <c r="G35" s="4" t="s">
        <v>109</v>
      </c>
      <c r="H35" s="4" t="s">
        <v>110</v>
      </c>
      <c r="I35" s="4"/>
      <c r="J35" s="4"/>
      <c r="K35" s="4">
        <v>214</v>
      </c>
      <c r="L35" s="4">
        <v>16</v>
      </c>
      <c r="M35" s="4">
        <v>3</v>
      </c>
      <c r="N35" s="4" t="s">
        <v>4</v>
      </c>
      <c r="O35" s="4">
        <v>2</v>
      </c>
      <c r="P35" s="4"/>
    </row>
    <row r="36" spans="1:16" x14ac:dyDescent="0.25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111</v>
      </c>
      <c r="H36" s="4" t="s">
        <v>112</v>
      </c>
      <c r="I36" s="4"/>
      <c r="J36" s="4"/>
      <c r="K36" s="4">
        <v>215</v>
      </c>
      <c r="L36" s="4">
        <v>17</v>
      </c>
      <c r="M36" s="4">
        <v>3</v>
      </c>
      <c r="N36" s="4" t="s">
        <v>4</v>
      </c>
      <c r="O36" s="4">
        <v>2</v>
      </c>
      <c r="P36" s="4"/>
    </row>
    <row r="37" spans="1:16" x14ac:dyDescent="0.25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495811.93</v>
      </c>
      <c r="G37" s="4" t="s">
        <v>113</v>
      </c>
      <c r="H37" s="4" t="s">
        <v>114</v>
      </c>
      <c r="I37" s="4"/>
      <c r="J37" s="4"/>
      <c r="K37" s="4">
        <v>217</v>
      </c>
      <c r="L37" s="4">
        <v>18</v>
      </c>
      <c r="M37" s="4">
        <v>3</v>
      </c>
      <c r="N37" s="4" t="s">
        <v>4</v>
      </c>
      <c r="O37" s="4">
        <v>2</v>
      </c>
      <c r="P37" s="4"/>
    </row>
    <row r="38" spans="1:16" x14ac:dyDescent="0.25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115</v>
      </c>
      <c r="H38" s="4" t="s">
        <v>116</v>
      </c>
      <c r="I38" s="4"/>
      <c r="J38" s="4"/>
      <c r="K38" s="4">
        <v>230</v>
      </c>
      <c r="L38" s="4">
        <v>19</v>
      </c>
      <c r="M38" s="4">
        <v>3</v>
      </c>
      <c r="N38" s="4" t="s">
        <v>4</v>
      </c>
      <c r="O38" s="4">
        <v>2</v>
      </c>
      <c r="P38" s="4"/>
    </row>
    <row r="39" spans="1:16" x14ac:dyDescent="0.25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117</v>
      </c>
      <c r="H39" s="4" t="s">
        <v>118</v>
      </c>
      <c r="I39" s="4"/>
      <c r="J39" s="4"/>
      <c r="K39" s="4">
        <v>206</v>
      </c>
      <c r="L39" s="4">
        <v>20</v>
      </c>
      <c r="M39" s="4">
        <v>3</v>
      </c>
      <c r="N39" s="4" t="s">
        <v>4</v>
      </c>
      <c r="O39" s="4">
        <v>2</v>
      </c>
      <c r="P39" s="4"/>
    </row>
    <row r="40" spans="1:16" x14ac:dyDescent="0.25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495.12308080000003</v>
      </c>
      <c r="G40" s="4" t="s">
        <v>119</v>
      </c>
      <c r="H40" s="4" t="s">
        <v>120</v>
      </c>
      <c r="I40" s="4"/>
      <c r="J40" s="4"/>
      <c r="K40" s="4">
        <v>207</v>
      </c>
      <c r="L40" s="4">
        <v>21</v>
      </c>
      <c r="M40" s="4">
        <v>3</v>
      </c>
      <c r="N40" s="4" t="s">
        <v>4</v>
      </c>
      <c r="O40" s="4">
        <v>-1</v>
      </c>
      <c r="P40" s="4"/>
    </row>
    <row r="41" spans="1:16" x14ac:dyDescent="0.25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121</v>
      </c>
      <c r="H41" s="4" t="s">
        <v>122</v>
      </c>
      <c r="I41" s="4"/>
      <c r="J41" s="4"/>
      <c r="K41" s="4">
        <v>208</v>
      </c>
      <c r="L41" s="4">
        <v>22</v>
      </c>
      <c r="M41" s="4">
        <v>3</v>
      </c>
      <c r="N41" s="4" t="s">
        <v>4</v>
      </c>
      <c r="O41" s="4">
        <v>-1</v>
      </c>
      <c r="P41" s="4"/>
    </row>
    <row r="42" spans="1:16" x14ac:dyDescent="0.25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123</v>
      </c>
      <c r="H42" s="4" t="s">
        <v>124</v>
      </c>
      <c r="I42" s="4"/>
      <c r="J42" s="4"/>
      <c r="K42" s="4">
        <v>209</v>
      </c>
      <c r="L42" s="4">
        <v>23</v>
      </c>
      <c r="M42" s="4">
        <v>3</v>
      </c>
      <c r="N42" s="4" t="s">
        <v>4</v>
      </c>
      <c r="O42" s="4">
        <v>2</v>
      </c>
      <c r="P42" s="4"/>
    </row>
    <row r="43" spans="1:16" x14ac:dyDescent="0.25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125</v>
      </c>
      <c r="H43" s="4" t="s">
        <v>126</v>
      </c>
      <c r="I43" s="4"/>
      <c r="J43" s="4"/>
      <c r="K43" s="4">
        <v>233</v>
      </c>
      <c r="L43" s="4">
        <v>24</v>
      </c>
      <c r="M43" s="4">
        <v>3</v>
      </c>
      <c r="N43" s="4" t="s">
        <v>4</v>
      </c>
      <c r="O43" s="4">
        <v>2</v>
      </c>
      <c r="P43" s="4"/>
    </row>
    <row r="44" spans="1:16" x14ac:dyDescent="0.25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90852.13</v>
      </c>
      <c r="G44" s="4" t="s">
        <v>127</v>
      </c>
      <c r="H44" s="4" t="s">
        <v>128</v>
      </c>
      <c r="I44" s="4"/>
      <c r="J44" s="4"/>
      <c r="K44" s="4">
        <v>210</v>
      </c>
      <c r="L44" s="4">
        <v>25</v>
      </c>
      <c r="M44" s="4">
        <v>3</v>
      </c>
      <c r="N44" s="4" t="s">
        <v>4</v>
      </c>
      <c r="O44" s="4">
        <v>2</v>
      </c>
      <c r="P44" s="4"/>
    </row>
    <row r="45" spans="1:16" x14ac:dyDescent="0.25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12978.88</v>
      </c>
      <c r="G45" s="4" t="s">
        <v>129</v>
      </c>
      <c r="H45" s="4" t="s">
        <v>130</v>
      </c>
      <c r="I45" s="4"/>
      <c r="J45" s="4"/>
      <c r="K45" s="4">
        <v>211</v>
      </c>
      <c r="L45" s="4">
        <v>26</v>
      </c>
      <c r="M45" s="4">
        <v>3</v>
      </c>
      <c r="N45" s="4" t="s">
        <v>4</v>
      </c>
      <c r="O45" s="4">
        <v>2</v>
      </c>
      <c r="P45" s="4"/>
    </row>
    <row r="46" spans="1:16" x14ac:dyDescent="0.25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499962.94</v>
      </c>
      <c r="G46" s="4" t="s">
        <v>131</v>
      </c>
      <c r="H46" s="4" t="s">
        <v>132</v>
      </c>
      <c r="I46" s="4"/>
      <c r="J46" s="4"/>
      <c r="K46" s="4">
        <v>224</v>
      </c>
      <c r="L46" s="4">
        <v>27</v>
      </c>
      <c r="M46" s="4">
        <v>3</v>
      </c>
      <c r="N46" s="4" t="s">
        <v>4</v>
      </c>
      <c r="O46" s="4">
        <v>2</v>
      </c>
      <c r="P46" s="4"/>
    </row>
    <row r="47" spans="1:16" x14ac:dyDescent="0.25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99992.59</v>
      </c>
      <c r="G47" s="4" t="s">
        <v>134</v>
      </c>
      <c r="H47" s="4" t="s">
        <v>137</v>
      </c>
      <c r="I47" s="4"/>
      <c r="J47" s="4"/>
      <c r="K47" s="4">
        <v>212</v>
      </c>
      <c r="L47" s="4">
        <v>28</v>
      </c>
      <c r="M47" s="4">
        <v>0</v>
      </c>
      <c r="N47" s="4" t="s">
        <v>4</v>
      </c>
      <c r="O47" s="4">
        <v>2</v>
      </c>
      <c r="P47" s="4"/>
    </row>
    <row r="48" spans="1:16" x14ac:dyDescent="0.25">
      <c r="A48" s="4">
        <v>50</v>
      </c>
      <c r="B48" s="4">
        <v>1</v>
      </c>
      <c r="C48" s="4">
        <v>0</v>
      </c>
      <c r="D48" s="4">
        <v>2</v>
      </c>
      <c r="E48" s="4">
        <v>213</v>
      </c>
      <c r="F48" s="4">
        <v>599955.53</v>
      </c>
      <c r="G48" s="4" t="s">
        <v>136</v>
      </c>
      <c r="H48" s="4" t="s">
        <v>136</v>
      </c>
      <c r="I48" s="4"/>
      <c r="J48" s="4"/>
      <c r="K48" s="4">
        <v>212</v>
      </c>
      <c r="L48" s="4">
        <v>29</v>
      </c>
      <c r="M48" s="4">
        <v>0</v>
      </c>
      <c r="N48" s="4" t="s">
        <v>4</v>
      </c>
      <c r="O48" s="4">
        <v>-1</v>
      </c>
      <c r="P48" s="4"/>
    </row>
    <row r="50" spans="1:15" x14ac:dyDescent="0.25">
      <c r="A50">
        <v>-1</v>
      </c>
    </row>
    <row r="53" spans="1:15" x14ac:dyDescent="0.25">
      <c r="A53" s="3">
        <v>75</v>
      </c>
      <c r="B53" s="3" t="s">
        <v>138</v>
      </c>
      <c r="C53" s="3">
        <v>2020</v>
      </c>
      <c r="D53" s="3">
        <v>0</v>
      </c>
      <c r="E53" s="3">
        <v>10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78</v>
      </c>
      <c r="L53" s="3">
        <v>30</v>
      </c>
      <c r="M53" s="3">
        <v>0</v>
      </c>
      <c r="N53" s="3">
        <v>51820365</v>
      </c>
      <c r="O53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6"/>
  <sheetViews>
    <sheetView workbookViewId="0"/>
  </sheetViews>
  <sheetFormatPr defaultColWidth="9.109375" defaultRowHeight="13.2" x14ac:dyDescent="0.25"/>
  <cols>
    <col min="1" max="256" width="9.109375" customWidth="1"/>
  </cols>
  <sheetData>
    <row r="1" spans="1:107" x14ac:dyDescent="0.25">
      <c r="A1">
        <f>ROW(Source!A28)</f>
        <v>28</v>
      </c>
      <c r="B1">
        <v>51820365</v>
      </c>
      <c r="C1">
        <v>51820484</v>
      </c>
      <c r="D1">
        <v>49558562</v>
      </c>
      <c r="E1">
        <v>27</v>
      </c>
      <c r="F1">
        <v>1</v>
      </c>
      <c r="G1">
        <v>27</v>
      </c>
      <c r="H1">
        <v>1</v>
      </c>
      <c r="I1" t="s">
        <v>140</v>
      </c>
      <c r="J1" t="s">
        <v>4</v>
      </c>
      <c r="K1" t="s">
        <v>141</v>
      </c>
      <c r="L1">
        <v>1191</v>
      </c>
      <c r="N1">
        <v>1013</v>
      </c>
      <c r="O1" t="s">
        <v>142</v>
      </c>
      <c r="P1" t="s">
        <v>142</v>
      </c>
      <c r="Q1">
        <v>1</v>
      </c>
      <c r="W1">
        <v>0</v>
      </c>
      <c r="X1">
        <v>476480486</v>
      </c>
      <c r="Y1">
        <v>2.38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4</v>
      </c>
      <c r="AT1">
        <v>2.38</v>
      </c>
      <c r="AU1" t="s">
        <v>4</v>
      </c>
      <c r="AV1">
        <v>1</v>
      </c>
      <c r="AW1">
        <v>2</v>
      </c>
      <c r="AX1">
        <v>51820501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52.36</v>
      </c>
      <c r="CY1">
        <f>AD1</f>
        <v>0</v>
      </c>
      <c r="CZ1">
        <f>AH1</f>
        <v>0</v>
      </c>
      <c r="DA1">
        <f>AL1</f>
        <v>1</v>
      </c>
      <c r="DB1">
        <f t="shared" ref="DB1:DB32" si="0">ROUND(ROUND(AT1*CZ1,2),6)</f>
        <v>0</v>
      </c>
      <c r="DC1">
        <f t="shared" ref="DC1:DC32" si="1">ROUND(ROUND(AT1*AG1,2),6)</f>
        <v>0</v>
      </c>
    </row>
    <row r="2" spans="1:107" x14ac:dyDescent="0.25">
      <c r="A2">
        <f>ROW(Source!A28)</f>
        <v>28</v>
      </c>
      <c r="B2">
        <v>51820365</v>
      </c>
      <c r="C2">
        <v>51820484</v>
      </c>
      <c r="D2">
        <v>49571188</v>
      </c>
      <c r="E2">
        <v>1</v>
      </c>
      <c r="F2">
        <v>1</v>
      </c>
      <c r="G2">
        <v>27</v>
      </c>
      <c r="H2">
        <v>2</v>
      </c>
      <c r="I2" t="s">
        <v>143</v>
      </c>
      <c r="J2" t="s">
        <v>144</v>
      </c>
      <c r="K2" t="s">
        <v>145</v>
      </c>
      <c r="L2">
        <v>1368</v>
      </c>
      <c r="N2">
        <v>1011</v>
      </c>
      <c r="O2" t="s">
        <v>146</v>
      </c>
      <c r="P2" t="s">
        <v>146</v>
      </c>
      <c r="Q2">
        <v>1</v>
      </c>
      <c r="W2">
        <v>0</v>
      </c>
      <c r="X2">
        <v>1013184309</v>
      </c>
      <c r="Y2">
        <v>0.159</v>
      </c>
      <c r="AA2">
        <v>0</v>
      </c>
      <c r="AB2">
        <v>6.29</v>
      </c>
      <c r="AC2">
        <v>0.14000000000000001</v>
      </c>
      <c r="AD2">
        <v>0</v>
      </c>
      <c r="AE2">
        <v>0</v>
      </c>
      <c r="AF2">
        <v>6.29</v>
      </c>
      <c r="AG2">
        <v>0.14000000000000001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4</v>
      </c>
      <c r="AT2">
        <v>0.159</v>
      </c>
      <c r="AU2" t="s">
        <v>4</v>
      </c>
      <c r="AV2">
        <v>0</v>
      </c>
      <c r="AW2">
        <v>2</v>
      </c>
      <c r="AX2">
        <v>51820502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3.4980000000000002</v>
      </c>
      <c r="CY2">
        <f>AB2</f>
        <v>6.29</v>
      </c>
      <c r="CZ2">
        <f>AF2</f>
        <v>6.29</v>
      </c>
      <c r="DA2">
        <f>AJ2</f>
        <v>1</v>
      </c>
      <c r="DB2">
        <f t="shared" si="0"/>
        <v>1</v>
      </c>
      <c r="DC2">
        <f t="shared" si="1"/>
        <v>0.02</v>
      </c>
    </row>
    <row r="3" spans="1:107" x14ac:dyDescent="0.25">
      <c r="A3">
        <f>ROW(Source!A28)</f>
        <v>28</v>
      </c>
      <c r="B3">
        <v>51820365</v>
      </c>
      <c r="C3">
        <v>51820484</v>
      </c>
      <c r="D3">
        <v>49571572</v>
      </c>
      <c r="E3">
        <v>1</v>
      </c>
      <c r="F3">
        <v>1</v>
      </c>
      <c r="G3">
        <v>27</v>
      </c>
      <c r="H3">
        <v>2</v>
      </c>
      <c r="I3" t="s">
        <v>147</v>
      </c>
      <c r="J3" t="s">
        <v>148</v>
      </c>
      <c r="K3" t="s">
        <v>149</v>
      </c>
      <c r="L3">
        <v>1368</v>
      </c>
      <c r="N3">
        <v>1011</v>
      </c>
      <c r="O3" t="s">
        <v>146</v>
      </c>
      <c r="P3" t="s">
        <v>146</v>
      </c>
      <c r="Q3">
        <v>1</v>
      </c>
      <c r="W3">
        <v>0</v>
      </c>
      <c r="X3">
        <v>-952080715</v>
      </c>
      <c r="Y3">
        <v>8.0000000000000002E-3</v>
      </c>
      <c r="AA3">
        <v>0</v>
      </c>
      <c r="AB3">
        <v>5.94</v>
      </c>
      <c r="AC3">
        <v>0.02</v>
      </c>
      <c r="AD3">
        <v>0</v>
      </c>
      <c r="AE3">
        <v>0</v>
      </c>
      <c r="AF3">
        <v>5.94</v>
      </c>
      <c r="AG3">
        <v>0.02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4</v>
      </c>
      <c r="AT3">
        <v>8.0000000000000002E-3</v>
      </c>
      <c r="AU3" t="s">
        <v>4</v>
      </c>
      <c r="AV3">
        <v>0</v>
      </c>
      <c r="AW3">
        <v>2</v>
      </c>
      <c r="AX3">
        <v>51820503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0.17599999999999999</v>
      </c>
      <c r="CY3">
        <f>AB3</f>
        <v>5.94</v>
      </c>
      <c r="CZ3">
        <f>AF3</f>
        <v>5.94</v>
      </c>
      <c r="DA3">
        <f>AJ3</f>
        <v>1</v>
      </c>
      <c r="DB3">
        <f t="shared" si="0"/>
        <v>0.05</v>
      </c>
      <c r="DC3">
        <f t="shared" si="1"/>
        <v>0</v>
      </c>
    </row>
    <row r="4" spans="1:107" x14ac:dyDescent="0.25">
      <c r="A4">
        <f>ROW(Source!A28)</f>
        <v>28</v>
      </c>
      <c r="B4">
        <v>51820365</v>
      </c>
      <c r="C4">
        <v>51820484</v>
      </c>
      <c r="D4">
        <v>49571001</v>
      </c>
      <c r="E4">
        <v>1</v>
      </c>
      <c r="F4">
        <v>1</v>
      </c>
      <c r="G4">
        <v>27</v>
      </c>
      <c r="H4">
        <v>2</v>
      </c>
      <c r="I4" t="s">
        <v>150</v>
      </c>
      <c r="J4" t="s">
        <v>151</v>
      </c>
      <c r="K4" t="s">
        <v>152</v>
      </c>
      <c r="L4">
        <v>1368</v>
      </c>
      <c r="N4">
        <v>1011</v>
      </c>
      <c r="O4" t="s">
        <v>146</v>
      </c>
      <c r="P4" t="s">
        <v>146</v>
      </c>
      <c r="Q4">
        <v>1</v>
      </c>
      <c r="W4">
        <v>0</v>
      </c>
      <c r="X4">
        <v>1126213602</v>
      </c>
      <c r="Y4">
        <v>0.10199999999999999</v>
      </c>
      <c r="AA4">
        <v>0</v>
      </c>
      <c r="AB4">
        <v>436.08</v>
      </c>
      <c r="AC4">
        <v>389.24</v>
      </c>
      <c r="AD4">
        <v>0</v>
      </c>
      <c r="AE4">
        <v>0</v>
      </c>
      <c r="AF4">
        <v>436.08</v>
      </c>
      <c r="AG4">
        <v>389.24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4</v>
      </c>
      <c r="AT4">
        <v>0.10199999999999999</v>
      </c>
      <c r="AU4" t="s">
        <v>4</v>
      </c>
      <c r="AV4">
        <v>0</v>
      </c>
      <c r="AW4">
        <v>2</v>
      </c>
      <c r="AX4">
        <v>51820504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2.2439999999999998</v>
      </c>
      <c r="CY4">
        <f>AB4</f>
        <v>436.08</v>
      </c>
      <c r="CZ4">
        <f>AF4</f>
        <v>436.08</v>
      </c>
      <c r="DA4">
        <f>AJ4</f>
        <v>1</v>
      </c>
      <c r="DB4">
        <f t="shared" si="0"/>
        <v>44.48</v>
      </c>
      <c r="DC4">
        <f t="shared" si="1"/>
        <v>39.700000000000003</v>
      </c>
    </row>
    <row r="5" spans="1:107" x14ac:dyDescent="0.25">
      <c r="A5">
        <f>ROW(Source!A28)</f>
        <v>28</v>
      </c>
      <c r="B5">
        <v>51820365</v>
      </c>
      <c r="C5">
        <v>51820484</v>
      </c>
      <c r="D5">
        <v>49571019</v>
      </c>
      <c r="E5">
        <v>1</v>
      </c>
      <c r="F5">
        <v>1</v>
      </c>
      <c r="G5">
        <v>27</v>
      </c>
      <c r="H5">
        <v>2</v>
      </c>
      <c r="I5" t="s">
        <v>153</v>
      </c>
      <c r="J5" t="s">
        <v>154</v>
      </c>
      <c r="K5" t="s">
        <v>155</v>
      </c>
      <c r="L5">
        <v>1368</v>
      </c>
      <c r="N5">
        <v>1011</v>
      </c>
      <c r="O5" t="s">
        <v>146</v>
      </c>
      <c r="P5" t="s">
        <v>146</v>
      </c>
      <c r="Q5">
        <v>1</v>
      </c>
      <c r="W5">
        <v>0</v>
      </c>
      <c r="X5">
        <v>-645837323</v>
      </c>
      <c r="Y5">
        <v>0.16700000000000001</v>
      </c>
      <c r="AA5">
        <v>0</v>
      </c>
      <c r="AB5">
        <v>10.82</v>
      </c>
      <c r="AC5">
        <v>2.97</v>
      </c>
      <c r="AD5">
        <v>0</v>
      </c>
      <c r="AE5">
        <v>0</v>
      </c>
      <c r="AF5">
        <v>10.82</v>
      </c>
      <c r="AG5">
        <v>2.97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4</v>
      </c>
      <c r="AT5">
        <v>0.16700000000000001</v>
      </c>
      <c r="AU5" t="s">
        <v>4</v>
      </c>
      <c r="AV5">
        <v>0</v>
      </c>
      <c r="AW5">
        <v>2</v>
      </c>
      <c r="AX5">
        <v>51820505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Y5*Source!I28</f>
        <v>3.6740000000000004</v>
      </c>
      <c r="CY5">
        <f>AB5</f>
        <v>10.82</v>
      </c>
      <c r="CZ5">
        <f>AF5</f>
        <v>10.82</v>
      </c>
      <c r="DA5">
        <f>AJ5</f>
        <v>1</v>
      </c>
      <c r="DB5">
        <f t="shared" si="0"/>
        <v>1.81</v>
      </c>
      <c r="DC5">
        <f t="shared" si="1"/>
        <v>0.5</v>
      </c>
    </row>
    <row r="6" spans="1:107" x14ac:dyDescent="0.25">
      <c r="A6">
        <f>ROW(Source!A28)</f>
        <v>28</v>
      </c>
      <c r="B6">
        <v>51820365</v>
      </c>
      <c r="C6">
        <v>51820484</v>
      </c>
      <c r="D6">
        <v>49571056</v>
      </c>
      <c r="E6">
        <v>1</v>
      </c>
      <c r="F6">
        <v>1</v>
      </c>
      <c r="G6">
        <v>27</v>
      </c>
      <c r="H6">
        <v>2</v>
      </c>
      <c r="I6" t="s">
        <v>156</v>
      </c>
      <c r="J6" t="s">
        <v>157</v>
      </c>
      <c r="K6" t="s">
        <v>158</v>
      </c>
      <c r="L6">
        <v>1368</v>
      </c>
      <c r="N6">
        <v>1011</v>
      </c>
      <c r="O6" t="s">
        <v>146</v>
      </c>
      <c r="P6" t="s">
        <v>146</v>
      </c>
      <c r="Q6">
        <v>1</v>
      </c>
      <c r="W6">
        <v>0</v>
      </c>
      <c r="X6">
        <v>-1749865602</v>
      </c>
      <c r="Y6">
        <v>0.16700000000000001</v>
      </c>
      <c r="AA6">
        <v>0</v>
      </c>
      <c r="AB6">
        <v>1289.26</v>
      </c>
      <c r="AC6">
        <v>637.17999999999995</v>
      </c>
      <c r="AD6">
        <v>0</v>
      </c>
      <c r="AE6">
        <v>0</v>
      </c>
      <c r="AF6">
        <v>1289.26</v>
      </c>
      <c r="AG6">
        <v>637.17999999999995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4</v>
      </c>
      <c r="AT6">
        <v>0.16700000000000001</v>
      </c>
      <c r="AU6" t="s">
        <v>4</v>
      </c>
      <c r="AV6">
        <v>0</v>
      </c>
      <c r="AW6">
        <v>2</v>
      </c>
      <c r="AX6">
        <v>51820506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Y6*Source!I28</f>
        <v>3.6740000000000004</v>
      </c>
      <c r="CY6">
        <f>AB6</f>
        <v>1289.26</v>
      </c>
      <c r="CZ6">
        <f>AF6</f>
        <v>1289.26</v>
      </c>
      <c r="DA6">
        <f>AJ6</f>
        <v>1</v>
      </c>
      <c r="DB6">
        <f t="shared" si="0"/>
        <v>215.31</v>
      </c>
      <c r="DC6">
        <f t="shared" si="1"/>
        <v>106.41</v>
      </c>
    </row>
    <row r="7" spans="1:107" x14ac:dyDescent="0.25">
      <c r="A7">
        <f>ROW(Source!A28)</f>
        <v>28</v>
      </c>
      <c r="B7">
        <v>51820365</v>
      </c>
      <c r="C7">
        <v>51820484</v>
      </c>
      <c r="D7">
        <v>49572552</v>
      </c>
      <c r="E7">
        <v>1</v>
      </c>
      <c r="F7">
        <v>1</v>
      </c>
      <c r="G7">
        <v>27</v>
      </c>
      <c r="H7">
        <v>3</v>
      </c>
      <c r="I7" t="s">
        <v>159</v>
      </c>
      <c r="J7" t="s">
        <v>160</v>
      </c>
      <c r="K7" t="s">
        <v>161</v>
      </c>
      <c r="L7">
        <v>1348</v>
      </c>
      <c r="N7">
        <v>1009</v>
      </c>
      <c r="O7" t="s">
        <v>35</v>
      </c>
      <c r="P7" t="s">
        <v>35</v>
      </c>
      <c r="Q7">
        <v>1000</v>
      </c>
      <c r="W7">
        <v>0</v>
      </c>
      <c r="X7">
        <v>950604455</v>
      </c>
      <c r="Y7">
        <v>1.01E-3</v>
      </c>
      <c r="AA7">
        <v>38268.54</v>
      </c>
      <c r="AB7">
        <v>0</v>
      </c>
      <c r="AC7">
        <v>0</v>
      </c>
      <c r="AD7">
        <v>0</v>
      </c>
      <c r="AE7">
        <v>38268.54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4</v>
      </c>
      <c r="AT7">
        <v>1.01E-3</v>
      </c>
      <c r="AU7" t="s">
        <v>4</v>
      </c>
      <c r="AV7">
        <v>0</v>
      </c>
      <c r="AW7">
        <v>2</v>
      </c>
      <c r="AX7">
        <v>51820507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Y7*Source!I28</f>
        <v>2.222E-2</v>
      </c>
      <c r="CY7">
        <f t="shared" ref="CY7:CY16" si="2">AA7</f>
        <v>38268.54</v>
      </c>
      <c r="CZ7">
        <f t="shared" ref="CZ7:CZ16" si="3">AE7</f>
        <v>38268.54</v>
      </c>
      <c r="DA7">
        <f t="shared" ref="DA7:DA16" si="4">AI7</f>
        <v>1</v>
      </c>
      <c r="DB7">
        <f t="shared" si="0"/>
        <v>38.65</v>
      </c>
      <c r="DC7">
        <f t="shared" si="1"/>
        <v>0</v>
      </c>
    </row>
    <row r="8" spans="1:107" x14ac:dyDescent="0.25">
      <c r="A8">
        <f>ROW(Source!A28)</f>
        <v>28</v>
      </c>
      <c r="B8">
        <v>51820365</v>
      </c>
      <c r="C8">
        <v>51820484</v>
      </c>
      <c r="D8">
        <v>49572569</v>
      </c>
      <c r="E8">
        <v>1</v>
      </c>
      <c r="F8">
        <v>1</v>
      </c>
      <c r="G8">
        <v>27</v>
      </c>
      <c r="H8">
        <v>3</v>
      </c>
      <c r="I8" t="s">
        <v>162</v>
      </c>
      <c r="J8" t="s">
        <v>163</v>
      </c>
      <c r="K8" t="s">
        <v>164</v>
      </c>
      <c r="L8">
        <v>1348</v>
      </c>
      <c r="N8">
        <v>1009</v>
      </c>
      <c r="O8" t="s">
        <v>35</v>
      </c>
      <c r="P8" t="s">
        <v>35</v>
      </c>
      <c r="Q8">
        <v>1000</v>
      </c>
      <c r="W8">
        <v>0</v>
      </c>
      <c r="X8">
        <v>302718651</v>
      </c>
      <c r="Y8">
        <v>2.3000000000000001E-4</v>
      </c>
      <c r="AA8">
        <v>37354.800000000003</v>
      </c>
      <c r="AB8">
        <v>0</v>
      </c>
      <c r="AC8">
        <v>0</v>
      </c>
      <c r="AD8">
        <v>0</v>
      </c>
      <c r="AE8">
        <v>37354.800000000003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4</v>
      </c>
      <c r="AT8">
        <v>2.3000000000000001E-4</v>
      </c>
      <c r="AU8" t="s">
        <v>4</v>
      </c>
      <c r="AV8">
        <v>0</v>
      </c>
      <c r="AW8">
        <v>2</v>
      </c>
      <c r="AX8">
        <v>51820508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Y8*Source!I28</f>
        <v>5.0600000000000003E-3</v>
      </c>
      <c r="CY8">
        <f t="shared" si="2"/>
        <v>37354.800000000003</v>
      </c>
      <c r="CZ8">
        <f t="shared" si="3"/>
        <v>37354.800000000003</v>
      </c>
      <c r="DA8">
        <f t="shared" si="4"/>
        <v>1</v>
      </c>
      <c r="DB8">
        <f t="shared" si="0"/>
        <v>8.59</v>
      </c>
      <c r="DC8">
        <f t="shared" si="1"/>
        <v>0</v>
      </c>
    </row>
    <row r="9" spans="1:107" x14ac:dyDescent="0.25">
      <c r="A9">
        <f>ROW(Source!A28)</f>
        <v>28</v>
      </c>
      <c r="B9">
        <v>51820365</v>
      </c>
      <c r="C9">
        <v>51820484</v>
      </c>
      <c r="D9">
        <v>49572888</v>
      </c>
      <c r="E9">
        <v>1</v>
      </c>
      <c r="F9">
        <v>1</v>
      </c>
      <c r="G9">
        <v>27</v>
      </c>
      <c r="H9">
        <v>3</v>
      </c>
      <c r="I9" t="s">
        <v>165</v>
      </c>
      <c r="J9" t="s">
        <v>166</v>
      </c>
      <c r="K9" t="s">
        <v>167</v>
      </c>
      <c r="L9">
        <v>1339</v>
      </c>
      <c r="N9">
        <v>1007</v>
      </c>
      <c r="O9" t="s">
        <v>168</v>
      </c>
      <c r="P9" t="s">
        <v>168</v>
      </c>
      <c r="Q9">
        <v>1</v>
      </c>
      <c r="W9">
        <v>0</v>
      </c>
      <c r="X9">
        <v>-1662970571</v>
      </c>
      <c r="Y9">
        <v>0.1</v>
      </c>
      <c r="AA9">
        <v>590.78</v>
      </c>
      <c r="AB9">
        <v>0</v>
      </c>
      <c r="AC9">
        <v>0</v>
      </c>
      <c r="AD9">
        <v>0</v>
      </c>
      <c r="AE9">
        <v>590.78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4</v>
      </c>
      <c r="AT9">
        <v>0.1</v>
      </c>
      <c r="AU9" t="s">
        <v>4</v>
      </c>
      <c r="AV9">
        <v>0</v>
      </c>
      <c r="AW9">
        <v>2</v>
      </c>
      <c r="AX9">
        <v>51820509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Y9*Source!I28</f>
        <v>2.2000000000000002</v>
      </c>
      <c r="CY9">
        <f t="shared" si="2"/>
        <v>590.78</v>
      </c>
      <c r="CZ9">
        <f t="shared" si="3"/>
        <v>590.78</v>
      </c>
      <c r="DA9">
        <f t="shared" si="4"/>
        <v>1</v>
      </c>
      <c r="DB9">
        <f t="shared" si="0"/>
        <v>59.08</v>
      </c>
      <c r="DC9">
        <f t="shared" si="1"/>
        <v>0</v>
      </c>
    </row>
    <row r="10" spans="1:107" x14ac:dyDescent="0.25">
      <c r="A10">
        <f>ROW(Source!A28)</f>
        <v>28</v>
      </c>
      <c r="B10">
        <v>51820365</v>
      </c>
      <c r="C10">
        <v>51820484</v>
      </c>
      <c r="D10">
        <v>49572907</v>
      </c>
      <c r="E10">
        <v>1</v>
      </c>
      <c r="F10">
        <v>1</v>
      </c>
      <c r="G10">
        <v>27</v>
      </c>
      <c r="H10">
        <v>3</v>
      </c>
      <c r="I10" t="s">
        <v>169</v>
      </c>
      <c r="J10" t="s">
        <v>170</v>
      </c>
      <c r="K10" t="s">
        <v>171</v>
      </c>
      <c r="L10">
        <v>1339</v>
      </c>
      <c r="N10">
        <v>1007</v>
      </c>
      <c r="O10" t="s">
        <v>168</v>
      </c>
      <c r="P10" t="s">
        <v>168</v>
      </c>
      <c r="Q10">
        <v>1</v>
      </c>
      <c r="W10">
        <v>0</v>
      </c>
      <c r="X10">
        <v>789691504</v>
      </c>
      <c r="Y10">
        <v>0.112</v>
      </c>
      <c r="AA10">
        <v>1436.5</v>
      </c>
      <c r="AB10">
        <v>0</v>
      </c>
      <c r="AC10">
        <v>0</v>
      </c>
      <c r="AD10">
        <v>0</v>
      </c>
      <c r="AE10">
        <v>1436.5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4</v>
      </c>
      <c r="AT10">
        <v>0.112</v>
      </c>
      <c r="AU10" t="s">
        <v>4</v>
      </c>
      <c r="AV10">
        <v>0</v>
      </c>
      <c r="AW10">
        <v>2</v>
      </c>
      <c r="AX10">
        <v>51820510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Y10*Source!I28</f>
        <v>2.464</v>
      </c>
      <c r="CY10">
        <f t="shared" si="2"/>
        <v>1436.5</v>
      </c>
      <c r="CZ10">
        <f t="shared" si="3"/>
        <v>1436.5</v>
      </c>
      <c r="DA10">
        <f t="shared" si="4"/>
        <v>1</v>
      </c>
      <c r="DB10">
        <f t="shared" si="0"/>
        <v>160.88999999999999</v>
      </c>
      <c r="DC10">
        <f t="shared" si="1"/>
        <v>0</v>
      </c>
    </row>
    <row r="11" spans="1:107" x14ac:dyDescent="0.25">
      <c r="A11">
        <f>ROW(Source!A28)</f>
        <v>28</v>
      </c>
      <c r="B11">
        <v>51820365</v>
      </c>
      <c r="C11">
        <v>51820484</v>
      </c>
      <c r="D11">
        <v>49571836</v>
      </c>
      <c r="E11">
        <v>1</v>
      </c>
      <c r="F11">
        <v>1</v>
      </c>
      <c r="G11">
        <v>27</v>
      </c>
      <c r="H11">
        <v>3</v>
      </c>
      <c r="I11" t="s">
        <v>172</v>
      </c>
      <c r="J11" t="s">
        <v>173</v>
      </c>
      <c r="K11" t="s">
        <v>174</v>
      </c>
      <c r="L11">
        <v>1348</v>
      </c>
      <c r="N11">
        <v>1009</v>
      </c>
      <c r="O11" t="s">
        <v>35</v>
      </c>
      <c r="P11" t="s">
        <v>35</v>
      </c>
      <c r="Q11">
        <v>1000</v>
      </c>
      <c r="W11">
        <v>0</v>
      </c>
      <c r="X11">
        <v>213373920</v>
      </c>
      <c r="Y11">
        <v>4.0039999999999999E-2</v>
      </c>
      <c r="AA11">
        <v>4207.5</v>
      </c>
      <c r="AB11">
        <v>0</v>
      </c>
      <c r="AC11">
        <v>0</v>
      </c>
      <c r="AD11">
        <v>0</v>
      </c>
      <c r="AE11">
        <v>4207.5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4</v>
      </c>
      <c r="AT11">
        <v>4.0039999999999999E-2</v>
      </c>
      <c r="AU11" t="s">
        <v>4</v>
      </c>
      <c r="AV11">
        <v>0</v>
      </c>
      <c r="AW11">
        <v>2</v>
      </c>
      <c r="AX11">
        <v>51820511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Y11*Source!I28</f>
        <v>0.88088</v>
      </c>
      <c r="CY11">
        <f t="shared" si="2"/>
        <v>4207.5</v>
      </c>
      <c r="CZ11">
        <f t="shared" si="3"/>
        <v>4207.5</v>
      </c>
      <c r="DA11">
        <f t="shared" si="4"/>
        <v>1</v>
      </c>
      <c r="DB11">
        <f t="shared" si="0"/>
        <v>168.47</v>
      </c>
      <c r="DC11">
        <f t="shared" si="1"/>
        <v>0</v>
      </c>
    </row>
    <row r="12" spans="1:107" x14ac:dyDescent="0.25">
      <c r="A12">
        <f>ROW(Source!A28)</f>
        <v>28</v>
      </c>
      <c r="B12">
        <v>51820365</v>
      </c>
      <c r="C12">
        <v>51820484</v>
      </c>
      <c r="D12">
        <v>49573633</v>
      </c>
      <c r="E12">
        <v>1</v>
      </c>
      <c r="F12">
        <v>1</v>
      </c>
      <c r="G12">
        <v>27</v>
      </c>
      <c r="H12">
        <v>3</v>
      </c>
      <c r="I12" t="s">
        <v>175</v>
      </c>
      <c r="J12" t="s">
        <v>176</v>
      </c>
      <c r="K12" t="s">
        <v>177</v>
      </c>
      <c r="L12">
        <v>1339</v>
      </c>
      <c r="N12">
        <v>1007</v>
      </c>
      <c r="O12" t="s">
        <v>168</v>
      </c>
      <c r="P12" t="s">
        <v>168</v>
      </c>
      <c r="Q12">
        <v>1</v>
      </c>
      <c r="W12">
        <v>0</v>
      </c>
      <c r="X12">
        <v>2028445372</v>
      </c>
      <c r="Y12">
        <v>2.9399999999999999E-2</v>
      </c>
      <c r="AA12">
        <v>35.25</v>
      </c>
      <c r="AB12">
        <v>0</v>
      </c>
      <c r="AC12">
        <v>0</v>
      </c>
      <c r="AD12">
        <v>0</v>
      </c>
      <c r="AE12">
        <v>35.25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4</v>
      </c>
      <c r="AT12">
        <v>2.9399999999999999E-2</v>
      </c>
      <c r="AU12" t="s">
        <v>4</v>
      </c>
      <c r="AV12">
        <v>0</v>
      </c>
      <c r="AW12">
        <v>2</v>
      </c>
      <c r="AX12">
        <v>51820512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Y12*Source!I28</f>
        <v>0.64679999999999993</v>
      </c>
      <c r="CY12">
        <f t="shared" si="2"/>
        <v>35.25</v>
      </c>
      <c r="CZ12">
        <f t="shared" si="3"/>
        <v>35.25</v>
      </c>
      <c r="DA12">
        <f t="shared" si="4"/>
        <v>1</v>
      </c>
      <c r="DB12">
        <f t="shared" si="0"/>
        <v>1.04</v>
      </c>
      <c r="DC12">
        <f t="shared" si="1"/>
        <v>0</v>
      </c>
    </row>
    <row r="13" spans="1:107" x14ac:dyDescent="0.25">
      <c r="A13">
        <f>ROW(Source!A28)</f>
        <v>28</v>
      </c>
      <c r="B13">
        <v>51820365</v>
      </c>
      <c r="C13">
        <v>51820484</v>
      </c>
      <c r="D13">
        <v>49577936</v>
      </c>
      <c r="E13">
        <v>1</v>
      </c>
      <c r="F13">
        <v>1</v>
      </c>
      <c r="G13">
        <v>27</v>
      </c>
      <c r="H13">
        <v>3</v>
      </c>
      <c r="I13" t="s">
        <v>29</v>
      </c>
      <c r="J13" t="s">
        <v>31</v>
      </c>
      <c r="K13" t="s">
        <v>30</v>
      </c>
      <c r="L13">
        <v>1301</v>
      </c>
      <c r="N13">
        <v>1003</v>
      </c>
      <c r="O13" t="s">
        <v>26</v>
      </c>
      <c r="P13" t="s">
        <v>26</v>
      </c>
      <c r="Q13">
        <v>1</v>
      </c>
      <c r="W13">
        <v>0</v>
      </c>
      <c r="X13">
        <v>115369718</v>
      </c>
      <c r="Y13">
        <v>2.15</v>
      </c>
      <c r="AA13">
        <v>927.29</v>
      </c>
      <c r="AB13">
        <v>0</v>
      </c>
      <c r="AC13">
        <v>0</v>
      </c>
      <c r="AD13">
        <v>0</v>
      </c>
      <c r="AE13">
        <v>927.29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 t="s">
        <v>4</v>
      </c>
      <c r="AT13">
        <v>2.15</v>
      </c>
      <c r="AU13" t="s">
        <v>4</v>
      </c>
      <c r="AV13">
        <v>0</v>
      </c>
      <c r="AW13">
        <v>1</v>
      </c>
      <c r="AX13">
        <v>-1</v>
      </c>
      <c r="AY13">
        <v>0</v>
      </c>
      <c r="AZ13">
        <v>0</v>
      </c>
      <c r="BA13" t="s">
        <v>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Y13*Source!I28</f>
        <v>47.3</v>
      </c>
      <c r="CY13">
        <f t="shared" si="2"/>
        <v>927.29</v>
      </c>
      <c r="CZ13">
        <f t="shared" si="3"/>
        <v>927.29</v>
      </c>
      <c r="DA13">
        <f t="shared" si="4"/>
        <v>1</v>
      </c>
      <c r="DB13">
        <f t="shared" si="0"/>
        <v>1993.67</v>
      </c>
      <c r="DC13">
        <f t="shared" si="1"/>
        <v>0</v>
      </c>
    </row>
    <row r="14" spans="1:107" x14ac:dyDescent="0.25">
      <c r="A14">
        <f>ROW(Source!A28)</f>
        <v>28</v>
      </c>
      <c r="B14">
        <v>51820365</v>
      </c>
      <c r="C14">
        <v>51820484</v>
      </c>
      <c r="D14">
        <v>49577937</v>
      </c>
      <c r="E14">
        <v>1</v>
      </c>
      <c r="F14">
        <v>1</v>
      </c>
      <c r="G14">
        <v>27</v>
      </c>
      <c r="H14">
        <v>3</v>
      </c>
      <c r="I14" t="s">
        <v>24</v>
      </c>
      <c r="J14" t="s">
        <v>27</v>
      </c>
      <c r="K14" t="s">
        <v>25</v>
      </c>
      <c r="L14">
        <v>1301</v>
      </c>
      <c r="N14">
        <v>1003</v>
      </c>
      <c r="O14" t="s">
        <v>26</v>
      </c>
      <c r="P14" t="s">
        <v>26</v>
      </c>
      <c r="Q14">
        <v>1</v>
      </c>
      <c r="W14">
        <v>1</v>
      </c>
      <c r="X14">
        <v>1566889511</v>
      </c>
      <c r="Y14">
        <v>-2.5</v>
      </c>
      <c r="AA14">
        <v>1312.08</v>
      </c>
      <c r="AB14">
        <v>0</v>
      </c>
      <c r="AC14">
        <v>0</v>
      </c>
      <c r="AD14">
        <v>0</v>
      </c>
      <c r="AE14">
        <v>1312.08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4</v>
      </c>
      <c r="AT14">
        <v>-2.5</v>
      </c>
      <c r="AU14" t="s">
        <v>4</v>
      </c>
      <c r="AV14">
        <v>0</v>
      </c>
      <c r="AW14">
        <v>2</v>
      </c>
      <c r="AX14">
        <v>51820515</v>
      </c>
      <c r="AY14">
        <v>1</v>
      </c>
      <c r="AZ14">
        <v>6144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Y14*Source!I28</f>
        <v>-55</v>
      </c>
      <c r="CY14">
        <f t="shared" si="2"/>
        <v>1312.08</v>
      </c>
      <c r="CZ14">
        <f t="shared" si="3"/>
        <v>1312.08</v>
      </c>
      <c r="DA14">
        <f t="shared" si="4"/>
        <v>1</v>
      </c>
      <c r="DB14">
        <f t="shared" si="0"/>
        <v>-3280.2</v>
      </c>
      <c r="DC14">
        <f t="shared" si="1"/>
        <v>0</v>
      </c>
    </row>
    <row r="15" spans="1:107" x14ac:dyDescent="0.25">
      <c r="A15">
        <f>ROW(Source!A28)</f>
        <v>28</v>
      </c>
      <c r="B15">
        <v>51820365</v>
      </c>
      <c r="C15">
        <v>51820484</v>
      </c>
      <c r="D15">
        <v>49571923</v>
      </c>
      <c r="E15">
        <v>1</v>
      </c>
      <c r="F15">
        <v>1</v>
      </c>
      <c r="G15">
        <v>27</v>
      </c>
      <c r="H15">
        <v>3</v>
      </c>
      <c r="I15" t="s">
        <v>178</v>
      </c>
      <c r="J15" t="s">
        <v>179</v>
      </c>
      <c r="K15" t="s">
        <v>180</v>
      </c>
      <c r="L15">
        <v>1339</v>
      </c>
      <c r="N15">
        <v>1007</v>
      </c>
      <c r="O15" t="s">
        <v>168</v>
      </c>
      <c r="P15" t="s">
        <v>168</v>
      </c>
      <c r="Q15">
        <v>1</v>
      </c>
      <c r="W15">
        <v>0</v>
      </c>
      <c r="X15">
        <v>-617769218</v>
      </c>
      <c r="Y15">
        <v>1.12E-2</v>
      </c>
      <c r="AA15">
        <v>53.38</v>
      </c>
      <c r="AB15">
        <v>0</v>
      </c>
      <c r="AC15">
        <v>0</v>
      </c>
      <c r="AD15">
        <v>0</v>
      </c>
      <c r="AE15">
        <v>53.38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4</v>
      </c>
      <c r="AT15">
        <v>1.12E-2</v>
      </c>
      <c r="AU15" t="s">
        <v>4</v>
      </c>
      <c r="AV15">
        <v>0</v>
      </c>
      <c r="AW15">
        <v>2</v>
      </c>
      <c r="AX15">
        <v>51820513</v>
      </c>
      <c r="AY15">
        <v>1</v>
      </c>
      <c r="AZ15">
        <v>0</v>
      </c>
      <c r="BA15">
        <v>14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Y15*Source!I28</f>
        <v>0.24640000000000001</v>
      </c>
      <c r="CY15">
        <f t="shared" si="2"/>
        <v>53.38</v>
      </c>
      <c r="CZ15">
        <f t="shared" si="3"/>
        <v>53.38</v>
      </c>
      <c r="DA15">
        <f t="shared" si="4"/>
        <v>1</v>
      </c>
      <c r="DB15">
        <f t="shared" si="0"/>
        <v>0.6</v>
      </c>
      <c r="DC15">
        <f t="shared" si="1"/>
        <v>0</v>
      </c>
    </row>
    <row r="16" spans="1:107" x14ac:dyDescent="0.25">
      <c r="A16">
        <f>ROW(Source!A28)</f>
        <v>28</v>
      </c>
      <c r="B16">
        <v>51820365</v>
      </c>
      <c r="C16">
        <v>51820484</v>
      </c>
      <c r="D16">
        <v>49571944</v>
      </c>
      <c r="E16">
        <v>1</v>
      </c>
      <c r="F16">
        <v>1</v>
      </c>
      <c r="G16">
        <v>27</v>
      </c>
      <c r="H16">
        <v>3</v>
      </c>
      <c r="I16" t="s">
        <v>181</v>
      </c>
      <c r="J16" t="s">
        <v>182</v>
      </c>
      <c r="K16" t="s">
        <v>183</v>
      </c>
      <c r="L16">
        <v>1339</v>
      </c>
      <c r="N16">
        <v>1007</v>
      </c>
      <c r="O16" t="s">
        <v>168</v>
      </c>
      <c r="P16" t="s">
        <v>168</v>
      </c>
      <c r="Q16">
        <v>1</v>
      </c>
      <c r="W16">
        <v>0</v>
      </c>
      <c r="X16">
        <v>-611409894</v>
      </c>
      <c r="Y16">
        <v>5.5300000000000002E-3</v>
      </c>
      <c r="AA16">
        <v>32.520000000000003</v>
      </c>
      <c r="AB16">
        <v>0</v>
      </c>
      <c r="AC16">
        <v>0</v>
      </c>
      <c r="AD16">
        <v>0</v>
      </c>
      <c r="AE16">
        <v>32.520000000000003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4</v>
      </c>
      <c r="AT16">
        <v>5.5300000000000002E-3</v>
      </c>
      <c r="AU16" t="s">
        <v>4</v>
      </c>
      <c r="AV16">
        <v>0</v>
      </c>
      <c r="AW16">
        <v>2</v>
      </c>
      <c r="AX16">
        <v>51820514</v>
      </c>
      <c r="AY16">
        <v>1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Y16*Source!I28</f>
        <v>0.12166</v>
      </c>
      <c r="CY16">
        <f t="shared" si="2"/>
        <v>32.520000000000003</v>
      </c>
      <c r="CZ16">
        <f t="shared" si="3"/>
        <v>32.520000000000003</v>
      </c>
      <c r="DA16">
        <f t="shared" si="4"/>
        <v>1</v>
      </c>
      <c r="DB16">
        <f t="shared" si="0"/>
        <v>0.18</v>
      </c>
      <c r="DC16">
        <f t="shared" si="1"/>
        <v>0</v>
      </c>
    </row>
    <row r="17" spans="1:107" x14ac:dyDescent="0.25">
      <c r="A17">
        <f>ROW(Source!A31)</f>
        <v>31</v>
      </c>
      <c r="B17">
        <v>51820365</v>
      </c>
      <c r="C17">
        <v>51820518</v>
      </c>
      <c r="D17">
        <v>49558562</v>
      </c>
      <c r="E17">
        <v>27</v>
      </c>
      <c r="F17">
        <v>1</v>
      </c>
      <c r="G17">
        <v>27</v>
      </c>
      <c r="H17">
        <v>1</v>
      </c>
      <c r="I17" t="s">
        <v>140</v>
      </c>
      <c r="J17" t="s">
        <v>4</v>
      </c>
      <c r="K17" t="s">
        <v>141</v>
      </c>
      <c r="L17">
        <v>1191</v>
      </c>
      <c r="N17">
        <v>1013</v>
      </c>
      <c r="O17" t="s">
        <v>142</v>
      </c>
      <c r="P17" t="s">
        <v>142</v>
      </c>
      <c r="Q17">
        <v>1</v>
      </c>
      <c r="W17">
        <v>0</v>
      </c>
      <c r="X17">
        <v>476480486</v>
      </c>
      <c r="Y17">
        <v>87.4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4</v>
      </c>
      <c r="AT17">
        <v>87.4</v>
      </c>
      <c r="AU17" t="s">
        <v>4</v>
      </c>
      <c r="AV17">
        <v>1</v>
      </c>
      <c r="AW17">
        <v>2</v>
      </c>
      <c r="AX17">
        <v>51820525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Y17*Source!I31</f>
        <v>6.8009436000000001</v>
      </c>
      <c r="CY17">
        <f>AD17</f>
        <v>0</v>
      </c>
      <c r="CZ17">
        <f>AH17</f>
        <v>0</v>
      </c>
      <c r="DA17">
        <f>AL17</f>
        <v>1</v>
      </c>
      <c r="DB17">
        <f t="shared" si="0"/>
        <v>0</v>
      </c>
      <c r="DC17">
        <f t="shared" si="1"/>
        <v>0</v>
      </c>
    </row>
    <row r="18" spans="1:107" x14ac:dyDescent="0.25">
      <c r="A18">
        <f>ROW(Source!A31)</f>
        <v>31</v>
      </c>
      <c r="B18">
        <v>51820365</v>
      </c>
      <c r="C18">
        <v>51820518</v>
      </c>
      <c r="D18">
        <v>49570864</v>
      </c>
      <c r="E18">
        <v>1</v>
      </c>
      <c r="F18">
        <v>1</v>
      </c>
      <c r="G18">
        <v>27</v>
      </c>
      <c r="H18">
        <v>2</v>
      </c>
      <c r="I18" t="s">
        <v>184</v>
      </c>
      <c r="J18" t="s">
        <v>185</v>
      </c>
      <c r="K18" t="s">
        <v>186</v>
      </c>
      <c r="L18">
        <v>1368</v>
      </c>
      <c r="N18">
        <v>1011</v>
      </c>
      <c r="O18" t="s">
        <v>146</v>
      </c>
      <c r="P18" t="s">
        <v>146</v>
      </c>
      <c r="Q18">
        <v>1</v>
      </c>
      <c r="W18">
        <v>0</v>
      </c>
      <c r="X18">
        <v>767599799</v>
      </c>
      <c r="Y18">
        <v>19</v>
      </c>
      <c r="AA18">
        <v>0</v>
      </c>
      <c r="AB18">
        <v>31</v>
      </c>
      <c r="AC18">
        <v>1.35</v>
      </c>
      <c r="AD18">
        <v>0</v>
      </c>
      <c r="AE18">
        <v>0</v>
      </c>
      <c r="AF18">
        <v>31</v>
      </c>
      <c r="AG18">
        <v>1.35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4</v>
      </c>
      <c r="AT18">
        <v>19</v>
      </c>
      <c r="AU18" t="s">
        <v>4</v>
      </c>
      <c r="AV18">
        <v>0</v>
      </c>
      <c r="AW18">
        <v>2</v>
      </c>
      <c r="AX18">
        <v>51820526</v>
      </c>
      <c r="AY18">
        <v>1</v>
      </c>
      <c r="AZ18">
        <v>0</v>
      </c>
      <c r="BA18">
        <v>17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Y18*Source!I31</f>
        <v>1.4784659999999998</v>
      </c>
      <c r="CY18">
        <f>AB18</f>
        <v>31</v>
      </c>
      <c r="CZ18">
        <f>AF18</f>
        <v>31</v>
      </c>
      <c r="DA18">
        <f>AJ18</f>
        <v>1</v>
      </c>
      <c r="DB18">
        <f t="shared" si="0"/>
        <v>589</v>
      </c>
      <c r="DC18">
        <f t="shared" si="1"/>
        <v>25.65</v>
      </c>
    </row>
    <row r="19" spans="1:107" x14ac:dyDescent="0.25">
      <c r="A19">
        <f>ROW(Source!A31)</f>
        <v>31</v>
      </c>
      <c r="B19">
        <v>51820365</v>
      </c>
      <c r="C19">
        <v>51820518</v>
      </c>
      <c r="D19">
        <v>49572564</v>
      </c>
      <c r="E19">
        <v>1</v>
      </c>
      <c r="F19">
        <v>1</v>
      </c>
      <c r="G19">
        <v>27</v>
      </c>
      <c r="H19">
        <v>3</v>
      </c>
      <c r="I19" t="s">
        <v>42</v>
      </c>
      <c r="J19" t="s">
        <v>44</v>
      </c>
      <c r="K19" t="s">
        <v>43</v>
      </c>
      <c r="L19">
        <v>1348</v>
      </c>
      <c r="N19">
        <v>1009</v>
      </c>
      <c r="O19" t="s">
        <v>35</v>
      </c>
      <c r="P19" t="s">
        <v>35</v>
      </c>
      <c r="Q19">
        <v>1000</v>
      </c>
      <c r="W19">
        <v>0</v>
      </c>
      <c r="X19">
        <v>-358277061</v>
      </c>
      <c r="Y19">
        <v>1</v>
      </c>
      <c r="AA19">
        <v>39756.050000000003</v>
      </c>
      <c r="AB19">
        <v>0</v>
      </c>
      <c r="AC19">
        <v>0</v>
      </c>
      <c r="AD19">
        <v>0</v>
      </c>
      <c r="AE19">
        <v>39756.050000000003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4</v>
      </c>
      <c r="AT19">
        <v>1</v>
      </c>
      <c r="AU19" t="s">
        <v>4</v>
      </c>
      <c r="AV19">
        <v>0</v>
      </c>
      <c r="AW19">
        <v>1</v>
      </c>
      <c r="AX19">
        <v>-1</v>
      </c>
      <c r="AY19">
        <v>0</v>
      </c>
      <c r="AZ19">
        <v>0</v>
      </c>
      <c r="BA19" t="s">
        <v>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Y19*Source!I31</f>
        <v>7.7813999999999994E-2</v>
      </c>
      <c r="CY19">
        <f>AA19</f>
        <v>39756.050000000003</v>
      </c>
      <c r="CZ19">
        <f>AE19</f>
        <v>39756.050000000003</v>
      </c>
      <c r="DA19">
        <f>AI19</f>
        <v>1</v>
      </c>
      <c r="DB19">
        <f t="shared" si="0"/>
        <v>39756.050000000003</v>
      </c>
      <c r="DC19">
        <f t="shared" si="1"/>
        <v>0</v>
      </c>
    </row>
    <row r="20" spans="1:107" x14ac:dyDescent="0.25">
      <c r="A20">
        <f>ROW(Source!A31)</f>
        <v>31</v>
      </c>
      <c r="B20">
        <v>51820365</v>
      </c>
      <c r="C20">
        <v>51820518</v>
      </c>
      <c r="D20">
        <v>49572683</v>
      </c>
      <c r="E20">
        <v>1</v>
      </c>
      <c r="F20">
        <v>1</v>
      </c>
      <c r="G20">
        <v>27</v>
      </c>
      <c r="H20">
        <v>3</v>
      </c>
      <c r="I20" t="s">
        <v>187</v>
      </c>
      <c r="J20" t="s">
        <v>188</v>
      </c>
      <c r="K20" t="s">
        <v>189</v>
      </c>
      <c r="L20">
        <v>1348</v>
      </c>
      <c r="N20">
        <v>1009</v>
      </c>
      <c r="O20" t="s">
        <v>35</v>
      </c>
      <c r="P20" t="s">
        <v>35</v>
      </c>
      <c r="Q20">
        <v>1000</v>
      </c>
      <c r="W20">
        <v>0</v>
      </c>
      <c r="X20">
        <v>-1121856703</v>
      </c>
      <c r="Y20">
        <v>3.3E-3</v>
      </c>
      <c r="AA20">
        <v>105084.63</v>
      </c>
      <c r="AB20">
        <v>0</v>
      </c>
      <c r="AC20">
        <v>0</v>
      </c>
      <c r="AD20">
        <v>0</v>
      </c>
      <c r="AE20">
        <v>105084.63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4</v>
      </c>
      <c r="AT20">
        <v>3.3E-3</v>
      </c>
      <c r="AU20" t="s">
        <v>4</v>
      </c>
      <c r="AV20">
        <v>0</v>
      </c>
      <c r="AW20">
        <v>2</v>
      </c>
      <c r="AX20">
        <v>51820527</v>
      </c>
      <c r="AY20">
        <v>1</v>
      </c>
      <c r="AZ20">
        <v>0</v>
      </c>
      <c r="BA20">
        <v>18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Y20*Source!I31</f>
        <v>2.5678619999999996E-4</v>
      </c>
      <c r="CY20">
        <f>AA20</f>
        <v>105084.63</v>
      </c>
      <c r="CZ20">
        <f>AE20</f>
        <v>105084.63</v>
      </c>
      <c r="DA20">
        <f>AI20</f>
        <v>1</v>
      </c>
      <c r="DB20">
        <f t="shared" si="0"/>
        <v>346.78</v>
      </c>
      <c r="DC20">
        <f t="shared" si="1"/>
        <v>0</v>
      </c>
    </row>
    <row r="21" spans="1:107" x14ac:dyDescent="0.25">
      <c r="A21">
        <f>ROW(Source!A31)</f>
        <v>31</v>
      </c>
      <c r="B21">
        <v>51820365</v>
      </c>
      <c r="C21">
        <v>51820518</v>
      </c>
      <c r="D21">
        <v>49573540</v>
      </c>
      <c r="E21">
        <v>1</v>
      </c>
      <c r="F21">
        <v>1</v>
      </c>
      <c r="G21">
        <v>27</v>
      </c>
      <c r="H21">
        <v>3</v>
      </c>
      <c r="I21" t="s">
        <v>190</v>
      </c>
      <c r="J21" t="s">
        <v>191</v>
      </c>
      <c r="K21" t="s">
        <v>192</v>
      </c>
      <c r="L21">
        <v>1348</v>
      </c>
      <c r="N21">
        <v>1009</v>
      </c>
      <c r="O21" t="s">
        <v>35</v>
      </c>
      <c r="P21" t="s">
        <v>35</v>
      </c>
      <c r="Q21">
        <v>1000</v>
      </c>
      <c r="W21">
        <v>0</v>
      </c>
      <c r="X21">
        <v>-672771621</v>
      </c>
      <c r="Y21">
        <v>1.4E-3</v>
      </c>
      <c r="AA21">
        <v>110781.14</v>
      </c>
      <c r="AB21">
        <v>0</v>
      </c>
      <c r="AC21">
        <v>0</v>
      </c>
      <c r="AD21">
        <v>0</v>
      </c>
      <c r="AE21">
        <v>110781.14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4</v>
      </c>
      <c r="AT21">
        <v>1.4E-3</v>
      </c>
      <c r="AU21" t="s">
        <v>4</v>
      </c>
      <c r="AV21">
        <v>0</v>
      </c>
      <c r="AW21">
        <v>2</v>
      </c>
      <c r="AX21">
        <v>51820528</v>
      </c>
      <c r="AY21">
        <v>1</v>
      </c>
      <c r="AZ21">
        <v>0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Y21*Source!I31</f>
        <v>1.089396E-4</v>
      </c>
      <c r="CY21">
        <f>AA21</f>
        <v>110781.14</v>
      </c>
      <c r="CZ21">
        <f>AE21</f>
        <v>110781.14</v>
      </c>
      <c r="DA21">
        <f>AI21</f>
        <v>1</v>
      </c>
      <c r="DB21">
        <f t="shared" si="0"/>
        <v>155.09</v>
      </c>
      <c r="DC21">
        <f t="shared" si="1"/>
        <v>0</v>
      </c>
    </row>
    <row r="22" spans="1:107" x14ac:dyDescent="0.25">
      <c r="A22">
        <f>ROW(Source!A31)</f>
        <v>31</v>
      </c>
      <c r="B22">
        <v>51820365</v>
      </c>
      <c r="C22">
        <v>51820518</v>
      </c>
      <c r="D22">
        <v>49575655</v>
      </c>
      <c r="E22">
        <v>1</v>
      </c>
      <c r="F22">
        <v>1</v>
      </c>
      <c r="G22">
        <v>27</v>
      </c>
      <c r="H22">
        <v>3</v>
      </c>
      <c r="I22" t="s">
        <v>38</v>
      </c>
      <c r="J22" t="s">
        <v>40</v>
      </c>
      <c r="K22" t="s">
        <v>39</v>
      </c>
      <c r="L22">
        <v>1348</v>
      </c>
      <c r="N22">
        <v>1009</v>
      </c>
      <c r="O22" t="s">
        <v>35</v>
      </c>
      <c r="P22" t="s">
        <v>35</v>
      </c>
      <c r="Q22">
        <v>1000</v>
      </c>
      <c r="W22">
        <v>1</v>
      </c>
      <c r="X22">
        <v>820458137</v>
      </c>
      <c r="Y22">
        <v>-1</v>
      </c>
      <c r="AA22">
        <v>75026.559999999998</v>
      </c>
      <c r="AB22">
        <v>0</v>
      </c>
      <c r="AC22">
        <v>0</v>
      </c>
      <c r="AD22">
        <v>0</v>
      </c>
      <c r="AE22">
        <v>75026.559999999998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4</v>
      </c>
      <c r="AT22">
        <v>-1</v>
      </c>
      <c r="AU22" t="s">
        <v>4</v>
      </c>
      <c r="AV22">
        <v>0</v>
      </c>
      <c r="AW22">
        <v>2</v>
      </c>
      <c r="AX22">
        <v>51820529</v>
      </c>
      <c r="AY22">
        <v>1</v>
      </c>
      <c r="AZ22">
        <v>6144</v>
      </c>
      <c r="BA22">
        <v>20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Y22*Source!I31</f>
        <v>-7.7813999999999994E-2</v>
      </c>
      <c r="CY22">
        <f>AA22</f>
        <v>75026.559999999998</v>
      </c>
      <c r="CZ22">
        <f>AE22</f>
        <v>75026.559999999998</v>
      </c>
      <c r="DA22">
        <f>AI22</f>
        <v>1</v>
      </c>
      <c r="DB22">
        <f t="shared" si="0"/>
        <v>-75026.559999999998</v>
      </c>
      <c r="DC22">
        <f t="shared" si="1"/>
        <v>0</v>
      </c>
    </row>
    <row r="23" spans="1:107" x14ac:dyDescent="0.25">
      <c r="A23">
        <f>ROW(Source!A34)</f>
        <v>34</v>
      </c>
      <c r="B23">
        <v>51820365</v>
      </c>
      <c r="C23">
        <v>51820532</v>
      </c>
      <c r="D23">
        <v>49558562</v>
      </c>
      <c r="E23">
        <v>27</v>
      </c>
      <c r="F23">
        <v>1</v>
      </c>
      <c r="G23">
        <v>27</v>
      </c>
      <c r="H23">
        <v>1</v>
      </c>
      <c r="I23" t="s">
        <v>140</v>
      </c>
      <c r="J23" t="s">
        <v>4</v>
      </c>
      <c r="K23" t="s">
        <v>141</v>
      </c>
      <c r="L23">
        <v>1191</v>
      </c>
      <c r="N23">
        <v>1013</v>
      </c>
      <c r="O23" t="s">
        <v>142</v>
      </c>
      <c r="P23" t="s">
        <v>142</v>
      </c>
      <c r="Q23">
        <v>1</v>
      </c>
      <c r="W23">
        <v>0</v>
      </c>
      <c r="X23">
        <v>476480486</v>
      </c>
      <c r="Y23">
        <v>87.4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4</v>
      </c>
      <c r="AT23">
        <v>87.4</v>
      </c>
      <c r="AU23" t="s">
        <v>4</v>
      </c>
      <c r="AV23">
        <v>1</v>
      </c>
      <c r="AW23">
        <v>2</v>
      </c>
      <c r="AX23">
        <v>51820539</v>
      </c>
      <c r="AY23">
        <v>1</v>
      </c>
      <c r="AZ23">
        <v>0</v>
      </c>
      <c r="BA23">
        <v>21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Y23*Source!I34</f>
        <v>2.3246652000000001</v>
      </c>
      <c r="CY23">
        <f>AD23</f>
        <v>0</v>
      </c>
      <c r="CZ23">
        <f>AH23</f>
        <v>0</v>
      </c>
      <c r="DA23">
        <f>AL23</f>
        <v>1</v>
      </c>
      <c r="DB23">
        <f t="shared" si="0"/>
        <v>0</v>
      </c>
      <c r="DC23">
        <f t="shared" si="1"/>
        <v>0</v>
      </c>
    </row>
    <row r="24" spans="1:107" x14ac:dyDescent="0.25">
      <c r="A24">
        <f>ROW(Source!A34)</f>
        <v>34</v>
      </c>
      <c r="B24">
        <v>51820365</v>
      </c>
      <c r="C24">
        <v>51820532</v>
      </c>
      <c r="D24">
        <v>49570864</v>
      </c>
      <c r="E24">
        <v>1</v>
      </c>
      <c r="F24">
        <v>1</v>
      </c>
      <c r="G24">
        <v>27</v>
      </c>
      <c r="H24">
        <v>2</v>
      </c>
      <c r="I24" t="s">
        <v>184</v>
      </c>
      <c r="J24" t="s">
        <v>185</v>
      </c>
      <c r="K24" t="s">
        <v>186</v>
      </c>
      <c r="L24">
        <v>1368</v>
      </c>
      <c r="N24">
        <v>1011</v>
      </c>
      <c r="O24" t="s">
        <v>146</v>
      </c>
      <c r="P24" t="s">
        <v>146</v>
      </c>
      <c r="Q24">
        <v>1</v>
      </c>
      <c r="W24">
        <v>0</v>
      </c>
      <c r="X24">
        <v>767599799</v>
      </c>
      <c r="Y24">
        <v>19</v>
      </c>
      <c r="AA24">
        <v>0</v>
      </c>
      <c r="AB24">
        <v>31</v>
      </c>
      <c r="AC24">
        <v>1.35</v>
      </c>
      <c r="AD24">
        <v>0</v>
      </c>
      <c r="AE24">
        <v>0</v>
      </c>
      <c r="AF24">
        <v>31</v>
      </c>
      <c r="AG24">
        <v>1.35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4</v>
      </c>
      <c r="AT24">
        <v>19</v>
      </c>
      <c r="AU24" t="s">
        <v>4</v>
      </c>
      <c r="AV24">
        <v>0</v>
      </c>
      <c r="AW24">
        <v>2</v>
      </c>
      <c r="AX24">
        <v>51820540</v>
      </c>
      <c r="AY24">
        <v>1</v>
      </c>
      <c r="AZ24">
        <v>0</v>
      </c>
      <c r="BA24">
        <v>22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Y24*Source!I34</f>
        <v>0.50536199999999998</v>
      </c>
      <c r="CY24">
        <f>AB24</f>
        <v>31</v>
      </c>
      <c r="CZ24">
        <f>AF24</f>
        <v>31</v>
      </c>
      <c r="DA24">
        <f>AJ24</f>
        <v>1</v>
      </c>
      <c r="DB24">
        <f t="shared" si="0"/>
        <v>589</v>
      </c>
      <c r="DC24">
        <f t="shared" si="1"/>
        <v>25.65</v>
      </c>
    </row>
    <row r="25" spans="1:107" x14ac:dyDescent="0.25">
      <c r="A25">
        <f>ROW(Source!A34)</f>
        <v>34</v>
      </c>
      <c r="B25">
        <v>51820365</v>
      </c>
      <c r="C25">
        <v>51820532</v>
      </c>
      <c r="D25">
        <v>49572564</v>
      </c>
      <c r="E25">
        <v>1</v>
      </c>
      <c r="F25">
        <v>1</v>
      </c>
      <c r="G25">
        <v>27</v>
      </c>
      <c r="H25">
        <v>3</v>
      </c>
      <c r="I25" t="s">
        <v>42</v>
      </c>
      <c r="J25" t="s">
        <v>44</v>
      </c>
      <c r="K25" t="s">
        <v>51</v>
      </c>
      <c r="L25">
        <v>1348</v>
      </c>
      <c r="N25">
        <v>1009</v>
      </c>
      <c r="O25" t="s">
        <v>35</v>
      </c>
      <c r="P25" t="s">
        <v>35</v>
      </c>
      <c r="Q25">
        <v>1000</v>
      </c>
      <c r="W25">
        <v>0</v>
      </c>
      <c r="X25">
        <v>1948042052</v>
      </c>
      <c r="Y25">
        <v>1</v>
      </c>
      <c r="AA25">
        <v>39756.050000000003</v>
      </c>
      <c r="AB25">
        <v>0</v>
      </c>
      <c r="AC25">
        <v>0</v>
      </c>
      <c r="AD25">
        <v>0</v>
      </c>
      <c r="AE25">
        <v>39756.050000000003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4</v>
      </c>
      <c r="AT25">
        <v>1</v>
      </c>
      <c r="AU25" t="s">
        <v>4</v>
      </c>
      <c r="AV25">
        <v>0</v>
      </c>
      <c r="AW25">
        <v>1</v>
      </c>
      <c r="AX25">
        <v>-1</v>
      </c>
      <c r="AY25">
        <v>0</v>
      </c>
      <c r="AZ25">
        <v>0</v>
      </c>
      <c r="BA25" t="s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Y25*Source!I34</f>
        <v>2.6598E-2</v>
      </c>
      <c r="CY25">
        <f>AA25</f>
        <v>39756.050000000003</v>
      </c>
      <c r="CZ25">
        <f>AE25</f>
        <v>39756.050000000003</v>
      </c>
      <c r="DA25">
        <f>AI25</f>
        <v>1</v>
      </c>
      <c r="DB25">
        <f t="shared" si="0"/>
        <v>39756.050000000003</v>
      </c>
      <c r="DC25">
        <f t="shared" si="1"/>
        <v>0</v>
      </c>
    </row>
    <row r="26" spans="1:107" x14ac:dyDescent="0.25">
      <c r="A26">
        <f>ROW(Source!A34)</f>
        <v>34</v>
      </c>
      <c r="B26">
        <v>51820365</v>
      </c>
      <c r="C26">
        <v>51820532</v>
      </c>
      <c r="D26">
        <v>49572683</v>
      </c>
      <c r="E26">
        <v>1</v>
      </c>
      <c r="F26">
        <v>1</v>
      </c>
      <c r="G26">
        <v>27</v>
      </c>
      <c r="H26">
        <v>3</v>
      </c>
      <c r="I26" t="s">
        <v>187</v>
      </c>
      <c r="J26" t="s">
        <v>188</v>
      </c>
      <c r="K26" t="s">
        <v>189</v>
      </c>
      <c r="L26">
        <v>1348</v>
      </c>
      <c r="N26">
        <v>1009</v>
      </c>
      <c r="O26" t="s">
        <v>35</v>
      </c>
      <c r="P26" t="s">
        <v>35</v>
      </c>
      <c r="Q26">
        <v>1000</v>
      </c>
      <c r="W26">
        <v>0</v>
      </c>
      <c r="X26">
        <v>-1121856703</v>
      </c>
      <c r="Y26">
        <v>3.3E-3</v>
      </c>
      <c r="AA26">
        <v>105084.63</v>
      </c>
      <c r="AB26">
        <v>0</v>
      </c>
      <c r="AC26">
        <v>0</v>
      </c>
      <c r="AD26">
        <v>0</v>
      </c>
      <c r="AE26">
        <v>105084.63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4</v>
      </c>
      <c r="AT26">
        <v>3.3E-3</v>
      </c>
      <c r="AU26" t="s">
        <v>4</v>
      </c>
      <c r="AV26">
        <v>0</v>
      </c>
      <c r="AW26">
        <v>2</v>
      </c>
      <c r="AX26">
        <v>51820541</v>
      </c>
      <c r="AY26">
        <v>1</v>
      </c>
      <c r="AZ26">
        <v>0</v>
      </c>
      <c r="BA26">
        <v>23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Y26*Source!I34</f>
        <v>8.7773400000000002E-5</v>
      </c>
      <c r="CY26">
        <f>AA26</f>
        <v>105084.63</v>
      </c>
      <c r="CZ26">
        <f>AE26</f>
        <v>105084.63</v>
      </c>
      <c r="DA26">
        <f>AI26</f>
        <v>1</v>
      </c>
      <c r="DB26">
        <f t="shared" si="0"/>
        <v>346.78</v>
      </c>
      <c r="DC26">
        <f t="shared" si="1"/>
        <v>0</v>
      </c>
    </row>
    <row r="27" spans="1:107" x14ac:dyDescent="0.25">
      <c r="A27">
        <f>ROW(Source!A34)</f>
        <v>34</v>
      </c>
      <c r="B27">
        <v>51820365</v>
      </c>
      <c r="C27">
        <v>51820532</v>
      </c>
      <c r="D27">
        <v>49573540</v>
      </c>
      <c r="E27">
        <v>1</v>
      </c>
      <c r="F27">
        <v>1</v>
      </c>
      <c r="G27">
        <v>27</v>
      </c>
      <c r="H27">
        <v>3</v>
      </c>
      <c r="I27" t="s">
        <v>190</v>
      </c>
      <c r="J27" t="s">
        <v>191</v>
      </c>
      <c r="K27" t="s">
        <v>192</v>
      </c>
      <c r="L27">
        <v>1348</v>
      </c>
      <c r="N27">
        <v>1009</v>
      </c>
      <c r="O27" t="s">
        <v>35</v>
      </c>
      <c r="P27" t="s">
        <v>35</v>
      </c>
      <c r="Q27">
        <v>1000</v>
      </c>
      <c r="W27">
        <v>0</v>
      </c>
      <c r="X27">
        <v>-672771621</v>
      </c>
      <c r="Y27">
        <v>1.4E-3</v>
      </c>
      <c r="AA27">
        <v>110781.14</v>
      </c>
      <c r="AB27">
        <v>0</v>
      </c>
      <c r="AC27">
        <v>0</v>
      </c>
      <c r="AD27">
        <v>0</v>
      </c>
      <c r="AE27">
        <v>110781.14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4</v>
      </c>
      <c r="AT27">
        <v>1.4E-3</v>
      </c>
      <c r="AU27" t="s">
        <v>4</v>
      </c>
      <c r="AV27">
        <v>0</v>
      </c>
      <c r="AW27">
        <v>2</v>
      </c>
      <c r="AX27">
        <v>51820542</v>
      </c>
      <c r="AY27">
        <v>1</v>
      </c>
      <c r="AZ27">
        <v>0</v>
      </c>
      <c r="BA27">
        <v>24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Y27*Source!I34</f>
        <v>3.7237199999999996E-5</v>
      </c>
      <c r="CY27">
        <f>AA27</f>
        <v>110781.14</v>
      </c>
      <c r="CZ27">
        <f>AE27</f>
        <v>110781.14</v>
      </c>
      <c r="DA27">
        <f>AI27</f>
        <v>1</v>
      </c>
      <c r="DB27">
        <f t="shared" si="0"/>
        <v>155.09</v>
      </c>
      <c r="DC27">
        <f t="shared" si="1"/>
        <v>0</v>
      </c>
    </row>
    <row r="28" spans="1:107" x14ac:dyDescent="0.25">
      <c r="A28">
        <f>ROW(Source!A34)</f>
        <v>34</v>
      </c>
      <c r="B28">
        <v>51820365</v>
      </c>
      <c r="C28">
        <v>51820532</v>
      </c>
      <c r="D28">
        <v>49575655</v>
      </c>
      <c r="E28">
        <v>1</v>
      </c>
      <c r="F28">
        <v>1</v>
      </c>
      <c r="G28">
        <v>27</v>
      </c>
      <c r="H28">
        <v>3</v>
      </c>
      <c r="I28" t="s">
        <v>38</v>
      </c>
      <c r="J28" t="s">
        <v>40</v>
      </c>
      <c r="K28" t="s">
        <v>39</v>
      </c>
      <c r="L28">
        <v>1348</v>
      </c>
      <c r="N28">
        <v>1009</v>
      </c>
      <c r="O28" t="s">
        <v>35</v>
      </c>
      <c r="P28" t="s">
        <v>35</v>
      </c>
      <c r="Q28">
        <v>1000</v>
      </c>
      <c r="W28">
        <v>1</v>
      </c>
      <c r="X28">
        <v>820458137</v>
      </c>
      <c r="Y28">
        <v>-1</v>
      </c>
      <c r="AA28">
        <v>75026.559999999998</v>
      </c>
      <c r="AB28">
        <v>0</v>
      </c>
      <c r="AC28">
        <v>0</v>
      </c>
      <c r="AD28">
        <v>0</v>
      </c>
      <c r="AE28">
        <v>75026.559999999998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4</v>
      </c>
      <c r="AT28">
        <v>-1</v>
      </c>
      <c r="AU28" t="s">
        <v>4</v>
      </c>
      <c r="AV28">
        <v>0</v>
      </c>
      <c r="AW28">
        <v>2</v>
      </c>
      <c r="AX28">
        <v>51820543</v>
      </c>
      <c r="AY28">
        <v>1</v>
      </c>
      <c r="AZ28">
        <v>6144</v>
      </c>
      <c r="BA28">
        <v>25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Y28*Source!I34</f>
        <v>-2.6598E-2</v>
      </c>
      <c r="CY28">
        <f>AA28</f>
        <v>75026.559999999998</v>
      </c>
      <c r="CZ28">
        <f>AE28</f>
        <v>75026.559999999998</v>
      </c>
      <c r="DA28">
        <f>AI28</f>
        <v>1</v>
      </c>
      <c r="DB28">
        <f t="shared" si="0"/>
        <v>-75026.559999999998</v>
      </c>
      <c r="DC28">
        <f t="shared" si="1"/>
        <v>0</v>
      </c>
    </row>
    <row r="29" spans="1:107" x14ac:dyDescent="0.25">
      <c r="A29">
        <f>ROW(Source!A37)</f>
        <v>37</v>
      </c>
      <c r="B29">
        <v>51820365</v>
      </c>
      <c r="C29">
        <v>51820546</v>
      </c>
      <c r="D29">
        <v>49558562</v>
      </c>
      <c r="E29">
        <v>27</v>
      </c>
      <c r="F29">
        <v>1</v>
      </c>
      <c r="G29">
        <v>27</v>
      </c>
      <c r="H29">
        <v>1</v>
      </c>
      <c r="I29" t="s">
        <v>140</v>
      </c>
      <c r="J29" t="s">
        <v>4</v>
      </c>
      <c r="K29" t="s">
        <v>141</v>
      </c>
      <c r="L29">
        <v>1191</v>
      </c>
      <c r="N29">
        <v>1013</v>
      </c>
      <c r="O29" t="s">
        <v>142</v>
      </c>
      <c r="P29" t="s">
        <v>142</v>
      </c>
      <c r="Q29">
        <v>1</v>
      </c>
      <c r="W29">
        <v>0</v>
      </c>
      <c r="X29">
        <v>476480486</v>
      </c>
      <c r="Y29">
        <v>2.97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4</v>
      </c>
      <c r="AT29">
        <v>2.97</v>
      </c>
      <c r="AU29" t="s">
        <v>4</v>
      </c>
      <c r="AV29">
        <v>1</v>
      </c>
      <c r="AW29">
        <v>2</v>
      </c>
      <c r="AX29">
        <v>51820556</v>
      </c>
      <c r="AY29">
        <v>1</v>
      </c>
      <c r="AZ29">
        <v>0</v>
      </c>
      <c r="BA29">
        <v>26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Y29*Source!I37</f>
        <v>424.11600000000004</v>
      </c>
      <c r="CY29">
        <f>AD29</f>
        <v>0</v>
      </c>
      <c r="CZ29">
        <f>AH29</f>
        <v>0</v>
      </c>
      <c r="DA29">
        <f>AL29</f>
        <v>1</v>
      </c>
      <c r="DB29">
        <f t="shared" si="0"/>
        <v>0</v>
      </c>
      <c r="DC29">
        <f t="shared" si="1"/>
        <v>0</v>
      </c>
    </row>
    <row r="30" spans="1:107" x14ac:dyDescent="0.25">
      <c r="A30">
        <f>ROW(Source!A37)</f>
        <v>37</v>
      </c>
      <c r="B30">
        <v>51820365</v>
      </c>
      <c r="C30">
        <v>51820546</v>
      </c>
      <c r="D30">
        <v>49571187</v>
      </c>
      <c r="E30">
        <v>1</v>
      </c>
      <c r="F30">
        <v>1</v>
      </c>
      <c r="G30">
        <v>27</v>
      </c>
      <c r="H30">
        <v>2</v>
      </c>
      <c r="I30" t="s">
        <v>193</v>
      </c>
      <c r="J30" t="s">
        <v>194</v>
      </c>
      <c r="K30" t="s">
        <v>195</v>
      </c>
      <c r="L30">
        <v>1368</v>
      </c>
      <c r="N30">
        <v>1011</v>
      </c>
      <c r="O30" t="s">
        <v>146</v>
      </c>
      <c r="P30" t="s">
        <v>146</v>
      </c>
      <c r="Q30">
        <v>1</v>
      </c>
      <c r="W30">
        <v>0</v>
      </c>
      <c r="X30">
        <v>-711828296</v>
      </c>
      <c r="Y30">
        <v>0.38400000000000001</v>
      </c>
      <c r="AA30">
        <v>0</v>
      </c>
      <c r="AB30">
        <v>351.29</v>
      </c>
      <c r="AC30">
        <v>7.02</v>
      </c>
      <c r="AD30">
        <v>0</v>
      </c>
      <c r="AE30">
        <v>0</v>
      </c>
      <c r="AF30">
        <v>351.29</v>
      </c>
      <c r="AG30">
        <v>7.02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4</v>
      </c>
      <c r="AT30">
        <v>0.38400000000000001</v>
      </c>
      <c r="AU30" t="s">
        <v>4</v>
      </c>
      <c r="AV30">
        <v>0</v>
      </c>
      <c r="AW30">
        <v>2</v>
      </c>
      <c r="AX30">
        <v>51820557</v>
      </c>
      <c r="AY30">
        <v>1</v>
      </c>
      <c r="AZ30">
        <v>0</v>
      </c>
      <c r="BA30">
        <v>27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Y30*Source!I37</f>
        <v>54.835200000000007</v>
      </c>
      <c r="CY30">
        <f>AB30</f>
        <v>351.29</v>
      </c>
      <c r="CZ30">
        <f>AF30</f>
        <v>351.29</v>
      </c>
      <c r="DA30">
        <f>AJ30</f>
        <v>1</v>
      </c>
      <c r="DB30">
        <f t="shared" si="0"/>
        <v>134.9</v>
      </c>
      <c r="DC30">
        <f t="shared" si="1"/>
        <v>2.7</v>
      </c>
    </row>
    <row r="31" spans="1:107" x14ac:dyDescent="0.25">
      <c r="A31">
        <f>ROW(Source!A37)</f>
        <v>37</v>
      </c>
      <c r="B31">
        <v>51820365</v>
      </c>
      <c r="C31">
        <v>51820546</v>
      </c>
      <c r="D31">
        <v>49571572</v>
      </c>
      <c r="E31">
        <v>1</v>
      </c>
      <c r="F31">
        <v>1</v>
      </c>
      <c r="G31">
        <v>27</v>
      </c>
      <c r="H31">
        <v>2</v>
      </c>
      <c r="I31" t="s">
        <v>147</v>
      </c>
      <c r="J31" t="s">
        <v>196</v>
      </c>
      <c r="K31" t="s">
        <v>149</v>
      </c>
      <c r="L31">
        <v>1368</v>
      </c>
      <c r="N31">
        <v>1011</v>
      </c>
      <c r="O31" t="s">
        <v>146</v>
      </c>
      <c r="P31" t="s">
        <v>146</v>
      </c>
      <c r="Q31">
        <v>1</v>
      </c>
      <c r="W31">
        <v>0</v>
      </c>
      <c r="X31">
        <v>-764600179</v>
      </c>
      <c r="Y31">
        <v>0.115</v>
      </c>
      <c r="AA31">
        <v>0</v>
      </c>
      <c r="AB31">
        <v>5.94</v>
      </c>
      <c r="AC31">
        <v>0.02</v>
      </c>
      <c r="AD31">
        <v>0</v>
      </c>
      <c r="AE31">
        <v>0</v>
      </c>
      <c r="AF31">
        <v>5.94</v>
      </c>
      <c r="AG31">
        <v>0.02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4</v>
      </c>
      <c r="AT31">
        <v>0.115</v>
      </c>
      <c r="AU31" t="s">
        <v>4</v>
      </c>
      <c r="AV31">
        <v>0</v>
      </c>
      <c r="AW31">
        <v>2</v>
      </c>
      <c r="AX31">
        <v>51820558</v>
      </c>
      <c r="AY31">
        <v>1</v>
      </c>
      <c r="AZ31">
        <v>0</v>
      </c>
      <c r="BA31">
        <v>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Y31*Source!I37</f>
        <v>16.422000000000001</v>
      </c>
      <c r="CY31">
        <f>AB31</f>
        <v>5.94</v>
      </c>
      <c r="CZ31">
        <f>AF31</f>
        <v>5.94</v>
      </c>
      <c r="DA31">
        <f>AJ31</f>
        <v>1</v>
      </c>
      <c r="DB31">
        <f t="shared" si="0"/>
        <v>0.68</v>
      </c>
      <c r="DC31">
        <f t="shared" si="1"/>
        <v>0</v>
      </c>
    </row>
    <row r="32" spans="1:107" x14ac:dyDescent="0.25">
      <c r="A32">
        <f>ROW(Source!A37)</f>
        <v>37</v>
      </c>
      <c r="B32">
        <v>51820365</v>
      </c>
      <c r="C32">
        <v>51820546</v>
      </c>
      <c r="D32">
        <v>49571595</v>
      </c>
      <c r="E32">
        <v>1</v>
      </c>
      <c r="F32">
        <v>1</v>
      </c>
      <c r="G32">
        <v>27</v>
      </c>
      <c r="H32">
        <v>2</v>
      </c>
      <c r="I32" t="s">
        <v>197</v>
      </c>
      <c r="J32" t="s">
        <v>198</v>
      </c>
      <c r="K32" t="s">
        <v>199</v>
      </c>
      <c r="L32">
        <v>1368</v>
      </c>
      <c r="N32">
        <v>1011</v>
      </c>
      <c r="O32" t="s">
        <v>146</v>
      </c>
      <c r="P32" t="s">
        <v>146</v>
      </c>
      <c r="Q32">
        <v>1</v>
      </c>
      <c r="W32">
        <v>0</v>
      </c>
      <c r="X32">
        <v>676633484</v>
      </c>
      <c r="Y32">
        <v>0.504</v>
      </c>
      <c r="AA32">
        <v>0</v>
      </c>
      <c r="AB32">
        <v>652.16</v>
      </c>
      <c r="AC32">
        <v>581.9</v>
      </c>
      <c r="AD32">
        <v>0</v>
      </c>
      <c r="AE32">
        <v>0</v>
      </c>
      <c r="AF32">
        <v>652.16</v>
      </c>
      <c r="AG32">
        <v>581.9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4</v>
      </c>
      <c r="AT32">
        <v>0.504</v>
      </c>
      <c r="AU32" t="s">
        <v>4</v>
      </c>
      <c r="AV32">
        <v>0</v>
      </c>
      <c r="AW32">
        <v>2</v>
      </c>
      <c r="AX32">
        <v>51820559</v>
      </c>
      <c r="AY32">
        <v>1</v>
      </c>
      <c r="AZ32">
        <v>0</v>
      </c>
      <c r="BA32">
        <v>29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Y32*Source!I37</f>
        <v>71.97120000000001</v>
      </c>
      <c r="CY32">
        <f>AB32</f>
        <v>652.16</v>
      </c>
      <c r="CZ32">
        <f>AF32</f>
        <v>652.16</v>
      </c>
      <c r="DA32">
        <f>AJ32</f>
        <v>1</v>
      </c>
      <c r="DB32">
        <f t="shared" si="0"/>
        <v>328.69</v>
      </c>
      <c r="DC32">
        <f t="shared" si="1"/>
        <v>293.27999999999997</v>
      </c>
    </row>
    <row r="33" spans="1:107" x14ac:dyDescent="0.25">
      <c r="A33">
        <f>ROW(Source!A37)</f>
        <v>37</v>
      </c>
      <c r="B33">
        <v>51820365</v>
      </c>
      <c r="C33">
        <v>51820546</v>
      </c>
      <c r="D33">
        <v>49572552</v>
      </c>
      <c r="E33">
        <v>1</v>
      </c>
      <c r="F33">
        <v>1</v>
      </c>
      <c r="G33">
        <v>27</v>
      </c>
      <c r="H33">
        <v>3</v>
      </c>
      <c r="I33" t="s">
        <v>159</v>
      </c>
      <c r="J33" t="s">
        <v>200</v>
      </c>
      <c r="K33" t="s">
        <v>161</v>
      </c>
      <c r="L33">
        <v>1348</v>
      </c>
      <c r="N33">
        <v>1009</v>
      </c>
      <c r="O33" t="s">
        <v>35</v>
      </c>
      <c r="P33" t="s">
        <v>35</v>
      </c>
      <c r="Q33">
        <v>1000</v>
      </c>
      <c r="W33">
        <v>0</v>
      </c>
      <c r="X33">
        <v>-1210277159</v>
      </c>
      <c r="Y33">
        <v>1.01E-3</v>
      </c>
      <c r="AA33">
        <v>38268.54</v>
      </c>
      <c r="AB33">
        <v>0</v>
      </c>
      <c r="AC33">
        <v>0</v>
      </c>
      <c r="AD33">
        <v>0</v>
      </c>
      <c r="AE33">
        <v>38268.54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4</v>
      </c>
      <c r="AT33">
        <v>1.01E-3</v>
      </c>
      <c r="AU33" t="s">
        <v>4</v>
      </c>
      <c r="AV33">
        <v>0</v>
      </c>
      <c r="AW33">
        <v>2</v>
      </c>
      <c r="AX33">
        <v>51820560</v>
      </c>
      <c r="AY33">
        <v>1</v>
      </c>
      <c r="AZ33">
        <v>0</v>
      </c>
      <c r="BA33">
        <v>30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Y33*Source!I37</f>
        <v>0.14422800000000002</v>
      </c>
      <c r="CY33">
        <f>AA33</f>
        <v>38268.54</v>
      </c>
      <c r="CZ33">
        <f>AE33</f>
        <v>38268.54</v>
      </c>
      <c r="DA33">
        <f>AI33</f>
        <v>1</v>
      </c>
      <c r="DB33">
        <f t="shared" ref="DB33:DB56" si="5">ROUND(ROUND(AT33*CZ33,2),6)</f>
        <v>38.65</v>
      </c>
      <c r="DC33">
        <f t="shared" ref="DC33:DC56" si="6">ROUND(ROUND(AT33*AG33,2),6)</f>
        <v>0</v>
      </c>
    </row>
    <row r="34" spans="1:107" x14ac:dyDescent="0.25">
      <c r="A34">
        <f>ROW(Source!A37)</f>
        <v>37</v>
      </c>
      <c r="B34">
        <v>51820365</v>
      </c>
      <c r="C34">
        <v>51820546</v>
      </c>
      <c r="D34">
        <v>49572410</v>
      </c>
      <c r="E34">
        <v>1</v>
      </c>
      <c r="F34">
        <v>1</v>
      </c>
      <c r="G34">
        <v>27</v>
      </c>
      <c r="H34">
        <v>3</v>
      </c>
      <c r="I34" t="s">
        <v>58</v>
      </c>
      <c r="J34" t="s">
        <v>60</v>
      </c>
      <c r="K34" t="s">
        <v>59</v>
      </c>
      <c r="L34">
        <v>1348</v>
      </c>
      <c r="N34">
        <v>1009</v>
      </c>
      <c r="O34" t="s">
        <v>35</v>
      </c>
      <c r="P34" t="s">
        <v>35</v>
      </c>
      <c r="Q34">
        <v>1000</v>
      </c>
      <c r="W34">
        <v>1</v>
      </c>
      <c r="X34">
        <v>-2126876791</v>
      </c>
      <c r="Y34">
        <v>-0.14899999999999999</v>
      </c>
      <c r="AA34">
        <v>37537.54</v>
      </c>
      <c r="AB34">
        <v>0</v>
      </c>
      <c r="AC34">
        <v>0</v>
      </c>
      <c r="AD34">
        <v>0</v>
      </c>
      <c r="AE34">
        <v>37537.54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4</v>
      </c>
      <c r="AT34">
        <v>-0.14899999999999999</v>
      </c>
      <c r="AU34" t="s">
        <v>4</v>
      </c>
      <c r="AV34">
        <v>0</v>
      </c>
      <c r="AW34">
        <v>2</v>
      </c>
      <c r="AX34">
        <v>51820561</v>
      </c>
      <c r="AY34">
        <v>1</v>
      </c>
      <c r="AZ34">
        <v>6144</v>
      </c>
      <c r="BA34">
        <v>31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Y34*Source!I37</f>
        <v>-21.277200000000001</v>
      </c>
      <c r="CY34">
        <f>AA34</f>
        <v>37537.54</v>
      </c>
      <c r="CZ34">
        <f>AE34</f>
        <v>37537.54</v>
      </c>
      <c r="DA34">
        <f>AI34</f>
        <v>1</v>
      </c>
      <c r="DB34">
        <f t="shared" si="5"/>
        <v>-5593.09</v>
      </c>
      <c r="DC34">
        <f t="shared" si="6"/>
        <v>0</v>
      </c>
    </row>
    <row r="35" spans="1:107" x14ac:dyDescent="0.25">
      <c r="A35">
        <f>ROW(Source!A37)</f>
        <v>37</v>
      </c>
      <c r="B35">
        <v>51820365</v>
      </c>
      <c r="C35">
        <v>51820546</v>
      </c>
      <c r="D35">
        <v>49572416</v>
      </c>
      <c r="E35">
        <v>1</v>
      </c>
      <c r="F35">
        <v>1</v>
      </c>
      <c r="G35">
        <v>27</v>
      </c>
      <c r="H35">
        <v>3</v>
      </c>
      <c r="I35" t="s">
        <v>62</v>
      </c>
      <c r="J35" t="s">
        <v>64</v>
      </c>
      <c r="K35" t="s">
        <v>63</v>
      </c>
      <c r="L35">
        <v>1348</v>
      </c>
      <c r="N35">
        <v>1009</v>
      </c>
      <c r="O35" t="s">
        <v>35</v>
      </c>
      <c r="P35" t="s">
        <v>35</v>
      </c>
      <c r="Q35">
        <v>1000</v>
      </c>
      <c r="W35">
        <v>0</v>
      </c>
      <c r="X35">
        <v>-992296457</v>
      </c>
      <c r="Y35">
        <v>1.2102E-2</v>
      </c>
      <c r="AA35">
        <v>40597.550000000003</v>
      </c>
      <c r="AB35">
        <v>0</v>
      </c>
      <c r="AC35">
        <v>0</v>
      </c>
      <c r="AD35">
        <v>0</v>
      </c>
      <c r="AE35">
        <v>40597.550000000003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4</v>
      </c>
      <c r="AT35">
        <v>1.2102E-2</v>
      </c>
      <c r="AU35" t="s">
        <v>4</v>
      </c>
      <c r="AV35">
        <v>0</v>
      </c>
      <c r="AW35">
        <v>1</v>
      </c>
      <c r="AX35">
        <v>-1</v>
      </c>
      <c r="AY35">
        <v>0</v>
      </c>
      <c r="AZ35">
        <v>0</v>
      </c>
      <c r="BA35" t="s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Y35*Source!I37</f>
        <v>1.7281656000000001</v>
      </c>
      <c r="CY35">
        <f>AA35</f>
        <v>40597.550000000003</v>
      </c>
      <c r="CZ35">
        <f>AE35</f>
        <v>40597.550000000003</v>
      </c>
      <c r="DA35">
        <f>AI35</f>
        <v>1</v>
      </c>
      <c r="DB35">
        <f t="shared" si="5"/>
        <v>491.31</v>
      </c>
      <c r="DC35">
        <f t="shared" si="6"/>
        <v>0</v>
      </c>
    </row>
    <row r="36" spans="1:107" x14ac:dyDescent="0.25">
      <c r="A36">
        <f>ROW(Source!A37)</f>
        <v>37</v>
      </c>
      <c r="B36">
        <v>51820365</v>
      </c>
      <c r="C36">
        <v>51820546</v>
      </c>
      <c r="D36">
        <v>49573540</v>
      </c>
      <c r="E36">
        <v>1</v>
      </c>
      <c r="F36">
        <v>1</v>
      </c>
      <c r="G36">
        <v>27</v>
      </c>
      <c r="H36">
        <v>3</v>
      </c>
      <c r="I36" t="s">
        <v>190</v>
      </c>
      <c r="J36" t="s">
        <v>191</v>
      </c>
      <c r="K36" t="s">
        <v>192</v>
      </c>
      <c r="L36">
        <v>1348</v>
      </c>
      <c r="N36">
        <v>1009</v>
      </c>
      <c r="O36" t="s">
        <v>35</v>
      </c>
      <c r="P36" t="s">
        <v>35</v>
      </c>
      <c r="Q36">
        <v>1000</v>
      </c>
      <c r="W36">
        <v>0</v>
      </c>
      <c r="X36">
        <v>-672771621</v>
      </c>
      <c r="Y36">
        <v>5.0000000000000001E-4</v>
      </c>
      <c r="AA36">
        <v>110781.14</v>
      </c>
      <c r="AB36">
        <v>0</v>
      </c>
      <c r="AC36">
        <v>0</v>
      </c>
      <c r="AD36">
        <v>0</v>
      </c>
      <c r="AE36">
        <v>110781.14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4</v>
      </c>
      <c r="AT36">
        <v>5.0000000000000001E-4</v>
      </c>
      <c r="AU36" t="s">
        <v>4</v>
      </c>
      <c r="AV36">
        <v>0</v>
      </c>
      <c r="AW36">
        <v>2</v>
      </c>
      <c r="AX36">
        <v>51820562</v>
      </c>
      <c r="AY36">
        <v>1</v>
      </c>
      <c r="AZ36">
        <v>0</v>
      </c>
      <c r="BA36">
        <v>32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Y36*Source!I37</f>
        <v>7.1400000000000005E-2</v>
      </c>
      <c r="CY36">
        <f>AA36</f>
        <v>110781.14</v>
      </c>
      <c r="CZ36">
        <f>AE36</f>
        <v>110781.14</v>
      </c>
      <c r="DA36">
        <f>AI36</f>
        <v>1</v>
      </c>
      <c r="DB36">
        <f t="shared" si="5"/>
        <v>55.39</v>
      </c>
      <c r="DC36">
        <f t="shared" si="6"/>
        <v>0</v>
      </c>
    </row>
    <row r="37" spans="1:107" x14ac:dyDescent="0.25">
      <c r="A37">
        <f>ROW(Source!A37)</f>
        <v>37</v>
      </c>
      <c r="B37">
        <v>51820365</v>
      </c>
      <c r="C37">
        <v>51820546</v>
      </c>
      <c r="D37">
        <v>49575861</v>
      </c>
      <c r="E37">
        <v>1</v>
      </c>
      <c r="F37">
        <v>1</v>
      </c>
      <c r="G37">
        <v>27</v>
      </c>
      <c r="H37">
        <v>3</v>
      </c>
      <c r="I37" t="s">
        <v>201</v>
      </c>
      <c r="J37" t="s">
        <v>202</v>
      </c>
      <c r="K37" t="s">
        <v>203</v>
      </c>
      <c r="L37">
        <v>1354</v>
      </c>
      <c r="N37">
        <v>1010</v>
      </c>
      <c r="O37" t="s">
        <v>18</v>
      </c>
      <c r="P37" t="s">
        <v>18</v>
      </c>
      <c r="Q37">
        <v>1</v>
      </c>
      <c r="W37">
        <v>0</v>
      </c>
      <c r="X37">
        <v>969740417</v>
      </c>
      <c r="Y37">
        <v>1.4E-2</v>
      </c>
      <c r="AA37">
        <v>16.54</v>
      </c>
      <c r="AB37">
        <v>0</v>
      </c>
      <c r="AC37">
        <v>0</v>
      </c>
      <c r="AD37">
        <v>0</v>
      </c>
      <c r="AE37">
        <v>16.54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4</v>
      </c>
      <c r="AT37">
        <v>1.4E-2</v>
      </c>
      <c r="AU37" t="s">
        <v>4</v>
      </c>
      <c r="AV37">
        <v>0</v>
      </c>
      <c r="AW37">
        <v>2</v>
      </c>
      <c r="AX37">
        <v>51820563</v>
      </c>
      <c r="AY37">
        <v>1</v>
      </c>
      <c r="AZ37">
        <v>0</v>
      </c>
      <c r="BA37">
        <v>33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Y37*Source!I37</f>
        <v>1.9992000000000003</v>
      </c>
      <c r="CY37">
        <f>AA37</f>
        <v>16.54</v>
      </c>
      <c r="CZ37">
        <f>AE37</f>
        <v>16.54</v>
      </c>
      <c r="DA37">
        <f>AI37</f>
        <v>1</v>
      </c>
      <c r="DB37">
        <f t="shared" si="5"/>
        <v>0.23</v>
      </c>
      <c r="DC37">
        <f t="shared" si="6"/>
        <v>0</v>
      </c>
    </row>
    <row r="38" spans="1:107" x14ac:dyDescent="0.25">
      <c r="A38">
        <f>ROW(Source!A40)</f>
        <v>40</v>
      </c>
      <c r="B38">
        <v>51820365</v>
      </c>
      <c r="C38">
        <v>51820566</v>
      </c>
      <c r="D38">
        <v>49558562</v>
      </c>
      <c r="E38">
        <v>27</v>
      </c>
      <c r="F38">
        <v>1</v>
      </c>
      <c r="G38">
        <v>27</v>
      </c>
      <c r="H38">
        <v>1</v>
      </c>
      <c r="I38" t="s">
        <v>140</v>
      </c>
      <c r="J38" t="s">
        <v>4</v>
      </c>
      <c r="K38" t="s">
        <v>141</v>
      </c>
      <c r="L38">
        <v>1191</v>
      </c>
      <c r="N38">
        <v>1013</v>
      </c>
      <c r="O38" t="s">
        <v>142</v>
      </c>
      <c r="P38" t="s">
        <v>142</v>
      </c>
      <c r="Q38">
        <v>1</v>
      </c>
      <c r="W38">
        <v>0</v>
      </c>
      <c r="X38">
        <v>476480486</v>
      </c>
      <c r="Y38">
        <v>6.11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4</v>
      </c>
      <c r="AT38">
        <v>6.11</v>
      </c>
      <c r="AU38" t="s">
        <v>4</v>
      </c>
      <c r="AV38">
        <v>1</v>
      </c>
      <c r="AW38">
        <v>2</v>
      </c>
      <c r="AX38">
        <v>51820573</v>
      </c>
      <c r="AY38">
        <v>1</v>
      </c>
      <c r="AZ38">
        <v>0</v>
      </c>
      <c r="BA38">
        <v>34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Y38*Source!I40</f>
        <v>2.3444069999999999</v>
      </c>
      <c r="CY38">
        <f>AD38</f>
        <v>0</v>
      </c>
      <c r="CZ38">
        <f>AH38</f>
        <v>0</v>
      </c>
      <c r="DA38">
        <f>AL38</f>
        <v>1</v>
      </c>
      <c r="DB38">
        <f t="shared" si="5"/>
        <v>0</v>
      </c>
      <c r="DC38">
        <f t="shared" si="6"/>
        <v>0</v>
      </c>
    </row>
    <row r="39" spans="1:107" x14ac:dyDescent="0.25">
      <c r="A39">
        <f>ROW(Source!A40)</f>
        <v>40</v>
      </c>
      <c r="B39">
        <v>51820365</v>
      </c>
      <c r="C39">
        <v>51820566</v>
      </c>
      <c r="D39">
        <v>49571096</v>
      </c>
      <c r="E39">
        <v>1</v>
      </c>
      <c r="F39">
        <v>1</v>
      </c>
      <c r="G39">
        <v>27</v>
      </c>
      <c r="H39">
        <v>2</v>
      </c>
      <c r="I39" t="s">
        <v>204</v>
      </c>
      <c r="J39" t="s">
        <v>205</v>
      </c>
      <c r="K39" t="s">
        <v>206</v>
      </c>
      <c r="L39">
        <v>1368</v>
      </c>
      <c r="N39">
        <v>1011</v>
      </c>
      <c r="O39" t="s">
        <v>146</v>
      </c>
      <c r="P39" t="s">
        <v>146</v>
      </c>
      <c r="Q39">
        <v>1</v>
      </c>
      <c r="W39">
        <v>0</v>
      </c>
      <c r="X39">
        <v>231409664</v>
      </c>
      <c r="Y39">
        <v>1.4</v>
      </c>
      <c r="AA39">
        <v>0</v>
      </c>
      <c r="AB39">
        <v>98.05</v>
      </c>
      <c r="AC39">
        <v>33.06</v>
      </c>
      <c r="AD39">
        <v>0</v>
      </c>
      <c r="AE39">
        <v>0</v>
      </c>
      <c r="AF39">
        <v>98.05</v>
      </c>
      <c r="AG39">
        <v>33.06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4</v>
      </c>
      <c r="AT39">
        <v>1.4</v>
      </c>
      <c r="AU39" t="s">
        <v>4</v>
      </c>
      <c r="AV39">
        <v>0</v>
      </c>
      <c r="AW39">
        <v>2</v>
      </c>
      <c r="AX39">
        <v>51820574</v>
      </c>
      <c r="AY39">
        <v>1</v>
      </c>
      <c r="AZ39">
        <v>0</v>
      </c>
      <c r="BA39">
        <v>35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Y39*Source!I40</f>
        <v>0.53717999999999999</v>
      </c>
      <c r="CY39">
        <f>AB39</f>
        <v>98.05</v>
      </c>
      <c r="CZ39">
        <f>AF39</f>
        <v>98.05</v>
      </c>
      <c r="DA39">
        <f>AJ39</f>
        <v>1</v>
      </c>
      <c r="DB39">
        <f t="shared" si="5"/>
        <v>137.27000000000001</v>
      </c>
      <c r="DC39">
        <f t="shared" si="6"/>
        <v>46.28</v>
      </c>
    </row>
    <row r="40" spans="1:107" x14ac:dyDescent="0.25">
      <c r="A40">
        <f>ROW(Source!A40)</f>
        <v>40</v>
      </c>
      <c r="B40">
        <v>51820365</v>
      </c>
      <c r="C40">
        <v>51820566</v>
      </c>
      <c r="D40">
        <v>49570849</v>
      </c>
      <c r="E40">
        <v>1</v>
      </c>
      <c r="F40">
        <v>1</v>
      </c>
      <c r="G40">
        <v>27</v>
      </c>
      <c r="H40">
        <v>2</v>
      </c>
      <c r="I40" t="s">
        <v>207</v>
      </c>
      <c r="J40" t="s">
        <v>208</v>
      </c>
      <c r="K40" t="s">
        <v>209</v>
      </c>
      <c r="L40">
        <v>1368</v>
      </c>
      <c r="N40">
        <v>1011</v>
      </c>
      <c r="O40" t="s">
        <v>146</v>
      </c>
      <c r="P40" t="s">
        <v>146</v>
      </c>
      <c r="Q40">
        <v>1</v>
      </c>
      <c r="W40">
        <v>0</v>
      </c>
      <c r="X40">
        <v>-1309569954</v>
      </c>
      <c r="Y40">
        <v>0.01</v>
      </c>
      <c r="AA40">
        <v>0</v>
      </c>
      <c r="AB40">
        <v>683.9</v>
      </c>
      <c r="AC40">
        <v>371.27</v>
      </c>
      <c r="AD40">
        <v>0</v>
      </c>
      <c r="AE40">
        <v>0</v>
      </c>
      <c r="AF40">
        <v>683.9</v>
      </c>
      <c r="AG40">
        <v>371.27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4</v>
      </c>
      <c r="AT40">
        <v>0.01</v>
      </c>
      <c r="AU40" t="s">
        <v>4</v>
      </c>
      <c r="AV40">
        <v>0</v>
      </c>
      <c r="AW40">
        <v>2</v>
      </c>
      <c r="AX40">
        <v>51820575</v>
      </c>
      <c r="AY40">
        <v>1</v>
      </c>
      <c r="AZ40">
        <v>0</v>
      </c>
      <c r="BA40">
        <v>36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Y40*Source!I40</f>
        <v>3.8370000000000001E-3</v>
      </c>
      <c r="CY40">
        <f>AB40</f>
        <v>683.9</v>
      </c>
      <c r="CZ40">
        <f>AF40</f>
        <v>683.9</v>
      </c>
      <c r="DA40">
        <f>AJ40</f>
        <v>1</v>
      </c>
      <c r="DB40">
        <f t="shared" si="5"/>
        <v>6.84</v>
      </c>
      <c r="DC40">
        <f t="shared" si="6"/>
        <v>3.71</v>
      </c>
    </row>
    <row r="41" spans="1:107" x14ac:dyDescent="0.25">
      <c r="A41">
        <f>ROW(Source!A40)</f>
        <v>40</v>
      </c>
      <c r="B41">
        <v>51820365</v>
      </c>
      <c r="C41">
        <v>51820566</v>
      </c>
      <c r="D41">
        <v>49570863</v>
      </c>
      <c r="E41">
        <v>1</v>
      </c>
      <c r="F41">
        <v>1</v>
      </c>
      <c r="G41">
        <v>27</v>
      </c>
      <c r="H41">
        <v>2</v>
      </c>
      <c r="I41" t="s">
        <v>210</v>
      </c>
      <c r="J41" t="s">
        <v>211</v>
      </c>
      <c r="K41" t="s">
        <v>212</v>
      </c>
      <c r="L41">
        <v>1368</v>
      </c>
      <c r="N41">
        <v>1011</v>
      </c>
      <c r="O41" t="s">
        <v>146</v>
      </c>
      <c r="P41" t="s">
        <v>146</v>
      </c>
      <c r="Q41">
        <v>1</v>
      </c>
      <c r="W41">
        <v>0</v>
      </c>
      <c r="X41">
        <v>20585305</v>
      </c>
      <c r="Y41">
        <v>0.01</v>
      </c>
      <c r="AA41">
        <v>0</v>
      </c>
      <c r="AB41">
        <v>16.920000000000002</v>
      </c>
      <c r="AC41">
        <v>0.09</v>
      </c>
      <c r="AD41">
        <v>0</v>
      </c>
      <c r="AE41">
        <v>0</v>
      </c>
      <c r="AF41">
        <v>16.920000000000002</v>
      </c>
      <c r="AG41">
        <v>0.09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4</v>
      </c>
      <c r="AT41">
        <v>0.01</v>
      </c>
      <c r="AU41" t="s">
        <v>4</v>
      </c>
      <c r="AV41">
        <v>0</v>
      </c>
      <c r="AW41">
        <v>2</v>
      </c>
      <c r="AX41">
        <v>51820576</v>
      </c>
      <c r="AY41">
        <v>1</v>
      </c>
      <c r="AZ41">
        <v>0</v>
      </c>
      <c r="BA41">
        <v>37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Y41*Source!I40</f>
        <v>3.8370000000000001E-3</v>
      </c>
      <c r="CY41">
        <f>AB41</f>
        <v>16.920000000000002</v>
      </c>
      <c r="CZ41">
        <f>AF41</f>
        <v>16.920000000000002</v>
      </c>
      <c r="DA41">
        <f>AJ41</f>
        <v>1</v>
      </c>
      <c r="DB41">
        <f t="shared" si="5"/>
        <v>0.17</v>
      </c>
      <c r="DC41">
        <f t="shared" si="6"/>
        <v>0</v>
      </c>
    </row>
    <row r="42" spans="1:107" x14ac:dyDescent="0.25">
      <c r="A42">
        <f>ROW(Source!A40)</f>
        <v>40</v>
      </c>
      <c r="B42">
        <v>51820365</v>
      </c>
      <c r="C42">
        <v>51820566</v>
      </c>
      <c r="D42">
        <v>49560004</v>
      </c>
      <c r="E42">
        <v>27</v>
      </c>
      <c r="F42">
        <v>1</v>
      </c>
      <c r="G42">
        <v>27</v>
      </c>
      <c r="H42">
        <v>3</v>
      </c>
      <c r="I42" t="s">
        <v>213</v>
      </c>
      <c r="J42" t="s">
        <v>4</v>
      </c>
      <c r="K42" t="s">
        <v>214</v>
      </c>
      <c r="L42">
        <v>1346</v>
      </c>
      <c r="N42">
        <v>1009</v>
      </c>
      <c r="O42" t="s">
        <v>215</v>
      </c>
      <c r="P42" t="s">
        <v>215</v>
      </c>
      <c r="Q42">
        <v>1</v>
      </c>
      <c r="W42">
        <v>0</v>
      </c>
      <c r="X42">
        <v>-126270252</v>
      </c>
      <c r="Y42">
        <v>1.5</v>
      </c>
      <c r="AA42">
        <v>99.3</v>
      </c>
      <c r="AB42">
        <v>0</v>
      </c>
      <c r="AC42">
        <v>0</v>
      </c>
      <c r="AD42">
        <v>0</v>
      </c>
      <c r="AE42">
        <v>99.303030000000007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4</v>
      </c>
      <c r="AT42">
        <v>1.5</v>
      </c>
      <c r="AU42" t="s">
        <v>4</v>
      </c>
      <c r="AV42">
        <v>0</v>
      </c>
      <c r="AW42">
        <v>2</v>
      </c>
      <c r="AX42">
        <v>51820578</v>
      </c>
      <c r="AY42">
        <v>1</v>
      </c>
      <c r="AZ42">
        <v>0</v>
      </c>
      <c r="BA42">
        <v>38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Y42*Source!I40</f>
        <v>0.57555000000000001</v>
      </c>
      <c r="CY42">
        <f>AA42</f>
        <v>99.3</v>
      </c>
      <c r="CZ42">
        <f>AE42</f>
        <v>99.303030000000007</v>
      </c>
      <c r="DA42">
        <f>AI42</f>
        <v>1</v>
      </c>
      <c r="DB42">
        <f t="shared" si="5"/>
        <v>148.94999999999999</v>
      </c>
      <c r="DC42">
        <f t="shared" si="6"/>
        <v>0</v>
      </c>
    </row>
    <row r="43" spans="1:107" x14ac:dyDescent="0.25">
      <c r="A43">
        <f>ROW(Source!A40)</f>
        <v>40</v>
      </c>
      <c r="B43">
        <v>51820365</v>
      </c>
      <c r="C43">
        <v>51820566</v>
      </c>
      <c r="D43">
        <v>49572047</v>
      </c>
      <c r="E43">
        <v>1</v>
      </c>
      <c r="F43">
        <v>1</v>
      </c>
      <c r="G43">
        <v>27</v>
      </c>
      <c r="H43">
        <v>3</v>
      </c>
      <c r="I43" t="s">
        <v>216</v>
      </c>
      <c r="J43" t="s">
        <v>217</v>
      </c>
      <c r="K43" t="s">
        <v>218</v>
      </c>
      <c r="L43">
        <v>1348</v>
      </c>
      <c r="N43">
        <v>1009</v>
      </c>
      <c r="O43" t="s">
        <v>35</v>
      </c>
      <c r="P43" t="s">
        <v>35</v>
      </c>
      <c r="Q43">
        <v>1000</v>
      </c>
      <c r="W43">
        <v>0</v>
      </c>
      <c r="X43">
        <v>-1025011224</v>
      </c>
      <c r="Y43">
        <v>8.9999999999999993E-3</v>
      </c>
      <c r="AA43">
        <v>97017.58</v>
      </c>
      <c r="AB43">
        <v>0</v>
      </c>
      <c r="AC43">
        <v>0</v>
      </c>
      <c r="AD43">
        <v>0</v>
      </c>
      <c r="AE43">
        <v>97017.58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4</v>
      </c>
      <c r="AT43">
        <v>8.9999999999999993E-3</v>
      </c>
      <c r="AU43" t="s">
        <v>4</v>
      </c>
      <c r="AV43">
        <v>0</v>
      </c>
      <c r="AW43">
        <v>2</v>
      </c>
      <c r="AX43">
        <v>51820577</v>
      </c>
      <c r="AY43">
        <v>1</v>
      </c>
      <c r="AZ43">
        <v>0</v>
      </c>
      <c r="BA43">
        <v>39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Y43*Source!I40</f>
        <v>3.4532999999999994E-3</v>
      </c>
      <c r="CY43">
        <f>AA43</f>
        <v>97017.58</v>
      </c>
      <c r="CZ43">
        <f>AE43</f>
        <v>97017.58</v>
      </c>
      <c r="DA43">
        <f>AI43</f>
        <v>1</v>
      </c>
      <c r="DB43">
        <f t="shared" si="5"/>
        <v>873.16</v>
      </c>
      <c r="DC43">
        <f t="shared" si="6"/>
        <v>0</v>
      </c>
    </row>
    <row r="44" spans="1:107" x14ac:dyDescent="0.25">
      <c r="A44">
        <f>ROW(Source!A41)</f>
        <v>41</v>
      </c>
      <c r="B44">
        <v>51820365</v>
      </c>
      <c r="C44">
        <v>51820579</v>
      </c>
      <c r="D44">
        <v>49558562</v>
      </c>
      <c r="E44">
        <v>27</v>
      </c>
      <c r="F44">
        <v>1</v>
      </c>
      <c r="G44">
        <v>27</v>
      </c>
      <c r="H44">
        <v>1</v>
      </c>
      <c r="I44" t="s">
        <v>140</v>
      </c>
      <c r="J44" t="s">
        <v>4</v>
      </c>
      <c r="K44" t="s">
        <v>141</v>
      </c>
      <c r="L44">
        <v>1191</v>
      </c>
      <c r="N44">
        <v>1013</v>
      </c>
      <c r="O44" t="s">
        <v>142</v>
      </c>
      <c r="P44" t="s">
        <v>142</v>
      </c>
      <c r="Q44">
        <v>1</v>
      </c>
      <c r="W44">
        <v>0</v>
      </c>
      <c r="X44">
        <v>476480486</v>
      </c>
      <c r="Y44">
        <v>2.4500000000000002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4</v>
      </c>
      <c r="AT44">
        <v>2.4500000000000002</v>
      </c>
      <c r="AU44" t="s">
        <v>4</v>
      </c>
      <c r="AV44">
        <v>1</v>
      </c>
      <c r="AW44">
        <v>2</v>
      </c>
      <c r="AX44">
        <v>51820584</v>
      </c>
      <c r="AY44">
        <v>1</v>
      </c>
      <c r="AZ44">
        <v>0</v>
      </c>
      <c r="BA44">
        <v>40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Y44*Source!I41</f>
        <v>0.94006500000000004</v>
      </c>
      <c r="CY44">
        <f>AD44</f>
        <v>0</v>
      </c>
      <c r="CZ44">
        <f>AH44</f>
        <v>0</v>
      </c>
      <c r="DA44">
        <f>AL44</f>
        <v>1</v>
      </c>
      <c r="DB44">
        <f t="shared" si="5"/>
        <v>0</v>
      </c>
      <c r="DC44">
        <f t="shared" si="6"/>
        <v>0</v>
      </c>
    </row>
    <row r="45" spans="1:107" x14ac:dyDescent="0.25">
      <c r="A45">
        <f>ROW(Source!A41)</f>
        <v>41</v>
      </c>
      <c r="B45">
        <v>51820365</v>
      </c>
      <c r="C45">
        <v>51820579</v>
      </c>
      <c r="D45">
        <v>49570849</v>
      </c>
      <c r="E45">
        <v>1</v>
      </c>
      <c r="F45">
        <v>1</v>
      </c>
      <c r="G45">
        <v>27</v>
      </c>
      <c r="H45">
        <v>2</v>
      </c>
      <c r="I45" t="s">
        <v>207</v>
      </c>
      <c r="J45" t="s">
        <v>208</v>
      </c>
      <c r="K45" t="s">
        <v>209</v>
      </c>
      <c r="L45">
        <v>1368</v>
      </c>
      <c r="N45">
        <v>1011</v>
      </c>
      <c r="O45" t="s">
        <v>146</v>
      </c>
      <c r="P45" t="s">
        <v>146</v>
      </c>
      <c r="Q45">
        <v>1</v>
      </c>
      <c r="W45">
        <v>0</v>
      </c>
      <c r="X45">
        <v>-1309569954</v>
      </c>
      <c r="Y45">
        <v>0.01</v>
      </c>
      <c r="AA45">
        <v>0</v>
      </c>
      <c r="AB45">
        <v>683.9</v>
      </c>
      <c r="AC45">
        <v>371.27</v>
      </c>
      <c r="AD45">
        <v>0</v>
      </c>
      <c r="AE45">
        <v>0</v>
      </c>
      <c r="AF45">
        <v>683.9</v>
      </c>
      <c r="AG45">
        <v>371.27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4</v>
      </c>
      <c r="AT45">
        <v>0.01</v>
      </c>
      <c r="AU45" t="s">
        <v>4</v>
      </c>
      <c r="AV45">
        <v>0</v>
      </c>
      <c r="AW45">
        <v>2</v>
      </c>
      <c r="AX45">
        <v>51820585</v>
      </c>
      <c r="AY45">
        <v>1</v>
      </c>
      <c r="AZ45">
        <v>0</v>
      </c>
      <c r="BA45">
        <v>41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Y45*Source!I41</f>
        <v>3.8370000000000001E-3</v>
      </c>
      <c r="CY45">
        <f>AB45</f>
        <v>683.9</v>
      </c>
      <c r="CZ45">
        <f>AF45</f>
        <v>683.9</v>
      </c>
      <c r="DA45">
        <f>AJ45</f>
        <v>1</v>
      </c>
      <c r="DB45">
        <f t="shared" si="5"/>
        <v>6.84</v>
      </c>
      <c r="DC45">
        <f t="shared" si="6"/>
        <v>3.71</v>
      </c>
    </row>
    <row r="46" spans="1:107" x14ac:dyDescent="0.25">
      <c r="A46">
        <f>ROW(Source!A41)</f>
        <v>41</v>
      </c>
      <c r="B46">
        <v>51820365</v>
      </c>
      <c r="C46">
        <v>51820579</v>
      </c>
      <c r="D46">
        <v>49572145</v>
      </c>
      <c r="E46">
        <v>1</v>
      </c>
      <c r="F46">
        <v>1</v>
      </c>
      <c r="G46">
        <v>27</v>
      </c>
      <c r="H46">
        <v>3</v>
      </c>
      <c r="I46" t="s">
        <v>219</v>
      </c>
      <c r="J46" t="s">
        <v>220</v>
      </c>
      <c r="K46" t="s">
        <v>221</v>
      </c>
      <c r="L46">
        <v>1348</v>
      </c>
      <c r="N46">
        <v>1009</v>
      </c>
      <c r="O46" t="s">
        <v>35</v>
      </c>
      <c r="P46" t="s">
        <v>35</v>
      </c>
      <c r="Q46">
        <v>1000</v>
      </c>
      <c r="W46">
        <v>0</v>
      </c>
      <c r="X46">
        <v>-114266964</v>
      </c>
      <c r="Y46">
        <v>1.48E-3</v>
      </c>
      <c r="AA46">
        <v>63195.54</v>
      </c>
      <c r="AB46">
        <v>0</v>
      </c>
      <c r="AC46">
        <v>0</v>
      </c>
      <c r="AD46">
        <v>0</v>
      </c>
      <c r="AE46">
        <v>63195.54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4</v>
      </c>
      <c r="AT46">
        <v>1.48E-3</v>
      </c>
      <c r="AU46" t="s">
        <v>4</v>
      </c>
      <c r="AV46">
        <v>0</v>
      </c>
      <c r="AW46">
        <v>2</v>
      </c>
      <c r="AX46">
        <v>51820586</v>
      </c>
      <c r="AY46">
        <v>1</v>
      </c>
      <c r="AZ46">
        <v>0</v>
      </c>
      <c r="BA46">
        <v>42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Y46*Source!I41</f>
        <v>5.6787599999999993E-4</v>
      </c>
      <c r="CY46">
        <f>AA46</f>
        <v>63195.54</v>
      </c>
      <c r="CZ46">
        <f>AE46</f>
        <v>63195.54</v>
      </c>
      <c r="DA46">
        <f>AI46</f>
        <v>1</v>
      </c>
      <c r="DB46">
        <f t="shared" si="5"/>
        <v>93.53</v>
      </c>
      <c r="DC46">
        <f t="shared" si="6"/>
        <v>0</v>
      </c>
    </row>
    <row r="47" spans="1:107" x14ac:dyDescent="0.25">
      <c r="A47">
        <f>ROW(Source!A41)</f>
        <v>41</v>
      </c>
      <c r="B47">
        <v>51820365</v>
      </c>
      <c r="C47">
        <v>51820579</v>
      </c>
      <c r="D47">
        <v>49572170</v>
      </c>
      <c r="E47">
        <v>1</v>
      </c>
      <c r="F47">
        <v>1</v>
      </c>
      <c r="G47">
        <v>27</v>
      </c>
      <c r="H47">
        <v>3</v>
      </c>
      <c r="I47" t="s">
        <v>222</v>
      </c>
      <c r="J47" t="s">
        <v>223</v>
      </c>
      <c r="K47" t="s">
        <v>224</v>
      </c>
      <c r="L47">
        <v>1346</v>
      </c>
      <c r="N47">
        <v>1009</v>
      </c>
      <c r="O47" t="s">
        <v>215</v>
      </c>
      <c r="P47" t="s">
        <v>215</v>
      </c>
      <c r="Q47">
        <v>1</v>
      </c>
      <c r="W47">
        <v>0</v>
      </c>
      <c r="X47">
        <v>-579923843</v>
      </c>
      <c r="Y47">
        <v>9</v>
      </c>
      <c r="AA47">
        <v>105.32</v>
      </c>
      <c r="AB47">
        <v>0</v>
      </c>
      <c r="AC47">
        <v>0</v>
      </c>
      <c r="AD47">
        <v>0</v>
      </c>
      <c r="AE47">
        <v>105.32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4</v>
      </c>
      <c r="AT47">
        <v>9</v>
      </c>
      <c r="AU47" t="s">
        <v>4</v>
      </c>
      <c r="AV47">
        <v>0</v>
      </c>
      <c r="AW47">
        <v>2</v>
      </c>
      <c r="AX47">
        <v>51820587</v>
      </c>
      <c r="AY47">
        <v>1</v>
      </c>
      <c r="AZ47">
        <v>0</v>
      </c>
      <c r="BA47">
        <v>43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Y47*Source!I41</f>
        <v>3.4533</v>
      </c>
      <c r="CY47">
        <f>AA47</f>
        <v>105.32</v>
      </c>
      <c r="CZ47">
        <f>AE47</f>
        <v>105.32</v>
      </c>
      <c r="DA47">
        <f>AI47</f>
        <v>1</v>
      </c>
      <c r="DB47">
        <f t="shared" si="5"/>
        <v>947.88</v>
      </c>
      <c r="DC47">
        <f t="shared" si="6"/>
        <v>0</v>
      </c>
    </row>
    <row r="48" spans="1:107" x14ac:dyDescent="0.25">
      <c r="A48">
        <f>ROW(Source!A42)</f>
        <v>42</v>
      </c>
      <c r="B48">
        <v>51820365</v>
      </c>
      <c r="C48">
        <v>51820588</v>
      </c>
      <c r="D48">
        <v>49558562</v>
      </c>
      <c r="E48">
        <v>27</v>
      </c>
      <c r="F48">
        <v>1</v>
      </c>
      <c r="G48">
        <v>27</v>
      </c>
      <c r="H48">
        <v>1</v>
      </c>
      <c r="I48" t="s">
        <v>140</v>
      </c>
      <c r="J48" t="s">
        <v>4</v>
      </c>
      <c r="K48" t="s">
        <v>141</v>
      </c>
      <c r="L48">
        <v>1191</v>
      </c>
      <c r="N48">
        <v>1013</v>
      </c>
      <c r="O48" t="s">
        <v>142</v>
      </c>
      <c r="P48" t="s">
        <v>142</v>
      </c>
      <c r="Q48">
        <v>1</v>
      </c>
      <c r="W48">
        <v>0</v>
      </c>
      <c r="X48">
        <v>476480486</v>
      </c>
      <c r="Y48">
        <v>2.97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4</v>
      </c>
      <c r="AT48">
        <v>2.97</v>
      </c>
      <c r="AU48" t="s">
        <v>4</v>
      </c>
      <c r="AV48">
        <v>1</v>
      </c>
      <c r="AW48">
        <v>2</v>
      </c>
      <c r="AX48">
        <v>51820796</v>
      </c>
      <c r="AY48">
        <v>1</v>
      </c>
      <c r="AZ48">
        <v>0</v>
      </c>
      <c r="BA48">
        <v>44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Y48*Source!I42</f>
        <v>6.237000000000001</v>
      </c>
      <c r="CY48">
        <f>AD48</f>
        <v>0</v>
      </c>
      <c r="CZ48">
        <f>AH48</f>
        <v>0</v>
      </c>
      <c r="DA48">
        <f>AL48</f>
        <v>1</v>
      </c>
      <c r="DB48">
        <f t="shared" si="5"/>
        <v>0</v>
      </c>
      <c r="DC48">
        <f t="shared" si="6"/>
        <v>0</v>
      </c>
    </row>
    <row r="49" spans="1:107" x14ac:dyDescent="0.25">
      <c r="A49">
        <f>ROW(Source!A42)</f>
        <v>42</v>
      </c>
      <c r="B49">
        <v>51820365</v>
      </c>
      <c r="C49">
        <v>51820588</v>
      </c>
      <c r="D49">
        <v>49571187</v>
      </c>
      <c r="E49">
        <v>1</v>
      </c>
      <c r="F49">
        <v>1</v>
      </c>
      <c r="G49">
        <v>27</v>
      </c>
      <c r="H49">
        <v>2</v>
      </c>
      <c r="I49" t="s">
        <v>193</v>
      </c>
      <c r="J49" t="s">
        <v>194</v>
      </c>
      <c r="K49" t="s">
        <v>195</v>
      </c>
      <c r="L49">
        <v>1368</v>
      </c>
      <c r="N49">
        <v>1011</v>
      </c>
      <c r="O49" t="s">
        <v>146</v>
      </c>
      <c r="P49" t="s">
        <v>146</v>
      </c>
      <c r="Q49">
        <v>1</v>
      </c>
      <c r="W49">
        <v>0</v>
      </c>
      <c r="X49">
        <v>-711828296</v>
      </c>
      <c r="Y49">
        <v>0.38400000000000001</v>
      </c>
      <c r="AA49">
        <v>0</v>
      </c>
      <c r="AB49">
        <v>351.29</v>
      </c>
      <c r="AC49">
        <v>7.02</v>
      </c>
      <c r="AD49">
        <v>0</v>
      </c>
      <c r="AE49">
        <v>0</v>
      </c>
      <c r="AF49">
        <v>351.29</v>
      </c>
      <c r="AG49">
        <v>7.02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4</v>
      </c>
      <c r="AT49">
        <v>0.38400000000000001</v>
      </c>
      <c r="AU49" t="s">
        <v>4</v>
      </c>
      <c r="AV49">
        <v>0</v>
      </c>
      <c r="AW49">
        <v>2</v>
      </c>
      <c r="AX49">
        <v>51820797</v>
      </c>
      <c r="AY49">
        <v>1</v>
      </c>
      <c r="AZ49">
        <v>0</v>
      </c>
      <c r="BA49">
        <v>45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Y49*Source!I42</f>
        <v>0.80640000000000001</v>
      </c>
      <c r="CY49">
        <f>AB49</f>
        <v>351.29</v>
      </c>
      <c r="CZ49">
        <f>AF49</f>
        <v>351.29</v>
      </c>
      <c r="DA49">
        <f>AJ49</f>
        <v>1</v>
      </c>
      <c r="DB49">
        <f t="shared" si="5"/>
        <v>134.9</v>
      </c>
      <c r="DC49">
        <f t="shared" si="6"/>
        <v>2.7</v>
      </c>
    </row>
    <row r="50" spans="1:107" x14ac:dyDescent="0.25">
      <c r="A50">
        <f>ROW(Source!A42)</f>
        <v>42</v>
      </c>
      <c r="B50">
        <v>51820365</v>
      </c>
      <c r="C50">
        <v>51820588</v>
      </c>
      <c r="D50">
        <v>49571572</v>
      </c>
      <c r="E50">
        <v>1</v>
      </c>
      <c r="F50">
        <v>1</v>
      </c>
      <c r="G50">
        <v>27</v>
      </c>
      <c r="H50">
        <v>2</v>
      </c>
      <c r="I50" t="s">
        <v>147</v>
      </c>
      <c r="J50" t="s">
        <v>196</v>
      </c>
      <c r="K50" t="s">
        <v>149</v>
      </c>
      <c r="L50">
        <v>1368</v>
      </c>
      <c r="N50">
        <v>1011</v>
      </c>
      <c r="O50" t="s">
        <v>146</v>
      </c>
      <c r="P50" t="s">
        <v>146</v>
      </c>
      <c r="Q50">
        <v>1</v>
      </c>
      <c r="W50">
        <v>0</v>
      </c>
      <c r="X50">
        <v>-764600179</v>
      </c>
      <c r="Y50">
        <v>0.115</v>
      </c>
      <c r="AA50">
        <v>0</v>
      </c>
      <c r="AB50">
        <v>5.94</v>
      </c>
      <c r="AC50">
        <v>0.02</v>
      </c>
      <c r="AD50">
        <v>0</v>
      </c>
      <c r="AE50">
        <v>0</v>
      </c>
      <c r="AF50">
        <v>5.94</v>
      </c>
      <c r="AG50">
        <v>0.02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4</v>
      </c>
      <c r="AT50">
        <v>0.115</v>
      </c>
      <c r="AU50" t="s">
        <v>4</v>
      </c>
      <c r="AV50">
        <v>0</v>
      </c>
      <c r="AW50">
        <v>2</v>
      </c>
      <c r="AX50">
        <v>51820798</v>
      </c>
      <c r="AY50">
        <v>1</v>
      </c>
      <c r="AZ50">
        <v>0</v>
      </c>
      <c r="BA50">
        <v>46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Y50*Source!I42</f>
        <v>0.24150000000000002</v>
      </c>
      <c r="CY50">
        <f>AB50</f>
        <v>5.94</v>
      </c>
      <c r="CZ50">
        <f>AF50</f>
        <v>5.94</v>
      </c>
      <c r="DA50">
        <f>AJ50</f>
        <v>1</v>
      </c>
      <c r="DB50">
        <f t="shared" si="5"/>
        <v>0.68</v>
      </c>
      <c r="DC50">
        <f t="shared" si="6"/>
        <v>0</v>
      </c>
    </row>
    <row r="51" spans="1:107" x14ac:dyDescent="0.25">
      <c r="A51">
        <f>ROW(Source!A42)</f>
        <v>42</v>
      </c>
      <c r="B51">
        <v>51820365</v>
      </c>
      <c r="C51">
        <v>51820588</v>
      </c>
      <c r="D51">
        <v>49571595</v>
      </c>
      <c r="E51">
        <v>1</v>
      </c>
      <c r="F51">
        <v>1</v>
      </c>
      <c r="G51">
        <v>27</v>
      </c>
      <c r="H51">
        <v>2</v>
      </c>
      <c r="I51" t="s">
        <v>197</v>
      </c>
      <c r="J51" t="s">
        <v>198</v>
      </c>
      <c r="K51" t="s">
        <v>199</v>
      </c>
      <c r="L51">
        <v>1368</v>
      </c>
      <c r="N51">
        <v>1011</v>
      </c>
      <c r="O51" t="s">
        <v>146</v>
      </c>
      <c r="P51" t="s">
        <v>146</v>
      </c>
      <c r="Q51">
        <v>1</v>
      </c>
      <c r="W51">
        <v>0</v>
      </c>
      <c r="X51">
        <v>676633484</v>
      </c>
      <c r="Y51">
        <v>0.504</v>
      </c>
      <c r="AA51">
        <v>0</v>
      </c>
      <c r="AB51">
        <v>652.16</v>
      </c>
      <c r="AC51">
        <v>581.9</v>
      </c>
      <c r="AD51">
        <v>0</v>
      </c>
      <c r="AE51">
        <v>0</v>
      </c>
      <c r="AF51">
        <v>652.16</v>
      </c>
      <c r="AG51">
        <v>581.9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4</v>
      </c>
      <c r="AT51">
        <v>0.504</v>
      </c>
      <c r="AU51" t="s">
        <v>4</v>
      </c>
      <c r="AV51">
        <v>0</v>
      </c>
      <c r="AW51">
        <v>2</v>
      </c>
      <c r="AX51">
        <v>51820799</v>
      </c>
      <c r="AY51">
        <v>1</v>
      </c>
      <c r="AZ51">
        <v>0</v>
      </c>
      <c r="BA51">
        <v>47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Y51*Source!I42</f>
        <v>1.0584</v>
      </c>
      <c r="CY51">
        <f>AB51</f>
        <v>652.16</v>
      </c>
      <c r="CZ51">
        <f>AF51</f>
        <v>652.16</v>
      </c>
      <c r="DA51">
        <f>AJ51</f>
        <v>1</v>
      </c>
      <c r="DB51">
        <f t="shared" si="5"/>
        <v>328.69</v>
      </c>
      <c r="DC51">
        <f t="shared" si="6"/>
        <v>293.27999999999997</v>
      </c>
    </row>
    <row r="52" spans="1:107" x14ac:dyDescent="0.25">
      <c r="A52">
        <f>ROW(Source!A42)</f>
        <v>42</v>
      </c>
      <c r="B52">
        <v>51820365</v>
      </c>
      <c r="C52">
        <v>51820588</v>
      </c>
      <c r="D52">
        <v>49572552</v>
      </c>
      <c r="E52">
        <v>1</v>
      </c>
      <c r="F52">
        <v>1</v>
      </c>
      <c r="G52">
        <v>27</v>
      </c>
      <c r="H52">
        <v>3</v>
      </c>
      <c r="I52" t="s">
        <v>159</v>
      </c>
      <c r="J52" t="s">
        <v>200</v>
      </c>
      <c r="K52" t="s">
        <v>161</v>
      </c>
      <c r="L52">
        <v>1348</v>
      </c>
      <c r="N52">
        <v>1009</v>
      </c>
      <c r="O52" t="s">
        <v>35</v>
      </c>
      <c r="P52" t="s">
        <v>35</v>
      </c>
      <c r="Q52">
        <v>1000</v>
      </c>
      <c r="W52">
        <v>0</v>
      </c>
      <c r="X52">
        <v>-1210277159</v>
      </c>
      <c r="Y52">
        <v>1.01E-3</v>
      </c>
      <c r="AA52">
        <v>38268.54</v>
      </c>
      <c r="AB52">
        <v>0</v>
      </c>
      <c r="AC52">
        <v>0</v>
      </c>
      <c r="AD52">
        <v>0</v>
      </c>
      <c r="AE52">
        <v>38268.54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4</v>
      </c>
      <c r="AT52">
        <v>1.01E-3</v>
      </c>
      <c r="AU52" t="s">
        <v>4</v>
      </c>
      <c r="AV52">
        <v>0</v>
      </c>
      <c r="AW52">
        <v>2</v>
      </c>
      <c r="AX52">
        <v>51820800</v>
      </c>
      <c r="AY52">
        <v>1</v>
      </c>
      <c r="AZ52">
        <v>0</v>
      </c>
      <c r="BA52">
        <v>48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Y52*Source!I42</f>
        <v>2.1210000000000001E-3</v>
      </c>
      <c r="CY52">
        <f>AA52</f>
        <v>38268.54</v>
      </c>
      <c r="CZ52">
        <f>AE52</f>
        <v>38268.54</v>
      </c>
      <c r="DA52">
        <f>AI52</f>
        <v>1</v>
      </c>
      <c r="DB52">
        <f t="shared" si="5"/>
        <v>38.65</v>
      </c>
      <c r="DC52">
        <f t="shared" si="6"/>
        <v>0</v>
      </c>
    </row>
    <row r="53" spans="1:107" x14ac:dyDescent="0.25">
      <c r="A53">
        <f>ROW(Source!A42)</f>
        <v>42</v>
      </c>
      <c r="B53">
        <v>51820365</v>
      </c>
      <c r="C53">
        <v>51820588</v>
      </c>
      <c r="D53">
        <v>49572410</v>
      </c>
      <c r="E53">
        <v>1</v>
      </c>
      <c r="F53">
        <v>1</v>
      </c>
      <c r="G53">
        <v>27</v>
      </c>
      <c r="H53">
        <v>3</v>
      </c>
      <c r="I53" t="s">
        <v>58</v>
      </c>
      <c r="J53" t="s">
        <v>60</v>
      </c>
      <c r="K53" t="s">
        <v>59</v>
      </c>
      <c r="L53">
        <v>1348</v>
      </c>
      <c r="N53">
        <v>1009</v>
      </c>
      <c r="O53" t="s">
        <v>35</v>
      </c>
      <c r="P53" t="s">
        <v>35</v>
      </c>
      <c r="Q53">
        <v>1000</v>
      </c>
      <c r="W53">
        <v>1</v>
      </c>
      <c r="X53">
        <v>-2126876791</v>
      </c>
      <c r="Y53">
        <v>-0.15185699999999999</v>
      </c>
      <c r="AA53">
        <v>37537.54</v>
      </c>
      <c r="AB53">
        <v>0</v>
      </c>
      <c r="AC53">
        <v>0</v>
      </c>
      <c r="AD53">
        <v>0</v>
      </c>
      <c r="AE53">
        <v>37537.54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4</v>
      </c>
      <c r="AT53">
        <v>-0.15185699999999999</v>
      </c>
      <c r="AU53" t="s">
        <v>4</v>
      </c>
      <c r="AV53">
        <v>0</v>
      </c>
      <c r="AW53">
        <v>2</v>
      </c>
      <c r="AX53">
        <v>51820801</v>
      </c>
      <c r="AY53">
        <v>1</v>
      </c>
      <c r="AZ53">
        <v>6144</v>
      </c>
      <c r="BA53">
        <v>49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Y53*Source!I42</f>
        <v>-0.31889970000000001</v>
      </c>
      <c r="CY53">
        <f>AA53</f>
        <v>37537.54</v>
      </c>
      <c r="CZ53">
        <f>AE53</f>
        <v>37537.54</v>
      </c>
      <c r="DA53">
        <f>AI53</f>
        <v>1</v>
      </c>
      <c r="DB53">
        <f t="shared" si="5"/>
        <v>-5700.34</v>
      </c>
      <c r="DC53">
        <f t="shared" si="6"/>
        <v>0</v>
      </c>
    </row>
    <row r="54" spans="1:107" x14ac:dyDescent="0.25">
      <c r="A54">
        <f>ROW(Source!A42)</f>
        <v>42</v>
      </c>
      <c r="B54">
        <v>51820365</v>
      </c>
      <c r="C54">
        <v>51820588</v>
      </c>
      <c r="D54">
        <v>49572416</v>
      </c>
      <c r="E54">
        <v>1</v>
      </c>
      <c r="F54">
        <v>1</v>
      </c>
      <c r="G54">
        <v>27</v>
      </c>
      <c r="H54">
        <v>3</v>
      </c>
      <c r="I54" t="s">
        <v>62</v>
      </c>
      <c r="J54" t="s">
        <v>64</v>
      </c>
      <c r="K54" t="s">
        <v>63</v>
      </c>
      <c r="L54">
        <v>1348</v>
      </c>
      <c r="N54">
        <v>1009</v>
      </c>
      <c r="O54" t="s">
        <v>35</v>
      </c>
      <c r="P54" t="s">
        <v>35</v>
      </c>
      <c r="Q54">
        <v>1000</v>
      </c>
      <c r="W54">
        <v>0</v>
      </c>
      <c r="X54">
        <v>-992296457</v>
      </c>
      <c r="Y54">
        <v>1.4893999999999999E-2</v>
      </c>
      <c r="AA54">
        <v>40597.550000000003</v>
      </c>
      <c r="AB54">
        <v>0</v>
      </c>
      <c r="AC54">
        <v>0</v>
      </c>
      <c r="AD54">
        <v>0</v>
      </c>
      <c r="AE54">
        <v>40597.550000000003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4</v>
      </c>
      <c r="AT54">
        <v>1.4893999999999999E-2</v>
      </c>
      <c r="AU54" t="s">
        <v>4</v>
      </c>
      <c r="AV54">
        <v>0</v>
      </c>
      <c r="AW54">
        <v>1</v>
      </c>
      <c r="AX54">
        <v>-1</v>
      </c>
      <c r="AY54">
        <v>0</v>
      </c>
      <c r="AZ54">
        <v>0</v>
      </c>
      <c r="BA54" t="s">
        <v>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Y54*Source!I42</f>
        <v>3.1277399999999997E-2</v>
      </c>
      <c r="CY54">
        <f>AA54</f>
        <v>40597.550000000003</v>
      </c>
      <c r="CZ54">
        <f>AE54</f>
        <v>40597.550000000003</v>
      </c>
      <c r="DA54">
        <f>AI54</f>
        <v>1</v>
      </c>
      <c r="DB54">
        <f t="shared" si="5"/>
        <v>604.66</v>
      </c>
      <c r="DC54">
        <f t="shared" si="6"/>
        <v>0</v>
      </c>
    </row>
    <row r="55" spans="1:107" x14ac:dyDescent="0.25">
      <c r="A55">
        <f>ROW(Source!A42)</f>
        <v>42</v>
      </c>
      <c r="B55">
        <v>51820365</v>
      </c>
      <c r="C55">
        <v>51820588</v>
      </c>
      <c r="D55">
        <v>49573540</v>
      </c>
      <c r="E55">
        <v>1</v>
      </c>
      <c r="F55">
        <v>1</v>
      </c>
      <c r="G55">
        <v>27</v>
      </c>
      <c r="H55">
        <v>3</v>
      </c>
      <c r="I55" t="s">
        <v>190</v>
      </c>
      <c r="J55" t="s">
        <v>191</v>
      </c>
      <c r="K55" t="s">
        <v>192</v>
      </c>
      <c r="L55">
        <v>1348</v>
      </c>
      <c r="N55">
        <v>1009</v>
      </c>
      <c r="O55" t="s">
        <v>35</v>
      </c>
      <c r="P55" t="s">
        <v>35</v>
      </c>
      <c r="Q55">
        <v>1000</v>
      </c>
      <c r="W55">
        <v>0</v>
      </c>
      <c r="X55">
        <v>-672771621</v>
      </c>
      <c r="Y55">
        <v>5.0000000000000001E-4</v>
      </c>
      <c r="AA55">
        <v>110781.14</v>
      </c>
      <c r="AB55">
        <v>0</v>
      </c>
      <c r="AC55">
        <v>0</v>
      </c>
      <c r="AD55">
        <v>0</v>
      </c>
      <c r="AE55">
        <v>110781.14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4</v>
      </c>
      <c r="AT55">
        <v>5.0000000000000001E-4</v>
      </c>
      <c r="AU55" t="s">
        <v>4</v>
      </c>
      <c r="AV55">
        <v>0</v>
      </c>
      <c r="AW55">
        <v>2</v>
      </c>
      <c r="AX55">
        <v>51820802</v>
      </c>
      <c r="AY55">
        <v>1</v>
      </c>
      <c r="AZ55">
        <v>0</v>
      </c>
      <c r="BA55">
        <v>50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Y55*Source!I42</f>
        <v>1.0500000000000002E-3</v>
      </c>
      <c r="CY55">
        <f>AA55</f>
        <v>110781.14</v>
      </c>
      <c r="CZ55">
        <f>AE55</f>
        <v>110781.14</v>
      </c>
      <c r="DA55">
        <f>AI55</f>
        <v>1</v>
      </c>
      <c r="DB55">
        <f t="shared" si="5"/>
        <v>55.39</v>
      </c>
      <c r="DC55">
        <f t="shared" si="6"/>
        <v>0</v>
      </c>
    </row>
    <row r="56" spans="1:107" x14ac:dyDescent="0.25">
      <c r="A56">
        <f>ROW(Source!A42)</f>
        <v>42</v>
      </c>
      <c r="B56">
        <v>51820365</v>
      </c>
      <c r="C56">
        <v>51820588</v>
      </c>
      <c r="D56">
        <v>49575861</v>
      </c>
      <c r="E56">
        <v>1</v>
      </c>
      <c r="F56">
        <v>1</v>
      </c>
      <c r="G56">
        <v>27</v>
      </c>
      <c r="H56">
        <v>3</v>
      </c>
      <c r="I56" t="s">
        <v>201</v>
      </c>
      <c r="J56" t="s">
        <v>202</v>
      </c>
      <c r="K56" t="s">
        <v>203</v>
      </c>
      <c r="L56">
        <v>1354</v>
      </c>
      <c r="N56">
        <v>1010</v>
      </c>
      <c r="O56" t="s">
        <v>18</v>
      </c>
      <c r="P56" t="s">
        <v>18</v>
      </c>
      <c r="Q56">
        <v>1</v>
      </c>
      <c r="W56">
        <v>0</v>
      </c>
      <c r="X56">
        <v>969740417</v>
      </c>
      <c r="Y56">
        <v>1.4E-2</v>
      </c>
      <c r="AA56">
        <v>16.54</v>
      </c>
      <c r="AB56">
        <v>0</v>
      </c>
      <c r="AC56">
        <v>0</v>
      </c>
      <c r="AD56">
        <v>0</v>
      </c>
      <c r="AE56">
        <v>16.54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4</v>
      </c>
      <c r="AT56">
        <v>1.4E-2</v>
      </c>
      <c r="AU56" t="s">
        <v>4</v>
      </c>
      <c r="AV56">
        <v>0</v>
      </c>
      <c r="AW56">
        <v>2</v>
      </c>
      <c r="AX56">
        <v>51820803</v>
      </c>
      <c r="AY56">
        <v>1</v>
      </c>
      <c r="AZ56">
        <v>0</v>
      </c>
      <c r="BA56">
        <v>51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Y56*Source!I42</f>
        <v>2.9400000000000003E-2</v>
      </c>
      <c r="CY56">
        <f>AA56</f>
        <v>16.54</v>
      </c>
      <c r="CZ56">
        <f>AE56</f>
        <v>16.54</v>
      </c>
      <c r="DA56">
        <f>AI56</f>
        <v>1</v>
      </c>
      <c r="DB56">
        <f t="shared" si="5"/>
        <v>0.23</v>
      </c>
      <c r="DC56">
        <f t="shared" si="6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workbookViewId="0"/>
  </sheetViews>
  <sheetFormatPr defaultColWidth="9.109375" defaultRowHeight="13.2" x14ac:dyDescent="0.25"/>
  <cols>
    <col min="1" max="256" width="9.109375" customWidth="1"/>
  </cols>
  <sheetData>
    <row r="1" spans="1:44" x14ac:dyDescent="0.25">
      <c r="A1">
        <f>ROW(Source!A28)</f>
        <v>28</v>
      </c>
      <c r="B1">
        <v>51820501</v>
      </c>
      <c r="C1">
        <v>51820484</v>
      </c>
      <c r="D1">
        <v>49558562</v>
      </c>
      <c r="E1">
        <v>27</v>
      </c>
      <c r="F1">
        <v>1</v>
      </c>
      <c r="G1">
        <v>27</v>
      </c>
      <c r="H1">
        <v>1</v>
      </c>
      <c r="I1" t="s">
        <v>140</v>
      </c>
      <c r="J1" t="s">
        <v>4</v>
      </c>
      <c r="K1" t="s">
        <v>141</v>
      </c>
      <c r="L1">
        <v>1191</v>
      </c>
      <c r="N1">
        <v>1013</v>
      </c>
      <c r="O1" t="s">
        <v>142</v>
      </c>
      <c r="P1" t="s">
        <v>142</v>
      </c>
      <c r="Q1">
        <v>1</v>
      </c>
      <c r="X1">
        <v>2.38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4</v>
      </c>
      <c r="AG1">
        <v>2.38</v>
      </c>
      <c r="AH1">
        <v>2</v>
      </c>
      <c r="AI1">
        <v>51820488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5">
      <c r="A2">
        <f>ROW(Source!A28)</f>
        <v>28</v>
      </c>
      <c r="B2">
        <v>51820502</v>
      </c>
      <c r="C2">
        <v>51820484</v>
      </c>
      <c r="D2">
        <v>49571188</v>
      </c>
      <c r="E2">
        <v>1</v>
      </c>
      <c r="F2">
        <v>1</v>
      </c>
      <c r="G2">
        <v>27</v>
      </c>
      <c r="H2">
        <v>2</v>
      </c>
      <c r="I2" t="s">
        <v>143</v>
      </c>
      <c r="J2" t="s">
        <v>144</v>
      </c>
      <c r="K2" t="s">
        <v>145</v>
      </c>
      <c r="L2">
        <v>1368</v>
      </c>
      <c r="N2">
        <v>1011</v>
      </c>
      <c r="O2" t="s">
        <v>146</v>
      </c>
      <c r="P2" t="s">
        <v>146</v>
      </c>
      <c r="Q2">
        <v>1</v>
      </c>
      <c r="X2">
        <v>0.159</v>
      </c>
      <c r="Y2">
        <v>0</v>
      </c>
      <c r="Z2">
        <v>6.29</v>
      </c>
      <c r="AA2">
        <v>0.14000000000000001</v>
      </c>
      <c r="AB2">
        <v>0</v>
      </c>
      <c r="AC2">
        <v>0</v>
      </c>
      <c r="AD2">
        <v>1</v>
      </c>
      <c r="AE2">
        <v>0</v>
      </c>
      <c r="AF2" t="s">
        <v>4</v>
      </c>
      <c r="AG2">
        <v>0.159</v>
      </c>
      <c r="AH2">
        <v>2</v>
      </c>
      <c r="AI2">
        <v>51820489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f>ROW(Source!A28)</f>
        <v>28</v>
      </c>
      <c r="B3">
        <v>51820503</v>
      </c>
      <c r="C3">
        <v>51820484</v>
      </c>
      <c r="D3">
        <v>49571572</v>
      </c>
      <c r="E3">
        <v>1</v>
      </c>
      <c r="F3">
        <v>1</v>
      </c>
      <c r="G3">
        <v>27</v>
      </c>
      <c r="H3">
        <v>2</v>
      </c>
      <c r="I3" t="s">
        <v>147</v>
      </c>
      <c r="J3" t="s">
        <v>148</v>
      </c>
      <c r="K3" t="s">
        <v>149</v>
      </c>
      <c r="L3">
        <v>1368</v>
      </c>
      <c r="N3">
        <v>1011</v>
      </c>
      <c r="O3" t="s">
        <v>146</v>
      </c>
      <c r="P3" t="s">
        <v>146</v>
      </c>
      <c r="Q3">
        <v>1</v>
      </c>
      <c r="X3">
        <v>8.0000000000000002E-3</v>
      </c>
      <c r="Y3">
        <v>0</v>
      </c>
      <c r="Z3">
        <v>5.94</v>
      </c>
      <c r="AA3">
        <v>0.02</v>
      </c>
      <c r="AB3">
        <v>0</v>
      </c>
      <c r="AC3">
        <v>0</v>
      </c>
      <c r="AD3">
        <v>1</v>
      </c>
      <c r="AE3">
        <v>0</v>
      </c>
      <c r="AF3" t="s">
        <v>4</v>
      </c>
      <c r="AG3">
        <v>8.0000000000000002E-3</v>
      </c>
      <c r="AH3">
        <v>2</v>
      </c>
      <c r="AI3">
        <v>51820490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f>ROW(Source!A28)</f>
        <v>28</v>
      </c>
      <c r="B4">
        <v>51820504</v>
      </c>
      <c r="C4">
        <v>51820484</v>
      </c>
      <c r="D4">
        <v>49571001</v>
      </c>
      <c r="E4">
        <v>1</v>
      </c>
      <c r="F4">
        <v>1</v>
      </c>
      <c r="G4">
        <v>27</v>
      </c>
      <c r="H4">
        <v>2</v>
      </c>
      <c r="I4" t="s">
        <v>150</v>
      </c>
      <c r="J4" t="s">
        <v>151</v>
      </c>
      <c r="K4" t="s">
        <v>152</v>
      </c>
      <c r="L4">
        <v>1368</v>
      </c>
      <c r="N4">
        <v>1011</v>
      </c>
      <c r="O4" t="s">
        <v>146</v>
      </c>
      <c r="P4" t="s">
        <v>146</v>
      </c>
      <c r="Q4">
        <v>1</v>
      </c>
      <c r="X4">
        <v>0.10199999999999999</v>
      </c>
      <c r="Y4">
        <v>0</v>
      </c>
      <c r="Z4">
        <v>436.08</v>
      </c>
      <c r="AA4">
        <v>389.24</v>
      </c>
      <c r="AB4">
        <v>0</v>
      </c>
      <c r="AC4">
        <v>0</v>
      </c>
      <c r="AD4">
        <v>1</v>
      </c>
      <c r="AE4">
        <v>0</v>
      </c>
      <c r="AF4" t="s">
        <v>4</v>
      </c>
      <c r="AG4">
        <v>0.10199999999999999</v>
      </c>
      <c r="AH4">
        <v>2</v>
      </c>
      <c r="AI4">
        <v>51820491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f>ROW(Source!A28)</f>
        <v>28</v>
      </c>
      <c r="B5">
        <v>51820505</v>
      </c>
      <c r="C5">
        <v>51820484</v>
      </c>
      <c r="D5">
        <v>49571019</v>
      </c>
      <c r="E5">
        <v>1</v>
      </c>
      <c r="F5">
        <v>1</v>
      </c>
      <c r="G5">
        <v>27</v>
      </c>
      <c r="H5">
        <v>2</v>
      </c>
      <c r="I5" t="s">
        <v>153</v>
      </c>
      <c r="J5" t="s">
        <v>154</v>
      </c>
      <c r="K5" t="s">
        <v>155</v>
      </c>
      <c r="L5">
        <v>1368</v>
      </c>
      <c r="N5">
        <v>1011</v>
      </c>
      <c r="O5" t="s">
        <v>146</v>
      </c>
      <c r="P5" t="s">
        <v>146</v>
      </c>
      <c r="Q5">
        <v>1</v>
      </c>
      <c r="X5">
        <v>0.16700000000000001</v>
      </c>
      <c r="Y5">
        <v>0</v>
      </c>
      <c r="Z5">
        <v>10.82</v>
      </c>
      <c r="AA5">
        <v>2.97</v>
      </c>
      <c r="AB5">
        <v>0</v>
      </c>
      <c r="AC5">
        <v>0</v>
      </c>
      <c r="AD5">
        <v>1</v>
      </c>
      <c r="AE5">
        <v>0</v>
      </c>
      <c r="AF5" t="s">
        <v>4</v>
      </c>
      <c r="AG5">
        <v>0.16700000000000001</v>
      </c>
      <c r="AH5">
        <v>2</v>
      </c>
      <c r="AI5">
        <v>51820492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f>ROW(Source!A28)</f>
        <v>28</v>
      </c>
      <c r="B6">
        <v>51820506</v>
      </c>
      <c r="C6">
        <v>51820484</v>
      </c>
      <c r="D6">
        <v>49571056</v>
      </c>
      <c r="E6">
        <v>1</v>
      </c>
      <c r="F6">
        <v>1</v>
      </c>
      <c r="G6">
        <v>27</v>
      </c>
      <c r="H6">
        <v>2</v>
      </c>
      <c r="I6" t="s">
        <v>156</v>
      </c>
      <c r="J6" t="s">
        <v>157</v>
      </c>
      <c r="K6" t="s">
        <v>158</v>
      </c>
      <c r="L6">
        <v>1368</v>
      </c>
      <c r="N6">
        <v>1011</v>
      </c>
      <c r="O6" t="s">
        <v>146</v>
      </c>
      <c r="P6" t="s">
        <v>146</v>
      </c>
      <c r="Q6">
        <v>1</v>
      </c>
      <c r="X6">
        <v>0.16700000000000001</v>
      </c>
      <c r="Y6">
        <v>0</v>
      </c>
      <c r="Z6">
        <v>1289.26</v>
      </c>
      <c r="AA6">
        <v>637.17999999999995</v>
      </c>
      <c r="AB6">
        <v>0</v>
      </c>
      <c r="AC6">
        <v>0</v>
      </c>
      <c r="AD6">
        <v>1</v>
      </c>
      <c r="AE6">
        <v>0</v>
      </c>
      <c r="AF6" t="s">
        <v>4</v>
      </c>
      <c r="AG6">
        <v>0.16700000000000001</v>
      </c>
      <c r="AH6">
        <v>2</v>
      </c>
      <c r="AI6">
        <v>51820493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f>ROW(Source!A28)</f>
        <v>28</v>
      </c>
      <c r="B7">
        <v>51820507</v>
      </c>
      <c r="C7">
        <v>51820484</v>
      </c>
      <c r="D7">
        <v>49572552</v>
      </c>
      <c r="E7">
        <v>1</v>
      </c>
      <c r="F7">
        <v>1</v>
      </c>
      <c r="G7">
        <v>27</v>
      </c>
      <c r="H7">
        <v>3</v>
      </c>
      <c r="I7" t="s">
        <v>159</v>
      </c>
      <c r="J7" t="s">
        <v>160</v>
      </c>
      <c r="K7" t="s">
        <v>161</v>
      </c>
      <c r="L7">
        <v>1348</v>
      </c>
      <c r="N7">
        <v>1009</v>
      </c>
      <c r="O7" t="s">
        <v>35</v>
      </c>
      <c r="P7" t="s">
        <v>35</v>
      </c>
      <c r="Q7">
        <v>1000</v>
      </c>
      <c r="X7">
        <v>1.01E-3</v>
      </c>
      <c r="Y7">
        <v>38268.54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4</v>
      </c>
      <c r="AG7">
        <v>1.01E-3</v>
      </c>
      <c r="AH7">
        <v>2</v>
      </c>
      <c r="AI7">
        <v>51820494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f>ROW(Source!A28)</f>
        <v>28</v>
      </c>
      <c r="B8">
        <v>51820508</v>
      </c>
      <c r="C8">
        <v>51820484</v>
      </c>
      <c r="D8">
        <v>49572569</v>
      </c>
      <c r="E8">
        <v>1</v>
      </c>
      <c r="F8">
        <v>1</v>
      </c>
      <c r="G8">
        <v>27</v>
      </c>
      <c r="H8">
        <v>3</v>
      </c>
      <c r="I8" t="s">
        <v>162</v>
      </c>
      <c r="J8" t="s">
        <v>163</v>
      </c>
      <c r="K8" t="s">
        <v>164</v>
      </c>
      <c r="L8">
        <v>1348</v>
      </c>
      <c r="N8">
        <v>1009</v>
      </c>
      <c r="O8" t="s">
        <v>35</v>
      </c>
      <c r="P8" t="s">
        <v>35</v>
      </c>
      <c r="Q8">
        <v>1000</v>
      </c>
      <c r="X8">
        <v>2.3000000000000001E-4</v>
      </c>
      <c r="Y8">
        <v>37354.800000000003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4</v>
      </c>
      <c r="AG8">
        <v>2.3000000000000001E-4</v>
      </c>
      <c r="AH8">
        <v>2</v>
      </c>
      <c r="AI8">
        <v>51820496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f>ROW(Source!A28)</f>
        <v>28</v>
      </c>
      <c r="B9">
        <v>51820509</v>
      </c>
      <c r="C9">
        <v>51820484</v>
      </c>
      <c r="D9">
        <v>49572888</v>
      </c>
      <c r="E9">
        <v>1</v>
      </c>
      <c r="F9">
        <v>1</v>
      </c>
      <c r="G9">
        <v>27</v>
      </c>
      <c r="H9">
        <v>3</v>
      </c>
      <c r="I9" t="s">
        <v>165</v>
      </c>
      <c r="J9" t="s">
        <v>166</v>
      </c>
      <c r="K9" t="s">
        <v>167</v>
      </c>
      <c r="L9">
        <v>1339</v>
      </c>
      <c r="N9">
        <v>1007</v>
      </c>
      <c r="O9" t="s">
        <v>168</v>
      </c>
      <c r="P9" t="s">
        <v>168</v>
      </c>
      <c r="Q9">
        <v>1</v>
      </c>
      <c r="X9">
        <v>0.1</v>
      </c>
      <c r="Y9">
        <v>590.78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4</v>
      </c>
      <c r="AG9">
        <v>0.1</v>
      </c>
      <c r="AH9">
        <v>2</v>
      </c>
      <c r="AI9">
        <v>51820497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f>ROW(Source!A28)</f>
        <v>28</v>
      </c>
      <c r="B10">
        <v>51820510</v>
      </c>
      <c r="C10">
        <v>51820484</v>
      </c>
      <c r="D10">
        <v>49572907</v>
      </c>
      <c r="E10">
        <v>1</v>
      </c>
      <c r="F10">
        <v>1</v>
      </c>
      <c r="G10">
        <v>27</v>
      </c>
      <c r="H10">
        <v>3</v>
      </c>
      <c r="I10" t="s">
        <v>169</v>
      </c>
      <c r="J10" t="s">
        <v>170</v>
      </c>
      <c r="K10" t="s">
        <v>171</v>
      </c>
      <c r="L10">
        <v>1339</v>
      </c>
      <c r="N10">
        <v>1007</v>
      </c>
      <c r="O10" t="s">
        <v>168</v>
      </c>
      <c r="P10" t="s">
        <v>168</v>
      </c>
      <c r="Q10">
        <v>1</v>
      </c>
      <c r="X10">
        <v>0.112</v>
      </c>
      <c r="Y10">
        <v>1436.5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4</v>
      </c>
      <c r="AG10">
        <v>0.112</v>
      </c>
      <c r="AH10">
        <v>2</v>
      </c>
      <c r="AI10">
        <v>51820498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f>ROW(Source!A28)</f>
        <v>28</v>
      </c>
      <c r="B11">
        <v>51820511</v>
      </c>
      <c r="C11">
        <v>51820484</v>
      </c>
      <c r="D11">
        <v>49571836</v>
      </c>
      <c r="E11">
        <v>1</v>
      </c>
      <c r="F11">
        <v>1</v>
      </c>
      <c r="G11">
        <v>27</v>
      </c>
      <c r="H11">
        <v>3</v>
      </c>
      <c r="I11" t="s">
        <v>172</v>
      </c>
      <c r="J11" t="s">
        <v>173</v>
      </c>
      <c r="K11" t="s">
        <v>174</v>
      </c>
      <c r="L11">
        <v>1348</v>
      </c>
      <c r="N11">
        <v>1009</v>
      </c>
      <c r="O11" t="s">
        <v>35</v>
      </c>
      <c r="P11" t="s">
        <v>35</v>
      </c>
      <c r="Q11">
        <v>1000</v>
      </c>
      <c r="X11">
        <v>4.0039999999999999E-2</v>
      </c>
      <c r="Y11">
        <v>4207.5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4</v>
      </c>
      <c r="AG11">
        <v>4.0039999999999999E-2</v>
      </c>
      <c r="AH11">
        <v>2</v>
      </c>
      <c r="AI11">
        <v>51820499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f>ROW(Source!A28)</f>
        <v>28</v>
      </c>
      <c r="B12">
        <v>51820512</v>
      </c>
      <c r="C12">
        <v>51820484</v>
      </c>
      <c r="D12">
        <v>49573633</v>
      </c>
      <c r="E12">
        <v>1</v>
      </c>
      <c r="F12">
        <v>1</v>
      </c>
      <c r="G12">
        <v>27</v>
      </c>
      <c r="H12">
        <v>3</v>
      </c>
      <c r="I12" t="s">
        <v>175</v>
      </c>
      <c r="J12" t="s">
        <v>176</v>
      </c>
      <c r="K12" t="s">
        <v>177</v>
      </c>
      <c r="L12">
        <v>1339</v>
      </c>
      <c r="N12">
        <v>1007</v>
      </c>
      <c r="O12" t="s">
        <v>168</v>
      </c>
      <c r="P12" t="s">
        <v>168</v>
      </c>
      <c r="Q12">
        <v>1</v>
      </c>
      <c r="X12">
        <v>2.9399999999999999E-2</v>
      </c>
      <c r="Y12">
        <v>35.25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4</v>
      </c>
      <c r="AG12">
        <v>2.9399999999999999E-2</v>
      </c>
      <c r="AH12">
        <v>2</v>
      </c>
      <c r="AI12">
        <v>51820500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f>ROW(Source!A28)</f>
        <v>28</v>
      </c>
      <c r="B13">
        <v>51820515</v>
      </c>
      <c r="C13">
        <v>51820484</v>
      </c>
      <c r="D13">
        <v>49577937</v>
      </c>
      <c r="E13">
        <v>1</v>
      </c>
      <c r="F13">
        <v>1</v>
      </c>
      <c r="G13">
        <v>27</v>
      </c>
      <c r="H13">
        <v>3</v>
      </c>
      <c r="I13" t="s">
        <v>24</v>
      </c>
      <c r="J13" t="s">
        <v>27</v>
      </c>
      <c r="K13" t="s">
        <v>25</v>
      </c>
      <c r="L13">
        <v>1301</v>
      </c>
      <c r="N13">
        <v>1003</v>
      </c>
      <c r="O13" t="s">
        <v>26</v>
      </c>
      <c r="P13" t="s">
        <v>26</v>
      </c>
      <c r="Q13">
        <v>1</v>
      </c>
      <c r="X13">
        <v>2.5</v>
      </c>
      <c r="Y13">
        <v>1312.08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4</v>
      </c>
      <c r="AG13">
        <v>2.5</v>
      </c>
      <c r="AH13">
        <v>2</v>
      </c>
      <c r="AI13">
        <v>51820487</v>
      </c>
      <c r="AJ13">
        <v>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f>ROW(Source!A28)</f>
        <v>28</v>
      </c>
      <c r="B14">
        <v>51820513</v>
      </c>
      <c r="C14">
        <v>51820484</v>
      </c>
      <c r="D14">
        <v>49571923</v>
      </c>
      <c r="E14">
        <v>1</v>
      </c>
      <c r="F14">
        <v>1</v>
      </c>
      <c r="G14">
        <v>27</v>
      </c>
      <c r="H14">
        <v>3</v>
      </c>
      <c r="I14" t="s">
        <v>178</v>
      </c>
      <c r="J14" t="s">
        <v>179</v>
      </c>
      <c r="K14" t="s">
        <v>180</v>
      </c>
      <c r="L14">
        <v>1339</v>
      </c>
      <c r="N14">
        <v>1007</v>
      </c>
      <c r="O14" t="s">
        <v>168</v>
      </c>
      <c r="P14" t="s">
        <v>168</v>
      </c>
      <c r="Q14">
        <v>1</v>
      </c>
      <c r="X14">
        <v>1.12E-2</v>
      </c>
      <c r="Y14">
        <v>53.38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4</v>
      </c>
      <c r="AG14">
        <v>1.12E-2</v>
      </c>
      <c r="AH14">
        <v>2</v>
      </c>
      <c r="AI14">
        <v>51820485</v>
      </c>
      <c r="AJ14">
        <v>15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f>ROW(Source!A28)</f>
        <v>28</v>
      </c>
      <c r="B15">
        <v>51820514</v>
      </c>
      <c r="C15">
        <v>51820484</v>
      </c>
      <c r="D15">
        <v>49571944</v>
      </c>
      <c r="E15">
        <v>1</v>
      </c>
      <c r="F15">
        <v>1</v>
      </c>
      <c r="G15">
        <v>27</v>
      </c>
      <c r="H15">
        <v>3</v>
      </c>
      <c r="I15" t="s">
        <v>181</v>
      </c>
      <c r="J15" t="s">
        <v>182</v>
      </c>
      <c r="K15" t="s">
        <v>183</v>
      </c>
      <c r="L15">
        <v>1339</v>
      </c>
      <c r="N15">
        <v>1007</v>
      </c>
      <c r="O15" t="s">
        <v>168</v>
      </c>
      <c r="P15" t="s">
        <v>168</v>
      </c>
      <c r="Q15">
        <v>1</v>
      </c>
      <c r="X15">
        <v>5.5300000000000002E-3</v>
      </c>
      <c r="Y15">
        <v>32.520000000000003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4</v>
      </c>
      <c r="AG15">
        <v>5.5300000000000002E-3</v>
      </c>
      <c r="AH15">
        <v>2</v>
      </c>
      <c r="AI15">
        <v>51820486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f>ROW(Source!A31)</f>
        <v>31</v>
      </c>
      <c r="B16">
        <v>51820525</v>
      </c>
      <c r="C16">
        <v>51820518</v>
      </c>
      <c r="D16">
        <v>49558562</v>
      </c>
      <c r="E16">
        <v>27</v>
      </c>
      <c r="F16">
        <v>1</v>
      </c>
      <c r="G16">
        <v>27</v>
      </c>
      <c r="H16">
        <v>1</v>
      </c>
      <c r="I16" t="s">
        <v>140</v>
      </c>
      <c r="J16" t="s">
        <v>4</v>
      </c>
      <c r="K16" t="s">
        <v>141</v>
      </c>
      <c r="L16">
        <v>1191</v>
      </c>
      <c r="N16">
        <v>1013</v>
      </c>
      <c r="O16" t="s">
        <v>142</v>
      </c>
      <c r="P16" t="s">
        <v>142</v>
      </c>
      <c r="Q16">
        <v>1</v>
      </c>
      <c r="X16">
        <v>87.4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4</v>
      </c>
      <c r="AG16">
        <v>87.4</v>
      </c>
      <c r="AH16">
        <v>2</v>
      </c>
      <c r="AI16">
        <v>51820519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f>ROW(Source!A31)</f>
        <v>31</v>
      </c>
      <c r="B17">
        <v>51820526</v>
      </c>
      <c r="C17">
        <v>51820518</v>
      </c>
      <c r="D17">
        <v>49570864</v>
      </c>
      <c r="E17">
        <v>1</v>
      </c>
      <c r="F17">
        <v>1</v>
      </c>
      <c r="G17">
        <v>27</v>
      </c>
      <c r="H17">
        <v>2</v>
      </c>
      <c r="I17" t="s">
        <v>184</v>
      </c>
      <c r="J17" t="s">
        <v>185</v>
      </c>
      <c r="K17" t="s">
        <v>186</v>
      </c>
      <c r="L17">
        <v>1368</v>
      </c>
      <c r="N17">
        <v>1011</v>
      </c>
      <c r="O17" t="s">
        <v>146</v>
      </c>
      <c r="P17" t="s">
        <v>146</v>
      </c>
      <c r="Q17">
        <v>1</v>
      </c>
      <c r="X17">
        <v>19</v>
      </c>
      <c r="Y17">
        <v>0</v>
      </c>
      <c r="Z17">
        <v>31</v>
      </c>
      <c r="AA17">
        <v>1.35</v>
      </c>
      <c r="AB17">
        <v>0</v>
      </c>
      <c r="AC17">
        <v>0</v>
      </c>
      <c r="AD17">
        <v>1</v>
      </c>
      <c r="AE17">
        <v>0</v>
      </c>
      <c r="AF17" t="s">
        <v>4</v>
      </c>
      <c r="AG17">
        <v>19</v>
      </c>
      <c r="AH17">
        <v>2</v>
      </c>
      <c r="AI17">
        <v>51820520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f>ROW(Source!A31)</f>
        <v>31</v>
      </c>
      <c r="B18">
        <v>51820527</v>
      </c>
      <c r="C18">
        <v>51820518</v>
      </c>
      <c r="D18">
        <v>49572683</v>
      </c>
      <c r="E18">
        <v>1</v>
      </c>
      <c r="F18">
        <v>1</v>
      </c>
      <c r="G18">
        <v>27</v>
      </c>
      <c r="H18">
        <v>3</v>
      </c>
      <c r="I18" t="s">
        <v>187</v>
      </c>
      <c r="J18" t="s">
        <v>188</v>
      </c>
      <c r="K18" t="s">
        <v>189</v>
      </c>
      <c r="L18">
        <v>1348</v>
      </c>
      <c r="N18">
        <v>1009</v>
      </c>
      <c r="O18" t="s">
        <v>35</v>
      </c>
      <c r="P18" t="s">
        <v>35</v>
      </c>
      <c r="Q18">
        <v>1000</v>
      </c>
      <c r="X18">
        <v>3.3E-3</v>
      </c>
      <c r="Y18">
        <v>105084.63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4</v>
      </c>
      <c r="AG18">
        <v>3.3E-3</v>
      </c>
      <c r="AH18">
        <v>2</v>
      </c>
      <c r="AI18">
        <v>51820521</v>
      </c>
      <c r="AJ18">
        <v>20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f>ROW(Source!A31)</f>
        <v>31</v>
      </c>
      <c r="B19">
        <v>51820528</v>
      </c>
      <c r="C19">
        <v>51820518</v>
      </c>
      <c r="D19">
        <v>49573540</v>
      </c>
      <c r="E19">
        <v>1</v>
      </c>
      <c r="F19">
        <v>1</v>
      </c>
      <c r="G19">
        <v>27</v>
      </c>
      <c r="H19">
        <v>3</v>
      </c>
      <c r="I19" t="s">
        <v>190</v>
      </c>
      <c r="J19" t="s">
        <v>191</v>
      </c>
      <c r="K19" t="s">
        <v>192</v>
      </c>
      <c r="L19">
        <v>1348</v>
      </c>
      <c r="N19">
        <v>1009</v>
      </c>
      <c r="O19" t="s">
        <v>35</v>
      </c>
      <c r="P19" t="s">
        <v>35</v>
      </c>
      <c r="Q19">
        <v>1000</v>
      </c>
      <c r="X19">
        <v>1.4E-3</v>
      </c>
      <c r="Y19">
        <v>110781.14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4</v>
      </c>
      <c r="AG19">
        <v>1.4E-3</v>
      </c>
      <c r="AH19">
        <v>2</v>
      </c>
      <c r="AI19">
        <v>51820522</v>
      </c>
      <c r="AJ19">
        <v>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f>ROW(Source!A31)</f>
        <v>31</v>
      </c>
      <c r="B20">
        <v>51820529</v>
      </c>
      <c r="C20">
        <v>51820518</v>
      </c>
      <c r="D20">
        <v>49575655</v>
      </c>
      <c r="E20">
        <v>1</v>
      </c>
      <c r="F20">
        <v>1</v>
      </c>
      <c r="G20">
        <v>27</v>
      </c>
      <c r="H20">
        <v>3</v>
      </c>
      <c r="I20" t="s">
        <v>38</v>
      </c>
      <c r="J20" t="s">
        <v>40</v>
      </c>
      <c r="K20" t="s">
        <v>39</v>
      </c>
      <c r="L20">
        <v>1348</v>
      </c>
      <c r="N20">
        <v>1009</v>
      </c>
      <c r="O20" t="s">
        <v>35</v>
      </c>
      <c r="P20" t="s">
        <v>35</v>
      </c>
      <c r="Q20">
        <v>1000</v>
      </c>
      <c r="X20">
        <v>1</v>
      </c>
      <c r="Y20">
        <v>75026.559999999998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4</v>
      </c>
      <c r="AG20">
        <v>1</v>
      </c>
      <c r="AH20">
        <v>2</v>
      </c>
      <c r="AI20">
        <v>51820523</v>
      </c>
      <c r="AJ20">
        <v>22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f>ROW(Source!A34)</f>
        <v>34</v>
      </c>
      <c r="B21">
        <v>51820539</v>
      </c>
      <c r="C21">
        <v>51820532</v>
      </c>
      <c r="D21">
        <v>49558562</v>
      </c>
      <c r="E21">
        <v>27</v>
      </c>
      <c r="F21">
        <v>1</v>
      </c>
      <c r="G21">
        <v>27</v>
      </c>
      <c r="H21">
        <v>1</v>
      </c>
      <c r="I21" t="s">
        <v>140</v>
      </c>
      <c r="J21" t="s">
        <v>4</v>
      </c>
      <c r="K21" t="s">
        <v>141</v>
      </c>
      <c r="L21">
        <v>1191</v>
      </c>
      <c r="N21">
        <v>1013</v>
      </c>
      <c r="O21" t="s">
        <v>142</v>
      </c>
      <c r="P21" t="s">
        <v>142</v>
      </c>
      <c r="Q21">
        <v>1</v>
      </c>
      <c r="X21">
        <v>87.4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4</v>
      </c>
      <c r="AG21">
        <v>87.4</v>
      </c>
      <c r="AH21">
        <v>2</v>
      </c>
      <c r="AI21">
        <v>51820533</v>
      </c>
      <c r="AJ21">
        <v>23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f>ROW(Source!A34)</f>
        <v>34</v>
      </c>
      <c r="B22">
        <v>51820540</v>
      </c>
      <c r="C22">
        <v>51820532</v>
      </c>
      <c r="D22">
        <v>49570864</v>
      </c>
      <c r="E22">
        <v>1</v>
      </c>
      <c r="F22">
        <v>1</v>
      </c>
      <c r="G22">
        <v>27</v>
      </c>
      <c r="H22">
        <v>2</v>
      </c>
      <c r="I22" t="s">
        <v>184</v>
      </c>
      <c r="J22" t="s">
        <v>185</v>
      </c>
      <c r="K22" t="s">
        <v>186</v>
      </c>
      <c r="L22">
        <v>1368</v>
      </c>
      <c r="N22">
        <v>1011</v>
      </c>
      <c r="O22" t="s">
        <v>146</v>
      </c>
      <c r="P22" t="s">
        <v>146</v>
      </c>
      <c r="Q22">
        <v>1</v>
      </c>
      <c r="X22">
        <v>19</v>
      </c>
      <c r="Y22">
        <v>0</v>
      </c>
      <c r="Z22">
        <v>31</v>
      </c>
      <c r="AA22">
        <v>1.35</v>
      </c>
      <c r="AB22">
        <v>0</v>
      </c>
      <c r="AC22">
        <v>0</v>
      </c>
      <c r="AD22">
        <v>1</v>
      </c>
      <c r="AE22">
        <v>0</v>
      </c>
      <c r="AF22" t="s">
        <v>4</v>
      </c>
      <c r="AG22">
        <v>19</v>
      </c>
      <c r="AH22">
        <v>2</v>
      </c>
      <c r="AI22">
        <v>51820534</v>
      </c>
      <c r="AJ22">
        <v>24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f>ROW(Source!A34)</f>
        <v>34</v>
      </c>
      <c r="B23">
        <v>51820541</v>
      </c>
      <c r="C23">
        <v>51820532</v>
      </c>
      <c r="D23">
        <v>49572683</v>
      </c>
      <c r="E23">
        <v>1</v>
      </c>
      <c r="F23">
        <v>1</v>
      </c>
      <c r="G23">
        <v>27</v>
      </c>
      <c r="H23">
        <v>3</v>
      </c>
      <c r="I23" t="s">
        <v>187</v>
      </c>
      <c r="J23" t="s">
        <v>188</v>
      </c>
      <c r="K23" t="s">
        <v>189</v>
      </c>
      <c r="L23">
        <v>1348</v>
      </c>
      <c r="N23">
        <v>1009</v>
      </c>
      <c r="O23" t="s">
        <v>35</v>
      </c>
      <c r="P23" t="s">
        <v>35</v>
      </c>
      <c r="Q23">
        <v>1000</v>
      </c>
      <c r="X23">
        <v>3.3E-3</v>
      </c>
      <c r="Y23">
        <v>105084.63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4</v>
      </c>
      <c r="AG23">
        <v>3.3E-3</v>
      </c>
      <c r="AH23">
        <v>2</v>
      </c>
      <c r="AI23">
        <v>51820536</v>
      </c>
      <c r="AJ23">
        <v>26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f>ROW(Source!A34)</f>
        <v>34</v>
      </c>
      <c r="B24">
        <v>51820542</v>
      </c>
      <c r="C24">
        <v>51820532</v>
      </c>
      <c r="D24">
        <v>49573540</v>
      </c>
      <c r="E24">
        <v>1</v>
      </c>
      <c r="F24">
        <v>1</v>
      </c>
      <c r="G24">
        <v>27</v>
      </c>
      <c r="H24">
        <v>3</v>
      </c>
      <c r="I24" t="s">
        <v>190</v>
      </c>
      <c r="J24" t="s">
        <v>191</v>
      </c>
      <c r="K24" t="s">
        <v>192</v>
      </c>
      <c r="L24">
        <v>1348</v>
      </c>
      <c r="N24">
        <v>1009</v>
      </c>
      <c r="O24" t="s">
        <v>35</v>
      </c>
      <c r="P24" t="s">
        <v>35</v>
      </c>
      <c r="Q24">
        <v>1000</v>
      </c>
      <c r="X24">
        <v>1.4E-3</v>
      </c>
      <c r="Y24">
        <v>110781.14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4</v>
      </c>
      <c r="AG24">
        <v>1.4E-3</v>
      </c>
      <c r="AH24">
        <v>2</v>
      </c>
      <c r="AI24">
        <v>51820537</v>
      </c>
      <c r="AJ24">
        <v>27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f>ROW(Source!A34)</f>
        <v>34</v>
      </c>
      <c r="B25">
        <v>51820543</v>
      </c>
      <c r="C25">
        <v>51820532</v>
      </c>
      <c r="D25">
        <v>49575655</v>
      </c>
      <c r="E25">
        <v>1</v>
      </c>
      <c r="F25">
        <v>1</v>
      </c>
      <c r="G25">
        <v>27</v>
      </c>
      <c r="H25">
        <v>3</v>
      </c>
      <c r="I25" t="s">
        <v>38</v>
      </c>
      <c r="J25" t="s">
        <v>40</v>
      </c>
      <c r="K25" t="s">
        <v>39</v>
      </c>
      <c r="L25">
        <v>1348</v>
      </c>
      <c r="N25">
        <v>1009</v>
      </c>
      <c r="O25" t="s">
        <v>35</v>
      </c>
      <c r="P25" t="s">
        <v>35</v>
      </c>
      <c r="Q25">
        <v>1000</v>
      </c>
      <c r="X25">
        <v>1</v>
      </c>
      <c r="Y25">
        <v>75026.559999999998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4</v>
      </c>
      <c r="AG25">
        <v>1</v>
      </c>
      <c r="AH25">
        <v>2</v>
      </c>
      <c r="AI25">
        <v>51820538</v>
      </c>
      <c r="AJ25">
        <v>28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f>ROW(Source!A37)</f>
        <v>37</v>
      </c>
      <c r="B26">
        <v>51820556</v>
      </c>
      <c r="C26">
        <v>51820546</v>
      </c>
      <c r="D26">
        <v>49558562</v>
      </c>
      <c r="E26">
        <v>27</v>
      </c>
      <c r="F26">
        <v>1</v>
      </c>
      <c r="G26">
        <v>27</v>
      </c>
      <c r="H26">
        <v>1</v>
      </c>
      <c r="I26" t="s">
        <v>140</v>
      </c>
      <c r="J26" t="s">
        <v>4</v>
      </c>
      <c r="K26" t="s">
        <v>141</v>
      </c>
      <c r="L26">
        <v>1191</v>
      </c>
      <c r="N26">
        <v>1013</v>
      </c>
      <c r="O26" t="s">
        <v>142</v>
      </c>
      <c r="P26" t="s">
        <v>142</v>
      </c>
      <c r="Q26">
        <v>1</v>
      </c>
      <c r="X26">
        <v>2.97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4</v>
      </c>
      <c r="AG26">
        <v>2.97</v>
      </c>
      <c r="AH26">
        <v>2</v>
      </c>
      <c r="AI26">
        <v>51820547</v>
      </c>
      <c r="AJ26">
        <v>29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f>ROW(Source!A37)</f>
        <v>37</v>
      </c>
      <c r="B27">
        <v>51820557</v>
      </c>
      <c r="C27">
        <v>51820546</v>
      </c>
      <c r="D27">
        <v>49571187</v>
      </c>
      <c r="E27">
        <v>1</v>
      </c>
      <c r="F27">
        <v>1</v>
      </c>
      <c r="G27">
        <v>27</v>
      </c>
      <c r="H27">
        <v>2</v>
      </c>
      <c r="I27" t="s">
        <v>193</v>
      </c>
      <c r="J27" t="s">
        <v>194</v>
      </c>
      <c r="K27" t="s">
        <v>195</v>
      </c>
      <c r="L27">
        <v>1368</v>
      </c>
      <c r="N27">
        <v>1011</v>
      </c>
      <c r="O27" t="s">
        <v>146</v>
      </c>
      <c r="P27" t="s">
        <v>146</v>
      </c>
      <c r="Q27">
        <v>1</v>
      </c>
      <c r="X27">
        <v>0.38400000000000001</v>
      </c>
      <c r="Y27">
        <v>0</v>
      </c>
      <c r="Z27">
        <v>351.29</v>
      </c>
      <c r="AA27">
        <v>7.02</v>
      </c>
      <c r="AB27">
        <v>0</v>
      </c>
      <c r="AC27">
        <v>0</v>
      </c>
      <c r="AD27">
        <v>1</v>
      </c>
      <c r="AE27">
        <v>0</v>
      </c>
      <c r="AF27" t="s">
        <v>4</v>
      </c>
      <c r="AG27">
        <v>0.38400000000000001</v>
      </c>
      <c r="AH27">
        <v>2</v>
      </c>
      <c r="AI27">
        <v>51820548</v>
      </c>
      <c r="AJ27">
        <v>30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f>ROW(Source!A37)</f>
        <v>37</v>
      </c>
      <c r="B28">
        <v>51820558</v>
      </c>
      <c r="C28">
        <v>51820546</v>
      </c>
      <c r="D28">
        <v>49571572</v>
      </c>
      <c r="E28">
        <v>1</v>
      </c>
      <c r="F28">
        <v>1</v>
      </c>
      <c r="G28">
        <v>27</v>
      </c>
      <c r="H28">
        <v>2</v>
      </c>
      <c r="I28" t="s">
        <v>147</v>
      </c>
      <c r="J28" t="s">
        <v>196</v>
      </c>
      <c r="K28" t="s">
        <v>149</v>
      </c>
      <c r="L28">
        <v>1368</v>
      </c>
      <c r="N28">
        <v>1011</v>
      </c>
      <c r="O28" t="s">
        <v>146</v>
      </c>
      <c r="P28" t="s">
        <v>146</v>
      </c>
      <c r="Q28">
        <v>1</v>
      </c>
      <c r="X28">
        <v>0.115</v>
      </c>
      <c r="Y28">
        <v>0</v>
      </c>
      <c r="Z28">
        <v>5.94</v>
      </c>
      <c r="AA28">
        <v>0.02</v>
      </c>
      <c r="AB28">
        <v>0</v>
      </c>
      <c r="AC28">
        <v>0</v>
      </c>
      <c r="AD28">
        <v>1</v>
      </c>
      <c r="AE28">
        <v>0</v>
      </c>
      <c r="AF28" t="s">
        <v>4</v>
      </c>
      <c r="AG28">
        <v>0.115</v>
      </c>
      <c r="AH28">
        <v>2</v>
      </c>
      <c r="AI28">
        <v>51820549</v>
      </c>
      <c r="AJ28">
        <v>31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f>ROW(Source!A37)</f>
        <v>37</v>
      </c>
      <c r="B29">
        <v>51820559</v>
      </c>
      <c r="C29">
        <v>51820546</v>
      </c>
      <c r="D29">
        <v>49571595</v>
      </c>
      <c r="E29">
        <v>1</v>
      </c>
      <c r="F29">
        <v>1</v>
      </c>
      <c r="G29">
        <v>27</v>
      </c>
      <c r="H29">
        <v>2</v>
      </c>
      <c r="I29" t="s">
        <v>197</v>
      </c>
      <c r="J29" t="s">
        <v>198</v>
      </c>
      <c r="K29" t="s">
        <v>199</v>
      </c>
      <c r="L29">
        <v>1368</v>
      </c>
      <c r="N29">
        <v>1011</v>
      </c>
      <c r="O29" t="s">
        <v>146</v>
      </c>
      <c r="P29" t="s">
        <v>146</v>
      </c>
      <c r="Q29">
        <v>1</v>
      </c>
      <c r="X29">
        <v>0.504</v>
      </c>
      <c r="Y29">
        <v>0</v>
      </c>
      <c r="Z29">
        <v>652.16</v>
      </c>
      <c r="AA29">
        <v>581.9</v>
      </c>
      <c r="AB29">
        <v>0</v>
      </c>
      <c r="AC29">
        <v>0</v>
      </c>
      <c r="AD29">
        <v>1</v>
      </c>
      <c r="AE29">
        <v>0</v>
      </c>
      <c r="AF29" t="s">
        <v>4</v>
      </c>
      <c r="AG29">
        <v>0.504</v>
      </c>
      <c r="AH29">
        <v>2</v>
      </c>
      <c r="AI29">
        <v>51820550</v>
      </c>
      <c r="AJ29">
        <v>32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f>ROW(Source!A37)</f>
        <v>37</v>
      </c>
      <c r="B30">
        <v>51820560</v>
      </c>
      <c r="C30">
        <v>51820546</v>
      </c>
      <c r="D30">
        <v>49572552</v>
      </c>
      <c r="E30">
        <v>1</v>
      </c>
      <c r="F30">
        <v>1</v>
      </c>
      <c r="G30">
        <v>27</v>
      </c>
      <c r="H30">
        <v>3</v>
      </c>
      <c r="I30" t="s">
        <v>159</v>
      </c>
      <c r="J30" t="s">
        <v>200</v>
      </c>
      <c r="K30" t="s">
        <v>161</v>
      </c>
      <c r="L30">
        <v>1348</v>
      </c>
      <c r="N30">
        <v>1009</v>
      </c>
      <c r="O30" t="s">
        <v>35</v>
      </c>
      <c r="P30" t="s">
        <v>35</v>
      </c>
      <c r="Q30">
        <v>1000</v>
      </c>
      <c r="X30">
        <v>1.01E-3</v>
      </c>
      <c r="Y30">
        <v>38268.54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4</v>
      </c>
      <c r="AG30">
        <v>1.01E-3</v>
      </c>
      <c r="AH30">
        <v>2</v>
      </c>
      <c r="AI30">
        <v>51820551</v>
      </c>
      <c r="AJ30">
        <v>33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f>ROW(Source!A37)</f>
        <v>37</v>
      </c>
      <c r="B31">
        <v>51820561</v>
      </c>
      <c r="C31">
        <v>51820546</v>
      </c>
      <c r="D31">
        <v>49572410</v>
      </c>
      <c r="E31">
        <v>1</v>
      </c>
      <c r="F31">
        <v>1</v>
      </c>
      <c r="G31">
        <v>27</v>
      </c>
      <c r="H31">
        <v>3</v>
      </c>
      <c r="I31" t="s">
        <v>58</v>
      </c>
      <c r="J31" t="s">
        <v>60</v>
      </c>
      <c r="K31" t="s">
        <v>59</v>
      </c>
      <c r="L31">
        <v>1348</v>
      </c>
      <c r="N31">
        <v>1009</v>
      </c>
      <c r="O31" t="s">
        <v>35</v>
      </c>
      <c r="P31" t="s">
        <v>35</v>
      </c>
      <c r="Q31">
        <v>1000</v>
      </c>
      <c r="X31">
        <v>0.14899999999999999</v>
      </c>
      <c r="Y31">
        <v>37537.54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4</v>
      </c>
      <c r="AG31">
        <v>0.14899999999999999</v>
      </c>
      <c r="AH31">
        <v>2</v>
      </c>
      <c r="AI31">
        <v>51820552</v>
      </c>
      <c r="AJ31">
        <v>34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f>ROW(Source!A37)</f>
        <v>37</v>
      </c>
      <c r="B32">
        <v>51820562</v>
      </c>
      <c r="C32">
        <v>51820546</v>
      </c>
      <c r="D32">
        <v>49573540</v>
      </c>
      <c r="E32">
        <v>1</v>
      </c>
      <c r="F32">
        <v>1</v>
      </c>
      <c r="G32">
        <v>27</v>
      </c>
      <c r="H32">
        <v>3</v>
      </c>
      <c r="I32" t="s">
        <v>190</v>
      </c>
      <c r="J32" t="s">
        <v>191</v>
      </c>
      <c r="K32" t="s">
        <v>192</v>
      </c>
      <c r="L32">
        <v>1348</v>
      </c>
      <c r="N32">
        <v>1009</v>
      </c>
      <c r="O32" t="s">
        <v>35</v>
      </c>
      <c r="P32" t="s">
        <v>35</v>
      </c>
      <c r="Q32">
        <v>1000</v>
      </c>
      <c r="X32">
        <v>5.0000000000000001E-4</v>
      </c>
      <c r="Y32">
        <v>110781.14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4</v>
      </c>
      <c r="AG32">
        <v>5.0000000000000001E-4</v>
      </c>
      <c r="AH32">
        <v>2</v>
      </c>
      <c r="AI32">
        <v>51820553</v>
      </c>
      <c r="AJ32">
        <v>36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f>ROW(Source!A37)</f>
        <v>37</v>
      </c>
      <c r="B33">
        <v>51820563</v>
      </c>
      <c r="C33">
        <v>51820546</v>
      </c>
      <c r="D33">
        <v>49575861</v>
      </c>
      <c r="E33">
        <v>1</v>
      </c>
      <c r="F33">
        <v>1</v>
      </c>
      <c r="G33">
        <v>27</v>
      </c>
      <c r="H33">
        <v>3</v>
      </c>
      <c r="I33" t="s">
        <v>201</v>
      </c>
      <c r="J33" t="s">
        <v>202</v>
      </c>
      <c r="K33" t="s">
        <v>203</v>
      </c>
      <c r="L33">
        <v>1354</v>
      </c>
      <c r="N33">
        <v>1010</v>
      </c>
      <c r="O33" t="s">
        <v>18</v>
      </c>
      <c r="P33" t="s">
        <v>18</v>
      </c>
      <c r="Q33">
        <v>1</v>
      </c>
      <c r="X33">
        <v>1.4E-2</v>
      </c>
      <c r="Y33">
        <v>16.54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4</v>
      </c>
      <c r="AG33">
        <v>1.4E-2</v>
      </c>
      <c r="AH33">
        <v>2</v>
      </c>
      <c r="AI33">
        <v>51820554</v>
      </c>
      <c r="AJ33">
        <v>37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f>ROW(Source!A40)</f>
        <v>40</v>
      </c>
      <c r="B34">
        <v>51820573</v>
      </c>
      <c r="C34">
        <v>51820566</v>
      </c>
      <c r="D34">
        <v>49558562</v>
      </c>
      <c r="E34">
        <v>27</v>
      </c>
      <c r="F34">
        <v>1</v>
      </c>
      <c r="G34">
        <v>27</v>
      </c>
      <c r="H34">
        <v>1</v>
      </c>
      <c r="I34" t="s">
        <v>140</v>
      </c>
      <c r="J34" t="s">
        <v>4</v>
      </c>
      <c r="K34" t="s">
        <v>141</v>
      </c>
      <c r="L34">
        <v>1191</v>
      </c>
      <c r="N34">
        <v>1013</v>
      </c>
      <c r="O34" t="s">
        <v>142</v>
      </c>
      <c r="P34" t="s">
        <v>142</v>
      </c>
      <c r="Q34">
        <v>1</v>
      </c>
      <c r="X34">
        <v>6.11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 t="s">
        <v>4</v>
      </c>
      <c r="AG34">
        <v>6.11</v>
      </c>
      <c r="AH34">
        <v>2</v>
      </c>
      <c r="AI34">
        <v>51820567</v>
      </c>
      <c r="AJ34">
        <v>38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f>ROW(Source!A40)</f>
        <v>40</v>
      </c>
      <c r="B35">
        <v>51820574</v>
      </c>
      <c r="C35">
        <v>51820566</v>
      </c>
      <c r="D35">
        <v>49571096</v>
      </c>
      <c r="E35">
        <v>1</v>
      </c>
      <c r="F35">
        <v>1</v>
      </c>
      <c r="G35">
        <v>27</v>
      </c>
      <c r="H35">
        <v>2</v>
      </c>
      <c r="I35" t="s">
        <v>204</v>
      </c>
      <c r="J35" t="s">
        <v>205</v>
      </c>
      <c r="K35" t="s">
        <v>206</v>
      </c>
      <c r="L35">
        <v>1368</v>
      </c>
      <c r="N35">
        <v>1011</v>
      </c>
      <c r="O35" t="s">
        <v>146</v>
      </c>
      <c r="P35" t="s">
        <v>146</v>
      </c>
      <c r="Q35">
        <v>1</v>
      </c>
      <c r="X35">
        <v>1.4</v>
      </c>
      <c r="Y35">
        <v>0</v>
      </c>
      <c r="Z35">
        <v>98.05</v>
      </c>
      <c r="AA35">
        <v>33.06</v>
      </c>
      <c r="AB35">
        <v>0</v>
      </c>
      <c r="AC35">
        <v>0</v>
      </c>
      <c r="AD35">
        <v>1</v>
      </c>
      <c r="AE35">
        <v>0</v>
      </c>
      <c r="AF35" t="s">
        <v>4</v>
      </c>
      <c r="AG35">
        <v>1.4</v>
      </c>
      <c r="AH35">
        <v>2</v>
      </c>
      <c r="AI35">
        <v>51820568</v>
      </c>
      <c r="AJ35">
        <v>39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f>ROW(Source!A40)</f>
        <v>40</v>
      </c>
      <c r="B36">
        <v>51820575</v>
      </c>
      <c r="C36">
        <v>51820566</v>
      </c>
      <c r="D36">
        <v>49570849</v>
      </c>
      <c r="E36">
        <v>1</v>
      </c>
      <c r="F36">
        <v>1</v>
      </c>
      <c r="G36">
        <v>27</v>
      </c>
      <c r="H36">
        <v>2</v>
      </c>
      <c r="I36" t="s">
        <v>207</v>
      </c>
      <c r="J36" t="s">
        <v>208</v>
      </c>
      <c r="K36" t="s">
        <v>209</v>
      </c>
      <c r="L36">
        <v>1368</v>
      </c>
      <c r="N36">
        <v>1011</v>
      </c>
      <c r="O36" t="s">
        <v>146</v>
      </c>
      <c r="P36" t="s">
        <v>146</v>
      </c>
      <c r="Q36">
        <v>1</v>
      </c>
      <c r="X36">
        <v>0.01</v>
      </c>
      <c r="Y36">
        <v>0</v>
      </c>
      <c r="Z36">
        <v>683.9</v>
      </c>
      <c r="AA36">
        <v>371.27</v>
      </c>
      <c r="AB36">
        <v>0</v>
      </c>
      <c r="AC36">
        <v>0</v>
      </c>
      <c r="AD36">
        <v>1</v>
      </c>
      <c r="AE36">
        <v>0</v>
      </c>
      <c r="AF36" t="s">
        <v>4</v>
      </c>
      <c r="AG36">
        <v>0.01</v>
      </c>
      <c r="AH36">
        <v>2</v>
      </c>
      <c r="AI36">
        <v>51820569</v>
      </c>
      <c r="AJ36">
        <v>40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f>ROW(Source!A40)</f>
        <v>40</v>
      </c>
      <c r="B37">
        <v>51820576</v>
      </c>
      <c r="C37">
        <v>51820566</v>
      </c>
      <c r="D37">
        <v>49570863</v>
      </c>
      <c r="E37">
        <v>1</v>
      </c>
      <c r="F37">
        <v>1</v>
      </c>
      <c r="G37">
        <v>27</v>
      </c>
      <c r="H37">
        <v>2</v>
      </c>
      <c r="I37" t="s">
        <v>210</v>
      </c>
      <c r="J37" t="s">
        <v>211</v>
      </c>
      <c r="K37" t="s">
        <v>212</v>
      </c>
      <c r="L37">
        <v>1368</v>
      </c>
      <c r="N37">
        <v>1011</v>
      </c>
      <c r="O37" t="s">
        <v>146</v>
      </c>
      <c r="P37" t="s">
        <v>146</v>
      </c>
      <c r="Q37">
        <v>1</v>
      </c>
      <c r="X37">
        <v>0.01</v>
      </c>
      <c r="Y37">
        <v>0</v>
      </c>
      <c r="Z37">
        <v>16.920000000000002</v>
      </c>
      <c r="AA37">
        <v>0.09</v>
      </c>
      <c r="AB37">
        <v>0</v>
      </c>
      <c r="AC37">
        <v>0</v>
      </c>
      <c r="AD37">
        <v>1</v>
      </c>
      <c r="AE37">
        <v>0</v>
      </c>
      <c r="AF37" t="s">
        <v>4</v>
      </c>
      <c r="AG37">
        <v>0.01</v>
      </c>
      <c r="AH37">
        <v>2</v>
      </c>
      <c r="AI37">
        <v>51820570</v>
      </c>
      <c r="AJ37">
        <v>41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f>ROW(Source!A40)</f>
        <v>40</v>
      </c>
      <c r="B38">
        <v>51820578</v>
      </c>
      <c r="C38">
        <v>51820566</v>
      </c>
      <c r="D38">
        <v>49560004</v>
      </c>
      <c r="E38">
        <v>27</v>
      </c>
      <c r="F38">
        <v>1</v>
      </c>
      <c r="G38">
        <v>27</v>
      </c>
      <c r="H38">
        <v>3</v>
      </c>
      <c r="I38" t="s">
        <v>213</v>
      </c>
      <c r="J38" t="s">
        <v>4</v>
      </c>
      <c r="K38" t="s">
        <v>214</v>
      </c>
      <c r="L38">
        <v>1346</v>
      </c>
      <c r="N38">
        <v>1009</v>
      </c>
      <c r="O38" t="s">
        <v>215</v>
      </c>
      <c r="P38" t="s">
        <v>215</v>
      </c>
      <c r="Q38">
        <v>1</v>
      </c>
      <c r="X38">
        <v>1.5</v>
      </c>
      <c r="Y38">
        <v>99.303030000000007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4</v>
      </c>
      <c r="AG38">
        <v>1.5</v>
      </c>
      <c r="AH38">
        <v>2</v>
      </c>
      <c r="AI38">
        <v>51820572</v>
      </c>
      <c r="AJ38">
        <v>42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f>ROW(Source!A40)</f>
        <v>40</v>
      </c>
      <c r="B39">
        <v>51820577</v>
      </c>
      <c r="C39">
        <v>51820566</v>
      </c>
      <c r="D39">
        <v>49572047</v>
      </c>
      <c r="E39">
        <v>1</v>
      </c>
      <c r="F39">
        <v>1</v>
      </c>
      <c r="G39">
        <v>27</v>
      </c>
      <c r="H39">
        <v>3</v>
      </c>
      <c r="I39" t="s">
        <v>216</v>
      </c>
      <c r="J39" t="s">
        <v>217</v>
      </c>
      <c r="K39" t="s">
        <v>218</v>
      </c>
      <c r="L39">
        <v>1348</v>
      </c>
      <c r="N39">
        <v>1009</v>
      </c>
      <c r="O39" t="s">
        <v>35</v>
      </c>
      <c r="P39" t="s">
        <v>35</v>
      </c>
      <c r="Q39">
        <v>1000</v>
      </c>
      <c r="X39">
        <v>8.9999999999999993E-3</v>
      </c>
      <c r="Y39">
        <v>97017.58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4</v>
      </c>
      <c r="AG39">
        <v>8.9999999999999993E-3</v>
      </c>
      <c r="AH39">
        <v>2</v>
      </c>
      <c r="AI39">
        <v>51820571</v>
      </c>
      <c r="AJ39">
        <v>43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f>ROW(Source!A41)</f>
        <v>41</v>
      </c>
      <c r="B40">
        <v>51820584</v>
      </c>
      <c r="C40">
        <v>51820579</v>
      </c>
      <c r="D40">
        <v>49558562</v>
      </c>
      <c r="E40">
        <v>27</v>
      </c>
      <c r="F40">
        <v>1</v>
      </c>
      <c r="G40">
        <v>27</v>
      </c>
      <c r="H40">
        <v>1</v>
      </c>
      <c r="I40" t="s">
        <v>140</v>
      </c>
      <c r="J40" t="s">
        <v>4</v>
      </c>
      <c r="K40" t="s">
        <v>141</v>
      </c>
      <c r="L40">
        <v>1191</v>
      </c>
      <c r="N40">
        <v>1013</v>
      </c>
      <c r="O40" t="s">
        <v>142</v>
      </c>
      <c r="P40" t="s">
        <v>142</v>
      </c>
      <c r="Q40">
        <v>1</v>
      </c>
      <c r="X40">
        <v>2.4500000000000002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 t="s">
        <v>4</v>
      </c>
      <c r="AG40">
        <v>2.4500000000000002</v>
      </c>
      <c r="AH40">
        <v>2</v>
      </c>
      <c r="AI40">
        <v>51820580</v>
      </c>
      <c r="AJ40">
        <v>44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f>ROW(Source!A41)</f>
        <v>41</v>
      </c>
      <c r="B41">
        <v>51820585</v>
      </c>
      <c r="C41">
        <v>51820579</v>
      </c>
      <c r="D41">
        <v>49570849</v>
      </c>
      <c r="E41">
        <v>1</v>
      </c>
      <c r="F41">
        <v>1</v>
      </c>
      <c r="G41">
        <v>27</v>
      </c>
      <c r="H41">
        <v>2</v>
      </c>
      <c r="I41" t="s">
        <v>207</v>
      </c>
      <c r="J41" t="s">
        <v>208</v>
      </c>
      <c r="K41" t="s">
        <v>209</v>
      </c>
      <c r="L41">
        <v>1368</v>
      </c>
      <c r="N41">
        <v>1011</v>
      </c>
      <c r="O41" t="s">
        <v>146</v>
      </c>
      <c r="P41" t="s">
        <v>146</v>
      </c>
      <c r="Q41">
        <v>1</v>
      </c>
      <c r="X41">
        <v>0.01</v>
      </c>
      <c r="Y41">
        <v>0</v>
      </c>
      <c r="Z41">
        <v>683.9</v>
      </c>
      <c r="AA41">
        <v>371.27</v>
      </c>
      <c r="AB41">
        <v>0</v>
      </c>
      <c r="AC41">
        <v>0</v>
      </c>
      <c r="AD41">
        <v>1</v>
      </c>
      <c r="AE41">
        <v>0</v>
      </c>
      <c r="AF41" t="s">
        <v>4</v>
      </c>
      <c r="AG41">
        <v>0.01</v>
      </c>
      <c r="AH41">
        <v>2</v>
      </c>
      <c r="AI41">
        <v>51820581</v>
      </c>
      <c r="AJ41">
        <v>45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f>ROW(Source!A41)</f>
        <v>41</v>
      </c>
      <c r="B42">
        <v>51820586</v>
      </c>
      <c r="C42">
        <v>51820579</v>
      </c>
      <c r="D42">
        <v>49572145</v>
      </c>
      <c r="E42">
        <v>1</v>
      </c>
      <c r="F42">
        <v>1</v>
      </c>
      <c r="G42">
        <v>27</v>
      </c>
      <c r="H42">
        <v>3</v>
      </c>
      <c r="I42" t="s">
        <v>219</v>
      </c>
      <c r="J42" t="s">
        <v>220</v>
      </c>
      <c r="K42" t="s">
        <v>221</v>
      </c>
      <c r="L42">
        <v>1348</v>
      </c>
      <c r="N42">
        <v>1009</v>
      </c>
      <c r="O42" t="s">
        <v>35</v>
      </c>
      <c r="P42" t="s">
        <v>35</v>
      </c>
      <c r="Q42">
        <v>1000</v>
      </c>
      <c r="X42">
        <v>1.48E-3</v>
      </c>
      <c r="Y42">
        <v>63195.54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 t="s">
        <v>4</v>
      </c>
      <c r="AG42">
        <v>1.48E-3</v>
      </c>
      <c r="AH42">
        <v>2</v>
      </c>
      <c r="AI42">
        <v>51820582</v>
      </c>
      <c r="AJ42">
        <v>46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f>ROW(Source!A41)</f>
        <v>41</v>
      </c>
      <c r="B43">
        <v>51820587</v>
      </c>
      <c r="C43">
        <v>51820579</v>
      </c>
      <c r="D43">
        <v>49572170</v>
      </c>
      <c r="E43">
        <v>1</v>
      </c>
      <c r="F43">
        <v>1</v>
      </c>
      <c r="G43">
        <v>27</v>
      </c>
      <c r="H43">
        <v>3</v>
      </c>
      <c r="I43" t="s">
        <v>222</v>
      </c>
      <c r="J43" t="s">
        <v>223</v>
      </c>
      <c r="K43" t="s">
        <v>224</v>
      </c>
      <c r="L43">
        <v>1346</v>
      </c>
      <c r="N43">
        <v>1009</v>
      </c>
      <c r="O43" t="s">
        <v>215</v>
      </c>
      <c r="P43" t="s">
        <v>215</v>
      </c>
      <c r="Q43">
        <v>1</v>
      </c>
      <c r="X43">
        <v>9</v>
      </c>
      <c r="Y43">
        <v>105.32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4</v>
      </c>
      <c r="AG43">
        <v>9</v>
      </c>
      <c r="AH43">
        <v>2</v>
      </c>
      <c r="AI43">
        <v>51820583</v>
      </c>
      <c r="AJ43">
        <v>47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f>ROW(Source!A42)</f>
        <v>42</v>
      </c>
      <c r="B44">
        <v>51820796</v>
      </c>
      <c r="C44">
        <v>51820588</v>
      </c>
      <c r="D44">
        <v>49558562</v>
      </c>
      <c r="E44">
        <v>27</v>
      </c>
      <c r="F44">
        <v>1</v>
      </c>
      <c r="G44">
        <v>27</v>
      </c>
      <c r="H44">
        <v>1</v>
      </c>
      <c r="I44" t="s">
        <v>140</v>
      </c>
      <c r="J44" t="s">
        <v>4</v>
      </c>
      <c r="K44" t="s">
        <v>141</v>
      </c>
      <c r="L44">
        <v>1191</v>
      </c>
      <c r="N44">
        <v>1013</v>
      </c>
      <c r="O44" t="s">
        <v>142</v>
      </c>
      <c r="P44" t="s">
        <v>142</v>
      </c>
      <c r="Q44">
        <v>1</v>
      </c>
      <c r="X44">
        <v>2.97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4</v>
      </c>
      <c r="AG44">
        <v>2.97</v>
      </c>
      <c r="AH44">
        <v>2</v>
      </c>
      <c r="AI44">
        <v>51820796</v>
      </c>
      <c r="AJ44">
        <v>48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f>ROW(Source!A42)</f>
        <v>42</v>
      </c>
      <c r="B45">
        <v>51820797</v>
      </c>
      <c r="C45">
        <v>51820588</v>
      </c>
      <c r="D45">
        <v>49571187</v>
      </c>
      <c r="E45">
        <v>1</v>
      </c>
      <c r="F45">
        <v>1</v>
      </c>
      <c r="G45">
        <v>27</v>
      </c>
      <c r="H45">
        <v>2</v>
      </c>
      <c r="I45" t="s">
        <v>193</v>
      </c>
      <c r="J45" t="s">
        <v>194</v>
      </c>
      <c r="K45" t="s">
        <v>195</v>
      </c>
      <c r="L45">
        <v>1368</v>
      </c>
      <c r="N45">
        <v>1011</v>
      </c>
      <c r="O45" t="s">
        <v>146</v>
      </c>
      <c r="P45" t="s">
        <v>146</v>
      </c>
      <c r="Q45">
        <v>1</v>
      </c>
      <c r="X45">
        <v>0.38400000000000001</v>
      </c>
      <c r="Y45">
        <v>0</v>
      </c>
      <c r="Z45">
        <v>351.29</v>
      </c>
      <c r="AA45">
        <v>7.02</v>
      </c>
      <c r="AB45">
        <v>0</v>
      </c>
      <c r="AC45">
        <v>0</v>
      </c>
      <c r="AD45">
        <v>1</v>
      </c>
      <c r="AE45">
        <v>0</v>
      </c>
      <c r="AF45" t="s">
        <v>4</v>
      </c>
      <c r="AG45">
        <v>0.38400000000000001</v>
      </c>
      <c r="AH45">
        <v>2</v>
      </c>
      <c r="AI45">
        <v>51820797</v>
      </c>
      <c r="AJ45">
        <v>49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f>ROW(Source!A42)</f>
        <v>42</v>
      </c>
      <c r="B46">
        <v>51820798</v>
      </c>
      <c r="C46">
        <v>51820588</v>
      </c>
      <c r="D46">
        <v>49571572</v>
      </c>
      <c r="E46">
        <v>1</v>
      </c>
      <c r="F46">
        <v>1</v>
      </c>
      <c r="G46">
        <v>27</v>
      </c>
      <c r="H46">
        <v>2</v>
      </c>
      <c r="I46" t="s">
        <v>147</v>
      </c>
      <c r="J46" t="s">
        <v>196</v>
      </c>
      <c r="K46" t="s">
        <v>149</v>
      </c>
      <c r="L46">
        <v>1368</v>
      </c>
      <c r="N46">
        <v>1011</v>
      </c>
      <c r="O46" t="s">
        <v>146</v>
      </c>
      <c r="P46" t="s">
        <v>146</v>
      </c>
      <c r="Q46">
        <v>1</v>
      </c>
      <c r="X46">
        <v>0.115</v>
      </c>
      <c r="Y46">
        <v>0</v>
      </c>
      <c r="Z46">
        <v>5.94</v>
      </c>
      <c r="AA46">
        <v>0.02</v>
      </c>
      <c r="AB46">
        <v>0</v>
      </c>
      <c r="AC46">
        <v>0</v>
      </c>
      <c r="AD46">
        <v>1</v>
      </c>
      <c r="AE46">
        <v>0</v>
      </c>
      <c r="AF46" t="s">
        <v>4</v>
      </c>
      <c r="AG46">
        <v>0.115</v>
      </c>
      <c r="AH46">
        <v>2</v>
      </c>
      <c r="AI46">
        <v>51820798</v>
      </c>
      <c r="AJ46">
        <v>50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f>ROW(Source!A42)</f>
        <v>42</v>
      </c>
      <c r="B47">
        <v>51820799</v>
      </c>
      <c r="C47">
        <v>51820588</v>
      </c>
      <c r="D47">
        <v>49571595</v>
      </c>
      <c r="E47">
        <v>1</v>
      </c>
      <c r="F47">
        <v>1</v>
      </c>
      <c r="G47">
        <v>27</v>
      </c>
      <c r="H47">
        <v>2</v>
      </c>
      <c r="I47" t="s">
        <v>197</v>
      </c>
      <c r="J47" t="s">
        <v>198</v>
      </c>
      <c r="K47" t="s">
        <v>199</v>
      </c>
      <c r="L47">
        <v>1368</v>
      </c>
      <c r="N47">
        <v>1011</v>
      </c>
      <c r="O47" t="s">
        <v>146</v>
      </c>
      <c r="P47" t="s">
        <v>146</v>
      </c>
      <c r="Q47">
        <v>1</v>
      </c>
      <c r="X47">
        <v>0.504</v>
      </c>
      <c r="Y47">
        <v>0</v>
      </c>
      <c r="Z47">
        <v>652.16</v>
      </c>
      <c r="AA47">
        <v>581.9</v>
      </c>
      <c r="AB47">
        <v>0</v>
      </c>
      <c r="AC47">
        <v>0</v>
      </c>
      <c r="AD47">
        <v>1</v>
      </c>
      <c r="AE47">
        <v>0</v>
      </c>
      <c r="AF47" t="s">
        <v>4</v>
      </c>
      <c r="AG47">
        <v>0.504</v>
      </c>
      <c r="AH47">
        <v>2</v>
      </c>
      <c r="AI47">
        <v>51820799</v>
      </c>
      <c r="AJ47">
        <v>51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f>ROW(Source!A42)</f>
        <v>42</v>
      </c>
      <c r="B48">
        <v>51820800</v>
      </c>
      <c r="C48">
        <v>51820588</v>
      </c>
      <c r="D48">
        <v>49572552</v>
      </c>
      <c r="E48">
        <v>1</v>
      </c>
      <c r="F48">
        <v>1</v>
      </c>
      <c r="G48">
        <v>27</v>
      </c>
      <c r="H48">
        <v>3</v>
      </c>
      <c r="I48" t="s">
        <v>159</v>
      </c>
      <c r="J48" t="s">
        <v>200</v>
      </c>
      <c r="K48" t="s">
        <v>161</v>
      </c>
      <c r="L48">
        <v>1348</v>
      </c>
      <c r="N48">
        <v>1009</v>
      </c>
      <c r="O48" t="s">
        <v>35</v>
      </c>
      <c r="P48" t="s">
        <v>35</v>
      </c>
      <c r="Q48">
        <v>1000</v>
      </c>
      <c r="X48">
        <v>1.01E-3</v>
      </c>
      <c r="Y48">
        <v>38268.54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4</v>
      </c>
      <c r="AG48">
        <v>1.01E-3</v>
      </c>
      <c r="AH48">
        <v>2</v>
      </c>
      <c r="AI48">
        <v>51820800</v>
      </c>
      <c r="AJ48">
        <v>52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f>ROW(Source!A42)</f>
        <v>42</v>
      </c>
      <c r="B49">
        <v>51820801</v>
      </c>
      <c r="C49">
        <v>51820588</v>
      </c>
      <c r="D49">
        <v>49572410</v>
      </c>
      <c r="E49">
        <v>1</v>
      </c>
      <c r="F49">
        <v>1</v>
      </c>
      <c r="G49">
        <v>27</v>
      </c>
      <c r="H49">
        <v>3</v>
      </c>
      <c r="I49" t="s">
        <v>58</v>
      </c>
      <c r="J49" t="s">
        <v>60</v>
      </c>
      <c r="K49" t="s">
        <v>59</v>
      </c>
      <c r="L49">
        <v>1348</v>
      </c>
      <c r="N49">
        <v>1009</v>
      </c>
      <c r="O49" t="s">
        <v>35</v>
      </c>
      <c r="P49" t="s">
        <v>35</v>
      </c>
      <c r="Q49">
        <v>1000</v>
      </c>
      <c r="X49">
        <v>0.14899999999999999</v>
      </c>
      <c r="Y49">
        <v>37537.54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4</v>
      </c>
      <c r="AG49">
        <v>0.14899999999999999</v>
      </c>
      <c r="AH49">
        <v>2</v>
      </c>
      <c r="AI49">
        <v>51820801</v>
      </c>
      <c r="AJ49">
        <v>53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f>ROW(Source!A42)</f>
        <v>42</v>
      </c>
      <c r="B50">
        <v>51820802</v>
      </c>
      <c r="C50">
        <v>51820588</v>
      </c>
      <c r="D50">
        <v>49573540</v>
      </c>
      <c r="E50">
        <v>1</v>
      </c>
      <c r="F50">
        <v>1</v>
      </c>
      <c r="G50">
        <v>27</v>
      </c>
      <c r="H50">
        <v>3</v>
      </c>
      <c r="I50" t="s">
        <v>190</v>
      </c>
      <c r="J50" t="s">
        <v>191</v>
      </c>
      <c r="K50" t="s">
        <v>192</v>
      </c>
      <c r="L50">
        <v>1348</v>
      </c>
      <c r="N50">
        <v>1009</v>
      </c>
      <c r="O50" t="s">
        <v>35</v>
      </c>
      <c r="P50" t="s">
        <v>35</v>
      </c>
      <c r="Q50">
        <v>1000</v>
      </c>
      <c r="X50">
        <v>5.0000000000000001E-4</v>
      </c>
      <c r="Y50">
        <v>110781.14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4</v>
      </c>
      <c r="AG50">
        <v>5.0000000000000001E-4</v>
      </c>
      <c r="AH50">
        <v>2</v>
      </c>
      <c r="AI50">
        <v>51820802</v>
      </c>
      <c r="AJ50">
        <v>55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f>ROW(Source!A42)</f>
        <v>42</v>
      </c>
      <c r="B51">
        <v>51820803</v>
      </c>
      <c r="C51">
        <v>51820588</v>
      </c>
      <c r="D51">
        <v>49575861</v>
      </c>
      <c r="E51">
        <v>1</v>
      </c>
      <c r="F51">
        <v>1</v>
      </c>
      <c r="G51">
        <v>27</v>
      </c>
      <c r="H51">
        <v>3</v>
      </c>
      <c r="I51" t="s">
        <v>201</v>
      </c>
      <c r="J51" t="s">
        <v>202</v>
      </c>
      <c r="K51" t="s">
        <v>203</v>
      </c>
      <c r="L51">
        <v>1354</v>
      </c>
      <c r="N51">
        <v>1010</v>
      </c>
      <c r="O51" t="s">
        <v>18</v>
      </c>
      <c r="P51" t="s">
        <v>18</v>
      </c>
      <c r="Q51">
        <v>1</v>
      </c>
      <c r="X51">
        <v>1.4E-2</v>
      </c>
      <c r="Y51">
        <v>16.54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4</v>
      </c>
      <c r="AG51">
        <v>1.4E-2</v>
      </c>
      <c r="AH51">
        <v>2</v>
      </c>
      <c r="AI51">
        <v>51820803</v>
      </c>
      <c r="AJ51">
        <v>56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Смета СН-2012 по гл. 1-5</vt:lpstr>
      <vt:lpstr>Source</vt:lpstr>
      <vt:lpstr>SourceObSm</vt:lpstr>
      <vt:lpstr>SmtRes</vt:lpstr>
      <vt:lpstr>EtalonRes</vt:lpstr>
      <vt:lpstr>'Смета СН-2012 по гл. 1-5'!Заголовки_для_печати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Зац Дмитрий Михайлович</dc:creator>
  <cp:lastModifiedBy>Поплавская Ольга Олеговна</cp:lastModifiedBy>
  <cp:lastPrinted>2021-04-02T13:03:09Z</cp:lastPrinted>
  <dcterms:created xsi:type="dcterms:W3CDTF">2021-03-19T10:56:53Z</dcterms:created>
  <dcterms:modified xsi:type="dcterms:W3CDTF">2021-04-02T13:27:47Z</dcterms:modified>
</cp:coreProperties>
</file>